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BD20" lockStructure="1"/>
  <bookViews>
    <workbookView xWindow="3195" yWindow="690"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CCURACY DATA" sheetId="74" state="veryHidden" r:id="rId10"/>
    <sheet name="APPEALS DATA" sheetId="62"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9" hidden="1">'ACCURACY DATA'!$B$2:$P$71</definedName>
    <definedName name="MMWR_CONNECTOR" localSheetId="10"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10" hidden="1">'APPEALS DATA'!$AL$2:$AY$63</definedName>
    <definedName name="MMWR_CONNECTOR_2" localSheetId="8" hidden="1">'CP DATA'!$T$2:$AF$7</definedName>
    <definedName name="MMWR_CONNECTOR_3" localSheetId="10" hidden="1">'APPEALS DATA'!$F$2:$S$72</definedName>
    <definedName name="MMWR_CONNECTOR_3" localSheetId="8" hidden="1">'CP DATA'!$AH$2:$AT$55</definedName>
    <definedName name="MMWR_CONNECTOR_4" localSheetId="10"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O16" i="46" l="1"/>
  <c r="N16" i="46"/>
  <c r="M16" i="46"/>
  <c r="L16" i="46"/>
  <c r="K16" i="46"/>
  <c r="J16" i="46"/>
  <c r="O34" i="46"/>
  <c r="N34" i="46"/>
  <c r="M34" i="46"/>
  <c r="L34" i="46"/>
  <c r="K34" i="46"/>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M7" i="35"/>
  <c r="M18" i="35"/>
  <c r="J6" i="7"/>
  <c r="I10" i="7"/>
  <c r="M11" i="35"/>
  <c r="H5" i="7"/>
  <c r="G22" i="35"/>
  <c r="H22" i="35" s="1"/>
  <c r="I5" i="7"/>
  <c r="L11" i="35"/>
  <c r="G7" i="35"/>
  <c r="H30" i="35" l="1"/>
  <c r="H7" i="35"/>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<sst xmlns="http://schemas.openxmlformats.org/spreadsheetml/2006/main" count="4089" uniqueCount="1062">
  <si>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</si>
  <si>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</si>
  <si>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</si>
  <si>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</si>
  <si>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</si>
  <si>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</si>
  <si>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</si>
  <si>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</si>
  <si>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</si>
  <si>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</si>
  <si>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</si>
  <si>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</si>
  <si>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</si>
  <si>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</si>
  <si>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</si>
  <si>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</si>
  <si>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</si>
  <si>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</si>
  <si>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</si>
  <si>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</si>
  <si>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</si>
  <si>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</si>
  <si>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</si>
  <si>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</si>
  <si>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</si>
  <si>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</si>
  <si>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</si>
  <si>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</si>
  <si>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</si>
  <si>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</si>
  <si>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</si>
  <si>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</si>
  <si>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</si>
  <si>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</si>
  <si>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</si>
  <si>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</si>
  <si>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</si>
  <si>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</si>
  <si>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</si>
  <si>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</si>
  <si>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</si>
  <si>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</si>
  <si>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</si>
  <si>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</si>
  <si>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</si>
  <si>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</si>
  <si>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</si>
  <si>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</si>
  <si>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</si>
  <si>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</si>
  <si>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</si>
  <si>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</si>
  <si>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</si>
  <si>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</si>
  <si>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</si>
  <si>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</si>
  <si>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</si>
  <si>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</si>
  <si>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</si>
  <si>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</si>
  <si>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</si>
  <si>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</si>
  <si>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</si>
  <si>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</si>
  <si>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</si>
  <si>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</si>
  <si>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</si>
  <si>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</si>
  <si>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</si>
  <si>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</si>
  <si>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</si>
  <si>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</si>
  <si>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</si>
  <si>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</si>
  <si>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</si>
  <si>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</si>
  <si>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</si>
  <si>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</si>
  <si>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</si>
  <si>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</si>
  <si>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</si>
  <si>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</si>
  <si>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</si>
  <si>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</si>
  <si>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</si>
  <si>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</si>
  <si>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</si>
  <si>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</si>
  <si>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</si>
  <si>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</si>
  <si>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</si>
  <si>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</si>
  <si>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</si>
  <si>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</si>
  <si>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</si>
  <si>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</si>
  <si>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</si>
  <si>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</si>
  <si>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</si>
  <si>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</si>
  <si>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</si>
  <si>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</si>
  <si>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</si>
  <si>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</si>
  <si>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</si>
  <si>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</si>
  <si>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</si>
  <si>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</si>
  <si>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</si>
  <si>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</si>
  <si>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</si>
  <si>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</si>
  <si>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</si>
  <si>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</si>
  <si>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</si>
  <si>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</si>
  <si>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</si>
  <si>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</si>
  <si>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</si>
  <si>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</si>
  <si>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</si>
  <si>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</si>
  <si>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</si>
  <si>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</si>
  <si>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</si>
  <si>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</si>
  <si>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</si>
  <si>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</si>
  <si>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</si>
  <si>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</si>
  <si>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</si>
  <si>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</si>
  <si>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</si>
  <si>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</si>
  <si>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</si>
  <si>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</si>
  <si>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</si>
  <si>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</si>
  <si>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</si>
  <si>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</si>
  <si>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</si>
  <si>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</si>
  <si>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</si>
  <si>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</si>
  <si>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</si>
  <si>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</si>
  <si>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</si>
  <si>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</si>
  <si>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</si>
  <si>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</si>
  <si>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</si>
  <si>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</si>
  <si>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</si>
  <si>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</si>
  <si>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</si>
  <si>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</si>
  <si>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</si>
  <si>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</si>
  <si>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</si>
  <si>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</si>
  <si>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</si>
  <si>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</si>
  <si>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</si>
  <si>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</si>
  <si>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</si>
  <si>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</si>
  <si>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</si>
  <si>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</si>
  <si>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</si>
  <si>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</si>
  <si>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</si>
  <si>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</si>
  <si>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</si>
  <si>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</si>
  <si>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</si>
  <si>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</si>
  <si>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</si>
  <si>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</si>
  <si>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</si>
  <si>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</si>
  <si>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</si>
  <si>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</si>
  <si>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</si>
  <si>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</si>
  <si>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</si>
  <si>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</si>
  <si>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</si>
  <si>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</si>
  <si>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</si>
  <si>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</si>
  <si>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</si>
  <si>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</si>
  <si>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</si>
  <si>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</si>
  <si>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</si>
  <si>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</si>
  <si>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</si>
  <si>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</si>
  <si>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</si>
  <si>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</si>
  <si>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</si>
  <si>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</si>
  <si>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</si>
  <si>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</si>
  <si>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</si>
  <si>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</si>
  <si>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</si>
  <si>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</si>
  <si>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</si>
  <si>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</si>
  <si>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</si>
  <si>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</si>
  <si>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</si>
  <si>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</si>
  <si>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</si>
  <si>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</si>
  <si>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</si>
  <si>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</si>
  <si>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</si>
  <si>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</si>
  <si>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</si>
  <si>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</si>
  <si>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</si>
  <si>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</si>
  <si>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</si>
  <si>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</si>
  <si>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</si>
  <si>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</si>
  <si>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</si>
  <si>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</si>
  <si>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</si>
  <si>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</si>
  <si>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</si>
  <si>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</si>
  <si>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</si>
  <si>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</si>
  <si>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</si>
  <si>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</si>
  <si>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</si>
  <si>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</si>
  <si>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</si>
  <si>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</si>
  <si>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</si>
  <si>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</si>
  <si>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</si>
  <si>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</si>
  <si>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</si>
  <si>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</si>
  <si>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</si>
  <si>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</si>
  <si>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</si>
  <si>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</si>
  <si>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</si>
  <si>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</si>
  <si>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</si>
  <si>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</si>
  <si>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</si>
  <si>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</si>
  <si>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</si>
  <si>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</si>
  <si>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</si>
  <si>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</si>
  <si>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</si>
  <si>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</si>
  <si>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</si>
  <si>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</si>
  <si>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</si>
  <si>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</si>
  <si>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</si>
  <si>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</si>
  <si>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</si>
  <si>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</si>
  <si>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</si>
  <si>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</si>
  <si>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</si>
  <si>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</si>
  <si>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</si>
  <si>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</si>
  <si>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</si>
  <si>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</si>
  <si>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</si>
  <si>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</si>
  <si>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</si>
  <si>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</si>
  <si>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</si>
  <si>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</si>
  <si>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</si>
  <si>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</si>
  <si>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</si>
  <si>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</si>
  <si>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</si>
  <si>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</si>
  <si>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</si>
  <si>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</si>
  <si>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</si>
  <si>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</si>
  <si>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</si>
  <si>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</si>
  <si>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</si>
  <si>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</si>
  <si>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</si>
  <si>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</si>
  <si>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</si>
  <si>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</si>
  <si>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</si>
  <si>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</si>
  <si>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</si>
  <si>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</si>
  <si>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</si>
  <si>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</si>
  <si>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</si>
  <si>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</si>
  <si>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</si>
  <si>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</si>
  <si>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</si>
  <si>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</si>
  <si>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</si>
  <si>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</si>
  <si>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</si>
  <si>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</si>
  <si>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</si>
  <si>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</si>
  <si>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</si>
  <si>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</si>
  <si>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</si>
  <si>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</si>
  <si>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</si>
  <si>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</si>
  <si>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</si>
  <si>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</si>
  <si>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</si>
  <si>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</si>
  <si>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</si>
  <si>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</si>
  <si>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</si>
  <si>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</si>
  <si>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</si>
  <si>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</si>
  <si>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</si>
  <si>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</si>
  <si>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</si>
  <si>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</si>
  <si>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</si>
  <si>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</si>
  <si>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</si>
  <si>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</si>
  <si>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</si>
  <si>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</si>
  <si>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</si>
  <si>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</si>
  <si>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</si>
  <si>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</si>
  <si>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</si>
  <si>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</si>
  <si>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</si>
  <si>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</si>
  <si>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</si>
  <si>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</si>
  <si>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</si>
  <si>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</si>
  <si>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</si>
  <si>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</si>
  <si>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</si>
  <si>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</si>
  <si>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</si>
  <si>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</si>
  <si>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</si>
  <si>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</si>
  <si>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</si>
  <si>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</si>
  <si>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</si>
  <si>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</si>
  <si>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</si>
  <si>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</si>
  <si>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</si>
  <si>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</si>
  <si>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</si>
  <si>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</si>
  <si>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</si>
  <si>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</si>
  <si>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</si>
  <si>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</si>
  <si>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</si>
  <si>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</si>
  <si>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</si>
  <si>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</si>
  <si>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</si>
  <si>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</si>
  <si>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</si>
  <si>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</si>
  <si>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</si>
  <si>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</si>
  <si>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</si>
  <si>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</si>
  <si>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</si>
  <si>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</si>
  <si>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</si>
  <si>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</si>
  <si>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</si>
  <si>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</si>
  <si>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</si>
  <si>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</si>
  <si>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</si>
  <si>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</si>
  <si>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</si>
  <si>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</si>
  <si>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</si>
  <si>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</si>
  <si>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</si>
  <si>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</si>
  <si>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</si>
  <si>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</si>
  <si>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</si>
  <si>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</si>
  <si>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</si>
  <si>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</si>
  <si>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</si>
  <si>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</si>
  <si>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</si>
  <si>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</si>
  <si>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</si>
  <si>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</si>
  <si>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</si>
  <si>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</si>
  <si>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</si>
  <si>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</si>
  <si>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</si>
  <si>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</si>
  <si>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</si>
  <si>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</si>
  <si>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</si>
  <si>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</si>
  <si>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</si>
  <si>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</si>
  <si>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</si>
  <si>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</si>
  <si>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</si>
  <si>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</si>
  <si>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</si>
  <si>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</si>
  <si>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</si>
  <si>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</si>
  <si>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</si>
  <si>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</si>
  <si>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</si>
  <si>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</si>
  <si>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</si>
  <si>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</si>
  <si>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</si>
  <si>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</si>
  <si>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</si>
  <si>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</si>
  <si>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</si>
  <si>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</si>
  <si>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</si>
  <si>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</si>
  <si>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</si>
  <si>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</si>
  <si>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</si>
  <si>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</si>
  <si>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</si>
  <si>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</si>
  <si>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</si>
  <si>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</si>
  <si>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</si>
  <si>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</si>
  <si>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</si>
  <si>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</si>
  <si>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</si>
  <si>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</si>
  <si>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</si>
  <si>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</si>
  <si>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</si>
  <si>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</si>
  <si>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</si>
  <si>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</si>
  <si>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</si>
  <si>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</si>
  <si>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</si>
  <si>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</si>
  <si>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</si>
  <si>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</si>
  <si>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</si>
  <si>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</si>
  <si>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</si>
  <si>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</si>
  <si>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</si>
  <si>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</si>
  <si>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</si>
  <si>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</si>
  <si>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</si>
  <si>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</si>
  <si>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</si>
  <si>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</si>
  <si>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</si>
  <si>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</si>
  <si>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</si>
  <si>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</si>
  <si>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</si>
  <si>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</si>
  <si>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</si>
  <si>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</si>
  <si>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</si>
  <si>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</si>
  <si>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</si>
  <si>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</si>
  <si>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</si>
  <si>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</si>
  <si>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</si>
  <si>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</si>
  <si>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</si>
  <si>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</si>
  <si>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</si>
  <si>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</si>
  <si>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</si>
  <si>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</si>
  <si>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</si>
  <si>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</si>
  <si>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</si>
  <si>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</si>
  <si>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</si>
  <si>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</si>
  <si>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</si>
  <si>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</si>
  <si>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</si>
  <si>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</si>
  <si>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</si>
  <si>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</si>
  <si>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</si>
  <si>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</si>
  <si>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</si>
  <si>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</si>
  <si>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</si>
  <si>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</si>
  <si>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</si>
  <si>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</si>
  <si>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</si>
  <si>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</si>
  <si>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</si>
  <si>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</si>
  <si>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</si>
  <si>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</si>
  <si>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</si>
  <si>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</si>
  <si>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</si>
  <si>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</si>
  <si>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</si>
  <si>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</si>
  <si>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</si>
  <si>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</si>
  <si>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</si>
  <si>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</si>
  <si>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</si>
  <si>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</si>
  <si>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</si>
  <si>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</si>
  <si>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</si>
  <si>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</si>
  <si>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</si>
  <si>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</si>
  <si>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</si>
  <si>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</si>
  <si>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</si>
  <si>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</si>
  <si>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</si>
  <si>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</si>
  <si>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</si>
  <si>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</si>
  <si>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</si>
  <si>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</si>
  <si>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</si>
  <si>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</si>
  <si>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</si>
  <si>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</si>
  <si>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</si>
  <si>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</si>
  <si>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</si>
  <si>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</si>
  <si>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</si>
  <si>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</si>
  <si>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</si>
  <si>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</si>
  <si>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</si>
  <si>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</si>
  <si>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</si>
  <si>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</si>
  <si>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</si>
  <si>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</si>
  <si>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</si>
  <si>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</si>
  <si>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</si>
  <si>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</si>
  <si>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</si>
  <si>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</si>
  <si>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</si>
  <si>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</si>
  <si>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</si>
  <si>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</si>
  <si>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</si>
  <si>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</si>
  <si>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</si>
  <si>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</si>
  <si>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</si>
  <si>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</si>
  <si>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</si>
  <si>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</si>
  <si>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</si>
  <si>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</si>
  <si>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</si>
  <si>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</si>
  <si>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</si>
  <si>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</si>
  <si>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</si>
  <si>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</si>
  <si>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</si>
  <si>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</si>
  <si>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</si>
  <si>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</si>
  <si>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</si>
  <si>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</si>
  <si>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</si>
  <si>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</si>
  <si>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</si>
  <si>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</si>
  <si>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</si>
  <si>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</si>
  <si>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</si>
  <si>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</si>
  <si>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</si>
  <si>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</si>
  <si>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</si>
  <si>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</si>
  <si>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</si>
  <si>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</si>
  <si>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</si>
  <si>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</si>
  <si>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</si>
  <si>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</si>
  <si>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</si>
  <si>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</si>
  <si>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</si>
  <si>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</si>
  <si>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</si>
  <si>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</si>
  <si>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</si>
  <si>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</si>
  <si>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</si>
  <si>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</si>
  <si>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</si>
  <si>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</si>
  <si>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</si>
  <si>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</si>
  <si>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</si>
  <si>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</si>
  <si>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</si>
  <si>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</si>
  <si>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</si>
  <si>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</si>
  <si>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</si>
  <si>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</si>
  <si>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</si>
  <si>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</si>
  <si>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</si>
  <si>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</si>
  <si>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</si>
  <si>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</si>
  <si>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</si>
  <si>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</si>
  <si>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</si>
  <si>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</si>
  <si>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</si>
  <si>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</si>
  <si>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</si>
  <si>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</si>
  <si>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</si>
  <si>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</si>
  <si>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</si>
  <si>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</si>
  <si>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</si>
  <si>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</si>
  <si>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</si>
  <si>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</si>
  <si>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</si>
  <si>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</si>
  <si>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</si>
  <si>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</si>
  <si>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</si>
  <si>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</si>
  <si>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</si>
  <si>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</si>
  <si>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</si>
  <si>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</si>
  <si>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</si>
  <si>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</si>
  <si>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</si>
  <si>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</si>
  <si>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</si>
  <si>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</si>
  <si>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</si>
  <si>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</si>
  <si>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</si>
  <si>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</si>
  <si>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</si>
  <si>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</si>
  <si>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</si>
  <si>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</si>
  <si>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</si>
  <si>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</si>
  <si>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</si>
  <si>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</si>
  <si>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</si>
  <si>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</si>
  <si>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</si>
  <si>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</si>
  <si>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</si>
  <si>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</si>
  <si>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</si>
  <si>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</si>
  <si>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</si>
  <si>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</si>
  <si>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</si>
  <si>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</si>
  <si>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</si>
  <si>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</si>
  <si>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</si>
  <si>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</si>
  <si>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</si>
  <si>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</si>
  <si>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</si>
  <si>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</si>
  <si>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</si>
  <si>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</si>
  <si>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</si>
  <si>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</si>
  <si>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</si>
  <si>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</si>
  <si>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</si>
  <si>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</si>
  <si>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</si>
  <si>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</si>
  <si>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</si>
  <si>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</si>
  <si>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</si>
  <si>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</si>
  <si>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</si>
  <si>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</si>
  <si>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</si>
  <si>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</si>
  <si>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</si>
  <si>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</si>
  <si>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</si>
  <si>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</si>
  <si>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</si>
  <si>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</si>
  <si>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</si>
  <si>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</si>
  <si>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</si>
  <si>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</si>
  <si>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</si>
  <si>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</si>
  <si>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</si>
  <si>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</si>
  <si>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</si>
  <si>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</si>
  <si>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</si>
  <si>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</si>
  <si>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</si>
  <si>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</si>
  <si>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</si>
  <si>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</si>
  <si>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</si>
  <si>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</si>
  <si>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</si>
  <si>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</si>
  <si>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</si>
  <si>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</si>
  <si>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</si>
  <si>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</si>
  <si>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</si>
  <si>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</si>
  <si>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</si>
  <si>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</si>
  <si>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</si>
  <si>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</si>
  <si>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</si>
  <si>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</si>
  <si>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</si>
  <si>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</si>
  <si>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</si>
  <si>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</si>
  <si>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</si>
  <si>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</si>
  <si>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</si>
  <si>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</si>
  <si>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</si>
  <si>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</si>
  <si>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</si>
  <si>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</si>
  <si>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</si>
  <si>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</si>
  <si>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</si>
  <si>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</si>
  <si>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</si>
  <si>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</si>
  <si>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</si>
  <si>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</si>
  <si>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</si>
  <si>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</si>
  <si>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</si>
  <si>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</si>
  <si>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</si>
  <si>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</si>
  <si>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</si>
  <si>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</si>
  <si>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</si>
  <si>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</si>
  <si>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</si>
  <si>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</si>
  <si>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</si>
  <si>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</si>
  <si>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</si>
  <si>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</si>
  <si>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</si>
  <si>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</si>
  <si>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</si>
  <si>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</si>
  <si>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</si>
  <si>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</si>
  <si>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</si>
  <si>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</si>
  <si>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</si>
  <si>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</si>
  <si>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</si>
  <si>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</si>
  <si>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</si>
  <si>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</si>
  <si>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</si>
  <si>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</si>
  <si>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</si>
  <si>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</si>
  <si>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</si>
  <si>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</si>
  <si>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</si>
  <si>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</si>
  <si>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</si>
  <si>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</si>
  <si>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</si>
  <si>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</si>
  <si>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</si>
  <si>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</si>
  <si>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</si>
  <si>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</si>
  <si>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</si>
  <si>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</si>
  <si>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</si>
  <si>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</si>
  <si>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</si>
  <si>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</si>
  <si>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</si>
  <si>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</si>
  <si>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</si>
  <si>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</si>
  <si>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</si>
  <si>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</si>
  <si>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</si>
  <si>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</si>
  <si>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</si>
  <si>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</si>
  <si>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</si>
  <si>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</si>
  <si>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</si>
  <si>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</si>
  <si>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</si>
  <si>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</si>
  <si>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</si>
  <si>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</si>
  <si>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</si>
  <si>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</si>
  <si>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</si>
  <si>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</si>
  <si>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</si>
  <si>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</si>
  <si>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</si>
  <si>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</si>
  <si>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</si>
  <si>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</si>
  <si>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</si>
  <si>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</si>
  <si>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</si>
  <si>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</si>
  <si>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</si>
  <si>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</si>
  <si>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</si>
  <si>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</si>
  <si>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</si>
  <si>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</si>
  <si>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</si>
  <si>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</si>
  <si>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</si>
  <si>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</si>
  <si>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</si>
  <si>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</si>
  <si>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</si>
  <si>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</si>
  <si>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</si>
  <si>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</si>
  <si>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</si>
  <si>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</si>
  <si>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</si>
  <si>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</si>
  <si>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</si>
  <si>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</si>
  <si>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</si>
  <si>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</si>
  <si>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</si>
  <si>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</si>
  <si>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</si>
  <si>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</si>
  <si>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</si>
  <si>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</si>
  <si>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</si>
  <si>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</si>
  <si>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</si>
  <si>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</si>
  <si>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</si>
  <si>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</si>
  <si>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</si>
  <si>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</si>
  <si>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</si>
  <si>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</si>
  <si>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</si>
  <si>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</si>
  <si>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</si>
  <si>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</si>
  <si>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COMP12_AUTH_CLM_WGHTED_ACC</t>
  </si>
  <si>
    <t>COMP12_AUTH_CLM_MOE</t>
  </si>
  <si>
    <t>% Correct</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</si>
  <si>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</si>
  <si>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</si>
  <si>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</si>
  <si>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</si>
  <si>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</si>
  <si>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</si>
  <si>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</si>
  <si>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</si>
  <si>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</si>
  <si>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</si>
  <si>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</si>
  <si>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</si>
  <si>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</si>
  <si>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</si>
  <si>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</si>
  <si>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</si>
  <si>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</si>
  <si>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</si>
  <si>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</si>
  <si>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</si>
  <si>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</si>
  <si>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</si>
  <si>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</si>
  <si>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</si>
  <si>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</si>
  <si>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</si>
  <si>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</si>
  <si>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</si>
  <si>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</si>
  <si>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</si>
  <si>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</si>
  <si>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</si>
  <si>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</si>
  <si>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</si>
  <si>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</si>
  <si>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</si>
  <si>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</si>
  <si>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</si>
  <si>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</si>
  <si>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</si>
  <si>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</si>
  <si>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</si>
  <si>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</si>
  <si>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</si>
  <si>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</si>
  <si>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</si>
  <si>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</si>
  <si>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</si>
  <si>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</si>
  <si>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</si>
  <si>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</si>
  <si>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</si>
  <si>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</si>
  <si>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</si>
  <si>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</si>
  <si>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</si>
  <si>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</si>
  <si>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</si>
  <si>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</si>
  <si>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</si>
  <si>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</si>
  <si>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</si>
  <si>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</si>
  <si>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</si>
  <si>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</si>
  <si>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</si>
  <si>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</si>
  <si>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</si>
  <si>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</si>
  <si>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</si>
  <si>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</si>
  <si>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</si>
  <si>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</si>
  <si>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</si>
  <si>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</si>
  <si>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</si>
  <si>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</si>
  <si>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</si>
  <si>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</si>
  <si>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</si>
  <si>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</si>
  <si>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</si>
  <si>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</si>
  <si>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</si>
  <si>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</si>
  <si>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</si>
  <si>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</si>
  <si>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</si>
  <si>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</si>
  <si>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</si>
  <si>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</si>
  <si>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</si>
  <si>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</si>
  <si>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</si>
  <si>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</si>
  <si>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</si>
  <si>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</si>
  <si>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</si>
  <si>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</si>
  <si>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</si>
  <si>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</si>
  <si>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</si>
  <si>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</si>
  <si>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</si>
  <si>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</si>
  <si>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</si>
  <si>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</si>
  <si>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</si>
  <si>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</si>
  <si>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</si>
  <si>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</si>
  <si>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</si>
  <si>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</si>
  <si>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</si>
  <si>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</si>
  <si>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</si>
  <si>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</si>
  <si>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</si>
  <si>
    <t>COMP12_RTNG_CLM_MOE</t>
  </si>
  <si>
    <t>USA Radiation Total</t>
  </si>
  <si>
    <t>USA Foreign Total</t>
  </si>
  <si>
    <t>USA DES Total</t>
  </si>
  <si>
    <t>USA CLCW Total</t>
  </si>
  <si>
    <t>USA Other Total</t>
  </si>
  <si>
    <t>MMWR_ACCURACY_RO</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</si>
</sst>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39">
    <xf numFmtId="0" fontId="0" fillId="0" borderId="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30" borderId="54" applyNumberFormat="0" applyAlignment="0" applyProtection="0"/>
    <xf numFmtId="0" fontId="43" fillId="31" borderId="55" applyNumberFormat="0" applyAlignment="0" applyProtection="0"/>
    <xf numFmtId="43" fontId="4" fillId="0" borderId="0" applyFont="0" applyFill="0" applyBorder="0" applyAlignment="0" applyProtection="0"/>
    <xf numFmtId="43" fontId="20" fillId="0" borderId="0" applyFont="0" applyFill="0" applyBorder="0" applyAlignment="0" applyProtection="0"/>
    <xf numFmtId="43" fontId="8" fillId="0" borderId="0" applyFont="0" applyFill="0" applyBorder="0" applyAlignment="0" applyProtection="0"/>
    <xf numFmtId="0" fontId="8" fillId="0" borderId="0"/>
    <xf numFmtId="43" fontId="2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43" fontId="24" fillId="0" borderId="0" applyFont="0" applyFill="0" applyBorder="0" applyAlignment="0" applyProtection="0"/>
    <xf numFmtId="43" fontId="27" fillId="0" borderId="0" applyFont="0" applyFill="0" applyBorder="0" applyAlignment="0" applyProtection="0"/>
    <xf numFmtId="43" fontId="39" fillId="0" borderId="0" applyFont="0" applyFill="0" applyBorder="0" applyAlignment="0" applyProtection="0"/>
    <xf numFmtId="44" fontId="20" fillId="0" borderId="0" applyFont="0" applyFill="0" applyBorder="0" applyAlignment="0" applyProtection="0"/>
    <xf numFmtId="44" fontId="8" fillId="0" borderId="0" applyFont="0" applyFill="0" applyBorder="0" applyAlignment="0" applyProtection="0"/>
    <xf numFmtId="44" fontId="21"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xf numFmtId="0" fontId="45" fillId="32" borderId="0" applyNumberFormat="0" applyBorder="0" applyAlignment="0" applyProtection="0"/>
    <xf numFmtId="0" fontId="46" fillId="0" borderId="56" applyNumberFormat="0" applyFill="0" applyAlignment="0" applyProtection="0"/>
    <xf numFmtId="0" fontId="47" fillId="0" borderId="57" applyNumberFormat="0" applyFill="0" applyAlignment="0" applyProtection="0"/>
    <xf numFmtId="0" fontId="48" fillId="0" borderId="58" applyNumberFormat="0" applyFill="0" applyAlignment="0" applyProtection="0"/>
    <xf numFmtId="0" fontId="48" fillId="0" borderId="0" applyNumberFormat="0" applyFill="0" applyBorder="0" applyAlignment="0" applyProtection="0"/>
    <xf numFmtId="0" fontId="16" fillId="0" borderId="0" applyNumberFormat="0" applyFill="0" applyBorder="0" applyAlignment="0" applyProtection="0">
      <alignment vertical="top"/>
      <protection locked="0"/>
    </xf>
    <xf numFmtId="0" fontId="49" fillId="33" borderId="54" applyNumberFormat="0" applyAlignment="0" applyProtection="0"/>
    <xf numFmtId="0" fontId="50" fillId="0" borderId="59" applyNumberFormat="0" applyFill="0" applyAlignment="0" applyProtection="0"/>
    <xf numFmtId="0" fontId="51" fillId="34" borderId="0" applyNumberFormat="0" applyBorder="0" applyAlignment="0" applyProtection="0"/>
    <xf numFmtId="0" fontId="8" fillId="0" borderId="0"/>
    <xf numFmtId="0" fontId="39" fillId="0" borderId="0"/>
    <xf numFmtId="0" fontId="39" fillId="0" borderId="0"/>
    <xf numFmtId="0" fontId="39" fillId="35" borderId="60" applyNumberFormat="0" applyFont="0" applyAlignment="0" applyProtection="0"/>
    <xf numFmtId="0" fontId="52" fillId="30" borderId="61" applyNumberFormat="0" applyAlignment="0" applyProtection="0"/>
    <xf numFmtId="9" fontId="4"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2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4" fillId="0" borderId="0" applyFont="0" applyFill="0" applyBorder="0" applyAlignment="0" applyProtection="0"/>
    <xf numFmtId="9" fontId="27" fillId="0" borderId="0" applyFont="0" applyFill="0" applyBorder="0" applyAlignment="0" applyProtection="0"/>
    <xf numFmtId="0" fontId="53" fillId="0" borderId="0" applyNumberFormat="0" applyFill="0" applyBorder="0" applyAlignment="0" applyProtection="0"/>
    <xf numFmtId="0" fontId="54" fillId="0" borderId="62" applyNumberFormat="0" applyFill="0" applyAlignment="0" applyProtection="0"/>
    <xf numFmtId="0" fontId="55" fillId="0" borderId="0" applyNumberFormat="0" applyFill="0" applyBorder="0" applyAlignment="0" applyProtection="0"/>
    <xf numFmtId="0" fontId="4" fillId="0" borderId="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5" borderId="6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5" borderId="60" applyNumberFormat="0" applyFont="0" applyAlignment="0" applyProtection="0"/>
    <xf numFmtId="0" fontId="1" fillId="0" borderId="0"/>
    <xf numFmtId="0" fontId="1" fillId="35" borderId="60" applyNumberFormat="0" applyFont="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5"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cellStyleXfs>
  <cellXfs count="460">
    <xf numFmtId="0" fontId="0" fillId="0" borderId="0" xfId="0"/>
    <xf numFmtId="0" fontId="8"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5" fillId="38" borderId="18" xfId="0" applyNumberFormat="1" applyFont="1" applyFill="1" applyBorder="1" applyAlignment="1" applyProtection="1">
      <alignment vertical="center" wrapText="1"/>
      <protection hidden="1"/>
    </xf>
    <xf numFmtId="0" fontId="8" fillId="0" borderId="0" xfId="0" applyFont="1" applyBorder="1" applyProtection="1"/>
    <xf numFmtId="4" fontId="8" fillId="0" borderId="0" xfId="0" applyNumberFormat="1" applyFont="1" applyFill="1" applyBorder="1" applyProtection="1"/>
    <xf numFmtId="4" fontId="9" fillId="38" borderId="3" xfId="0" applyNumberFormat="1" applyFont="1" applyFill="1" applyBorder="1" applyAlignment="1" applyProtection="1">
      <protection hidden="1"/>
    </xf>
    <xf numFmtId="4" fontId="8" fillId="38" borderId="3" xfId="0" applyNumberFormat="1" applyFont="1" applyFill="1" applyBorder="1" applyAlignment="1" applyProtection="1">
      <protection hidden="1"/>
    </xf>
    <xf numFmtId="4" fontId="8" fillId="38" borderId="5" xfId="0" applyNumberFormat="1" applyFont="1" applyFill="1" applyBorder="1" applyAlignment="1" applyProtection="1">
      <protection hidden="1"/>
    </xf>
    <xf numFmtId="0" fontId="57" fillId="0" borderId="94" xfId="0" applyFont="1" applyBorder="1"/>
    <xf numFmtId="0" fontId="57" fillId="0" borderId="95" xfId="0" applyFont="1" applyBorder="1"/>
    <xf numFmtId="0" fontId="57" fillId="0" borderId="96" xfId="0" applyFont="1" applyBorder="1"/>
    <xf numFmtId="0" fontId="57" fillId="0" borderId="97" xfId="0" applyFont="1" applyBorder="1"/>
    <xf numFmtId="14" fontId="0" fillId="0" borderId="0" xfId="0" applyNumberFormat="1"/>
    <xf numFmtId="9" fontId="0" fillId="0" borderId="0" xfId="58" applyFont="1"/>
    <xf numFmtId="4" fontId="56" fillId="0" borderId="0" xfId="0" applyNumberFormat="1" applyFont="1" applyFill="1" applyBorder="1" applyProtection="1"/>
    <xf numFmtId="0" fontId="8" fillId="39" borderId="0" xfId="0" applyFont="1" applyFill="1" applyBorder="1"/>
    <xf numFmtId="0" fontId="29" fillId="0" borderId="17" xfId="0" applyFont="1" applyBorder="1" applyAlignment="1">
      <alignment vertical="center" wrapText="1"/>
    </xf>
    <xf numFmtId="0" fontId="29" fillId="0" borderId="38" xfId="0" applyFont="1" applyBorder="1" applyAlignment="1">
      <alignment vertical="center" wrapText="1"/>
    </xf>
    <xf numFmtId="0" fontId="0" fillId="0" borderId="0" xfId="0" applyProtection="1"/>
    <xf numFmtId="0" fontId="8" fillId="39" borderId="0" xfId="0" applyFont="1" applyFill="1" applyBorder="1" applyProtection="1">
      <protection hidden="1"/>
    </xf>
    <xf numFmtId="4" fontId="8" fillId="39" borderId="0" xfId="0" applyNumberFormat="1" applyFont="1" applyFill="1" applyBorder="1" applyProtection="1">
      <protection hidden="1"/>
    </xf>
    <xf numFmtId="4" fontId="56" fillId="39" borderId="0" xfId="0" applyNumberFormat="1" applyFont="1" applyFill="1" applyBorder="1" applyProtection="1">
      <protection hidden="1"/>
    </xf>
    <xf numFmtId="0" fontId="0" fillId="39" borderId="0" xfId="0" applyFill="1" applyProtection="1">
      <protection hidden="1"/>
    </xf>
    <xf numFmtId="4" fontId="25" fillId="39" borderId="9" xfId="0" applyNumberFormat="1" applyFont="1" applyFill="1" applyBorder="1" applyAlignment="1" applyProtection="1">
      <alignment vertical="center" wrapText="1"/>
      <protection hidden="1"/>
    </xf>
    <xf numFmtId="0" fontId="4" fillId="39" borderId="0" xfId="0" applyFont="1" applyFill="1" applyBorder="1" applyProtection="1">
      <protection hidden="1"/>
    </xf>
    <xf numFmtId="4" fontId="4" fillId="39" borderId="0" xfId="0" applyNumberFormat="1" applyFont="1" applyFill="1" applyBorder="1" applyProtection="1">
      <protection hidden="1"/>
    </xf>
    <xf numFmtId="0" fontId="17" fillId="0" borderId="1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4" fontId="4" fillId="39" borderId="9" xfId="0" applyNumberFormat="1" applyFont="1" applyFill="1" applyBorder="1" applyProtection="1">
      <protection hidden="1"/>
    </xf>
    <xf numFmtId="0" fontId="17" fillId="0" borderId="13"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56" fillId="39" borderId="0" xfId="0" applyFont="1" applyFill="1" applyProtection="1">
      <protection hidden="1"/>
    </xf>
    <xf numFmtId="4" fontId="4" fillId="36" borderId="2" xfId="96" applyNumberFormat="1" applyFont="1" applyFill="1" applyBorder="1" applyAlignment="1" applyProtection="1">
      <alignment horizontal="center" vertical="center" wrapText="1"/>
      <protection hidden="1"/>
    </xf>
    <xf numFmtId="4" fontId="9" fillId="38" borderId="21" xfId="0" applyNumberFormat="1" applyFont="1" applyFill="1" applyBorder="1" applyProtection="1">
      <protection hidden="1"/>
    </xf>
    <xf numFmtId="4" fontId="8" fillId="4" borderId="2" xfId="53" applyNumberFormat="1" applyFont="1" applyFill="1" applyBorder="1" applyAlignment="1" applyProtection="1">
      <alignment horizontal="center" vertical="center" wrapText="1"/>
      <protection hidden="1"/>
    </xf>
    <xf numFmtId="0" fontId="8" fillId="39" borderId="4" xfId="0" applyFont="1" applyFill="1" applyBorder="1" applyProtection="1">
      <protection hidden="1"/>
    </xf>
    <xf numFmtId="4" fontId="9" fillId="38" borderId="3" xfId="0" applyNumberFormat="1" applyFont="1" applyFill="1" applyBorder="1" applyAlignment="1" applyProtection="1">
      <alignment wrapText="1"/>
      <protection hidden="1"/>
    </xf>
    <xf numFmtId="4" fontId="8" fillId="38" borderId="3" xfId="0" applyNumberFormat="1" applyFont="1" applyFill="1" applyBorder="1" applyProtection="1">
      <protection hidden="1"/>
    </xf>
    <xf numFmtId="4" fontId="8" fillId="38" borderId="5" xfId="0" applyNumberFormat="1" applyFont="1" applyFill="1" applyBorder="1" applyProtection="1">
      <protection hidden="1"/>
    </xf>
    <xf numFmtId="4" fontId="8" fillId="38" borderId="5" xfId="0" applyNumberFormat="1" applyFont="1" applyFill="1" applyBorder="1" applyAlignment="1" applyProtection="1">
      <alignment wrapText="1"/>
      <protection hidden="1"/>
    </xf>
    <xf numFmtId="4" fontId="8" fillId="39" borderId="9" xfId="0" applyNumberFormat="1" applyFont="1" applyFill="1" applyBorder="1" applyProtection="1">
      <protection hidden="1"/>
    </xf>
    <xf numFmtId="0" fontId="8" fillId="0" borderId="10"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4" fontId="8" fillId="36" borderId="2" xfId="53" applyNumberFormat="1" applyFont="1" applyFill="1" applyBorder="1" applyAlignment="1" applyProtection="1">
      <alignment horizontal="center" vertical="center" wrapText="1"/>
      <protection hidden="1"/>
    </xf>
    <xf numFmtId="4" fontId="4" fillId="38" borderId="3" xfId="0" applyNumberFormat="1" applyFont="1" applyFill="1" applyBorder="1" applyProtection="1">
      <protection hidden="1"/>
    </xf>
    <xf numFmtId="4" fontId="8" fillId="39" borderId="0" xfId="0" applyNumberFormat="1" applyFont="1" applyFill="1" applyBorder="1" applyAlignment="1" applyProtection="1">
      <alignment vertical="center" wrapText="1"/>
      <protection hidden="1"/>
    </xf>
    <xf numFmtId="0" fontId="15" fillId="39" borderId="9"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0" fontId="9" fillId="0" borderId="3" xfId="0" applyFont="1" applyFill="1" applyBorder="1" applyAlignment="1" applyProtection="1">
      <alignment horizontal="center" vertical="center" wrapText="1"/>
      <protection hidden="1"/>
    </xf>
    <xf numFmtId="0" fontId="9" fillId="0" borderId="3" xfId="0" applyFont="1" applyBorder="1" applyAlignment="1" applyProtection="1">
      <alignment horizontal="center" vertical="center" wrapText="1"/>
      <protection hidden="1"/>
    </xf>
    <xf numFmtId="0" fontId="9" fillId="0" borderId="9" xfId="0" applyFont="1" applyBorder="1" applyAlignment="1" applyProtection="1">
      <alignment horizontal="center" vertical="center" wrapText="1"/>
      <protection hidden="1"/>
    </xf>
    <xf numFmtId="0" fontId="9" fillId="0" borderId="2" xfId="0" applyFont="1" applyFill="1" applyBorder="1" applyAlignment="1" applyProtection="1">
      <alignment horizontal="center" vertical="center" wrapText="1"/>
      <protection hidden="1"/>
    </xf>
    <xf numFmtId="0" fontId="9" fillId="0" borderId="2" xfId="0" applyFont="1" applyBorder="1" applyAlignment="1" applyProtection="1">
      <alignment horizontal="center" vertical="center" wrapText="1"/>
      <protection hidden="1"/>
    </xf>
    <xf numFmtId="0" fontId="9" fillId="0" borderId="1" xfId="0" applyFont="1" applyBorder="1" applyAlignment="1" applyProtection="1">
      <alignment horizontal="center" vertical="center" wrapText="1"/>
      <protection hidden="1"/>
    </xf>
    <xf numFmtId="0" fontId="8" fillId="39" borderId="0"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hidden="1"/>
    </xf>
    <xf numFmtId="0" fontId="9" fillId="0" borderId="98" xfId="0" applyFont="1" applyFill="1" applyBorder="1" applyAlignment="1" applyProtection="1">
      <alignment horizontal="center" vertical="center" wrapText="1"/>
      <protection hidden="1"/>
    </xf>
    <xf numFmtId="3" fontId="15" fillId="39" borderId="0" xfId="0" applyNumberFormat="1" applyFont="1" applyFill="1" applyBorder="1" applyAlignment="1" applyProtection="1">
      <alignment horizontal="center" vertical="center" wrapText="1"/>
      <protection hidden="1"/>
    </xf>
    <xf numFmtId="3" fontId="22" fillId="41" borderId="38" xfId="0" applyNumberFormat="1" applyFont="1" applyFill="1" applyBorder="1" applyAlignment="1" applyProtection="1">
      <alignment horizontal="center" vertical="center" wrapText="1"/>
      <protection hidden="1"/>
    </xf>
    <xf numFmtId="0" fontId="58" fillId="39" borderId="0" xfId="0" applyFont="1" applyFill="1" applyBorder="1" applyAlignment="1" applyProtection="1">
      <alignment horizontal="left" vertical="center"/>
      <protection hidden="1"/>
    </xf>
    <xf numFmtId="3" fontId="18"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4" fillId="39" borderId="9" xfId="0" applyFont="1" applyFill="1" applyBorder="1" applyAlignment="1" applyProtection="1">
      <protection hidden="1"/>
    </xf>
    <xf numFmtId="3" fontId="18" fillId="39" borderId="0" xfId="28" applyNumberFormat="1" applyFont="1" applyFill="1" applyBorder="1" applyAlignment="1" applyProtection="1">
      <alignment horizontal="center" vertical="center" wrapText="1"/>
      <protection hidden="1"/>
    </xf>
    <xf numFmtId="0" fontId="18" fillId="39" borderId="0" xfId="0" quotePrefix="1" applyFont="1" applyFill="1" applyBorder="1" applyAlignment="1" applyProtection="1">
      <alignment horizontal="center" vertical="center" wrapText="1"/>
      <protection hidden="1"/>
    </xf>
    <xf numFmtId="0" fontId="8" fillId="39" borderId="9" xfId="0" applyFont="1" applyFill="1" applyBorder="1" applyAlignment="1" applyProtection="1">
      <protection hidden="1"/>
    </xf>
    <xf numFmtId="0" fontId="8" fillId="39" borderId="0" xfId="0" applyFont="1" applyFill="1" applyBorder="1" applyAlignment="1" applyProtection="1">
      <alignment horizontal="center"/>
      <protection hidden="1"/>
    </xf>
    <xf numFmtId="3" fontId="13" fillId="39" borderId="0" xfId="0" applyNumberFormat="1" applyFont="1" applyFill="1" applyBorder="1" applyAlignment="1" applyProtection="1">
      <alignment horizontal="center" wrapText="1"/>
      <protection hidden="1"/>
    </xf>
    <xf numFmtId="0" fontId="13" fillId="39" borderId="16" xfId="0" applyFont="1" applyFill="1" applyBorder="1" applyAlignment="1" applyProtection="1">
      <alignment horizontal="center" wrapText="1"/>
      <protection hidden="1"/>
    </xf>
    <xf numFmtId="0" fontId="8" fillId="39" borderId="30" xfId="0" applyFont="1" applyFill="1" applyBorder="1" applyAlignment="1" applyProtection="1">
      <protection hidden="1"/>
    </xf>
    <xf numFmtId="3" fontId="56" fillId="39" borderId="0" xfId="0" applyNumberFormat="1" applyFont="1" applyFill="1" applyBorder="1" applyProtection="1">
      <protection hidden="1"/>
    </xf>
    <xf numFmtId="3" fontId="56" fillId="39" borderId="0" xfId="0" applyNumberFormat="1"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0" applyFont="1" applyFill="1" applyBorder="1" applyAlignment="1" applyProtection="1">
      <alignment horizontal="center"/>
      <protection hidden="1"/>
    </xf>
    <xf numFmtId="0" fontId="56" fillId="39" borderId="0" xfId="0" applyFont="1" applyFill="1" applyBorder="1" applyAlignment="1" applyProtection="1">
      <alignment vertical="center" wrapText="1"/>
      <protection hidden="1"/>
    </xf>
    <xf numFmtId="0" fontId="8" fillId="0" borderId="69" xfId="0" applyFont="1" applyFill="1" applyBorder="1" applyAlignment="1" applyProtection="1">
      <alignment horizontal="center" vertical="center" wrapText="1"/>
      <protection hidden="1"/>
    </xf>
    <xf numFmtId="4" fontId="8" fillId="0" borderId="70" xfId="0" applyNumberFormat="1" applyFont="1" applyFill="1" applyBorder="1" applyAlignment="1" applyProtection="1">
      <alignment horizontal="center" vertical="center" wrapText="1"/>
      <protection hidden="1"/>
    </xf>
    <xf numFmtId="0" fontId="8" fillId="0" borderId="77" xfId="0" applyFont="1" applyFill="1" applyBorder="1" applyAlignment="1" applyProtection="1">
      <alignment horizontal="center" vertical="center" wrapText="1"/>
      <protection hidden="1"/>
    </xf>
    <xf numFmtId="0" fontId="8" fillId="0" borderId="78" xfId="0" applyFont="1" applyBorder="1" applyAlignment="1" applyProtection="1">
      <alignment horizontal="center" vertical="center" wrapText="1"/>
      <protection hidden="1"/>
    </xf>
    <xf numFmtId="0" fontId="8" fillId="0" borderId="79" xfId="0" applyFont="1" applyBorder="1" applyAlignment="1" applyProtection="1">
      <alignment horizontal="center" vertical="center" wrapText="1"/>
      <protection hidden="1"/>
    </xf>
    <xf numFmtId="0" fontId="8" fillId="0" borderId="7" xfId="0" applyFont="1" applyFill="1" applyBorder="1" applyAlignment="1" applyProtection="1">
      <alignment horizontal="center" vertical="center" wrapText="1"/>
      <protection hidden="1"/>
    </xf>
    <xf numFmtId="0" fontId="8" fillId="0" borderId="51" xfId="0" applyFont="1" applyFill="1" applyBorder="1" applyAlignment="1" applyProtection="1">
      <alignment horizontal="center" vertical="center" wrapText="1"/>
      <protection hidden="1"/>
    </xf>
    <xf numFmtId="0" fontId="8" fillId="39" borderId="0" xfId="0" applyFont="1" applyFill="1" applyBorder="1" applyAlignment="1" applyProtection="1">
      <alignment vertical="center" wrapText="1"/>
      <protection hidden="1"/>
    </xf>
    <xf numFmtId="0" fontId="56" fillId="39" borderId="0" xfId="0" applyFont="1" applyFill="1" applyBorder="1" applyProtection="1">
      <protection hidden="1"/>
    </xf>
    <xf numFmtId="4" fontId="6" fillId="0" borderId="21" xfId="0" applyNumberFormat="1" applyFont="1" applyFill="1" applyBorder="1" applyAlignment="1" applyProtection="1">
      <alignment vertical="center" wrapText="1"/>
      <protection hidden="1"/>
    </xf>
    <xf numFmtId="166" fontId="6" fillId="0" borderId="71" xfId="28" applyNumberFormat="1" applyFont="1" applyFill="1" applyBorder="1" applyAlignment="1" applyProtection="1">
      <alignment vertical="center" wrapText="1"/>
      <protection hidden="1"/>
    </xf>
    <xf numFmtId="164" fontId="6" fillId="0" borderId="72" xfId="58" applyNumberFormat="1" applyFont="1" applyFill="1" applyBorder="1" applyAlignment="1" applyProtection="1">
      <alignment horizontal="right" vertical="center" wrapText="1"/>
      <protection hidden="1"/>
    </xf>
    <xf numFmtId="166" fontId="6" fillId="0" borderId="80" xfId="28" applyNumberFormat="1" applyFont="1" applyFill="1" applyBorder="1" applyAlignment="1" applyProtection="1">
      <alignment horizontal="right" vertical="center" wrapText="1"/>
      <protection hidden="1"/>
    </xf>
    <xf numFmtId="166" fontId="6" fillId="0" borderId="81" xfId="28" applyNumberFormat="1" applyFont="1" applyFill="1" applyBorder="1" applyAlignment="1" applyProtection="1">
      <alignment horizontal="right" vertical="center" wrapText="1"/>
      <protection hidden="1"/>
    </xf>
    <xf numFmtId="9" fontId="9" fillId="0" borderId="82" xfId="58" applyNumberFormat="1" applyFont="1" applyFill="1" applyBorder="1" applyAlignment="1" applyProtection="1">
      <alignment horizontal="right"/>
      <protection hidden="1"/>
    </xf>
    <xf numFmtId="9" fontId="9" fillId="0" borderId="82" xfId="58" applyFont="1" applyFill="1" applyBorder="1" applyAlignment="1" applyProtection="1">
      <alignment horizontal="right"/>
      <protection hidden="1"/>
    </xf>
    <xf numFmtId="166" fontId="6" fillId="0" borderId="2" xfId="28" applyNumberFormat="1" applyFont="1" applyFill="1" applyBorder="1" applyAlignment="1" applyProtection="1">
      <alignment horizontal="right" vertical="center" wrapText="1"/>
      <protection hidden="1"/>
    </xf>
    <xf numFmtId="0" fontId="60" fillId="0" borderId="90" xfId="0" applyFont="1" applyBorder="1" applyAlignment="1" applyProtection="1">
      <alignment horizontal="left"/>
      <protection hidden="1"/>
    </xf>
    <xf numFmtId="166" fontId="57"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9" fontId="4" fillId="0" borderId="93" xfId="58" applyNumberFormat="1" applyFont="1" applyFill="1" applyBorder="1" applyAlignment="1" applyProtection="1">
      <alignment horizontal="right"/>
      <protection hidden="1"/>
    </xf>
    <xf numFmtId="9" fontId="4" fillId="0" borderId="93" xfId="58" applyFont="1" applyFill="1" applyBorder="1" applyAlignment="1" applyProtection="1">
      <alignment horizontal="right"/>
      <protection hidden="1"/>
    </xf>
    <xf numFmtId="166" fontId="57" fillId="0" borderId="89" xfId="28" applyNumberFormat="1" applyFont="1" applyBorder="1" applyAlignment="1" applyProtection="1">
      <alignment horizontal="left"/>
      <protection hidden="1"/>
    </xf>
    <xf numFmtId="49" fontId="56"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5" fillId="0" borderId="73" xfId="28" applyNumberFormat="1" applyFont="1" applyFill="1" applyBorder="1" applyAlignment="1" applyProtection="1">
      <alignment horizontal="right" vertical="center" wrapText="1"/>
      <protection hidden="1"/>
    </xf>
    <xf numFmtId="164" fontId="5" fillId="0" borderId="74" xfId="65" applyNumberFormat="1" applyFont="1" applyFill="1" applyBorder="1" applyAlignment="1" applyProtection="1">
      <alignment horizontal="right" vertical="center" wrapText="1"/>
      <protection hidden="1"/>
    </xf>
    <xf numFmtId="166" fontId="5" fillId="0" borderId="83" xfId="28" applyNumberFormat="1" applyFont="1" applyFill="1" applyBorder="1" applyAlignment="1" applyProtection="1">
      <alignment horizontal="right" vertical="center" wrapText="1"/>
      <protection hidden="1"/>
    </xf>
    <xf numFmtId="166" fontId="5" fillId="0" borderId="84" xfId="28" applyNumberFormat="1" applyFont="1" applyFill="1" applyBorder="1" applyAlignment="1" applyProtection="1">
      <alignment horizontal="right" vertical="center" wrapText="1"/>
      <protection hidden="1"/>
    </xf>
    <xf numFmtId="9" fontId="4" fillId="0" borderId="85" xfId="58" applyNumberFormat="1" applyFont="1" applyFill="1" applyBorder="1" applyAlignment="1" applyProtection="1">
      <alignment horizontal="right"/>
      <protection hidden="1"/>
    </xf>
    <xf numFmtId="9" fontId="4" fillId="0" borderId="85" xfId="58" applyFont="1" applyFill="1" applyBorder="1" applyAlignment="1" applyProtection="1">
      <alignment horizontal="right"/>
      <protection hidden="1"/>
    </xf>
    <xf numFmtId="166" fontId="5"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8" fillId="39" borderId="7" xfId="0" applyNumberFormat="1" applyFont="1" applyFill="1" applyBorder="1" applyProtection="1">
      <protection hidden="1"/>
    </xf>
    <xf numFmtId="4" fontId="8" fillId="39" borderId="5" xfId="0" applyNumberFormat="1" applyFont="1" applyFill="1" applyBorder="1" applyAlignment="1" applyProtection="1">
      <alignment vertical="center" wrapText="1"/>
      <protection hidden="1"/>
    </xf>
    <xf numFmtId="166" fontId="60" fillId="0" borderId="91" xfId="28" applyNumberFormat="1" applyFont="1" applyBorder="1" applyAlignment="1" applyProtection="1">
      <alignment horizontal="left"/>
      <protection hidden="1"/>
    </xf>
    <xf numFmtId="164" fontId="6" fillId="0" borderId="92" xfId="65" applyNumberFormat="1" applyFont="1" applyFill="1" applyBorder="1" applyAlignment="1" applyProtection="1">
      <alignment horizontal="right" vertical="center" wrapText="1"/>
      <protection hidden="1"/>
    </xf>
    <xf numFmtId="166" fontId="60" fillId="0" borderId="89" xfId="28" applyNumberFormat="1" applyFont="1" applyBorder="1" applyAlignment="1" applyProtection="1">
      <alignment horizontal="left"/>
      <protection hidden="1"/>
    </xf>
    <xf numFmtId="4" fontId="8" fillId="0" borderId="18" xfId="0" applyNumberFormat="1" applyFont="1" applyFill="1" applyBorder="1" applyProtection="1">
      <protection hidden="1"/>
    </xf>
    <xf numFmtId="0" fontId="0" fillId="0" borderId="0" xfId="0" applyProtection="1">
      <protection hidden="1"/>
    </xf>
    <xf numFmtId="4" fontId="8" fillId="0" borderId="0" xfId="0" applyNumberFormat="1" applyFont="1" applyFill="1" applyBorder="1" applyProtection="1">
      <protection hidden="1"/>
    </xf>
    <xf numFmtId="4" fontId="6" fillId="0" borderId="2" xfId="0" applyNumberFormat="1" applyFont="1" applyFill="1" applyBorder="1" applyAlignment="1" applyProtection="1">
      <alignment vertical="center" wrapText="1"/>
      <protection hidden="1"/>
    </xf>
    <xf numFmtId="0" fontId="60"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60" fillId="0" borderId="5" xfId="0" applyFont="1" applyBorder="1" applyAlignment="1" applyProtection="1">
      <alignment horizontal="left"/>
      <protection hidden="1"/>
    </xf>
    <xf numFmtId="0" fontId="60" fillId="0" borderId="89" xfId="0" applyFont="1" applyBorder="1" applyAlignment="1" applyProtection="1">
      <alignment horizontal="left"/>
      <protection hidden="1"/>
    </xf>
    <xf numFmtId="0" fontId="14" fillId="2" borderId="0" xfId="0" applyFont="1" applyFill="1" applyBorder="1" applyAlignment="1" applyProtection="1">
      <alignment vertical="center" wrapText="1"/>
      <protection hidden="1"/>
    </xf>
    <xf numFmtId="0" fontId="14" fillId="2" borderId="0" xfId="0" applyFont="1" applyFill="1" applyBorder="1" applyAlignment="1" applyProtection="1">
      <alignment horizontal="left" vertical="center" wrapText="1"/>
      <protection hidden="1"/>
    </xf>
    <xf numFmtId="0" fontId="10" fillId="2" borderId="0" xfId="0" applyFont="1" applyFill="1" applyBorder="1" applyAlignment="1" applyProtection="1">
      <alignment horizontal="center" vertical="center" wrapText="1"/>
      <protection hidden="1"/>
    </xf>
    <xf numFmtId="0" fontId="12" fillId="2" borderId="0" xfId="0" applyFont="1" applyFill="1" applyBorder="1" applyAlignment="1" applyProtection="1">
      <alignment horizontal="right" vertical="center" wrapText="1"/>
      <protection hidden="1"/>
    </xf>
    <xf numFmtId="0" fontId="11" fillId="2" borderId="0" xfId="0" applyFont="1" applyFill="1" applyBorder="1" applyAlignment="1" applyProtection="1">
      <alignment vertical="center" wrapText="1"/>
      <protection hidden="1"/>
    </xf>
    <xf numFmtId="0" fontId="8" fillId="37" borderId="32" xfId="0" applyFont="1" applyFill="1" applyBorder="1" applyAlignment="1" applyProtection="1">
      <alignment horizontal="center" vertical="center" wrapText="1"/>
      <protection hidden="1"/>
    </xf>
    <xf numFmtId="0" fontId="8" fillId="37" borderId="19" xfId="0" applyFont="1" applyFill="1" applyBorder="1" applyAlignment="1" applyProtection="1">
      <alignment horizontal="center" vertical="center" wrapText="1"/>
      <protection hidden="1"/>
    </xf>
    <xf numFmtId="10" fontId="14" fillId="0" borderId="0" xfId="58" applyNumberFormat="1" applyFont="1" applyFill="1" applyBorder="1" applyAlignment="1" applyProtection="1">
      <alignment vertical="center" wrapText="1"/>
      <protection hidden="1"/>
    </xf>
    <xf numFmtId="0" fontId="22" fillId="41" borderId="17" xfId="0" applyFont="1" applyFill="1" applyBorder="1" applyAlignment="1" applyProtection="1">
      <alignment horizontal="left" vertical="center" wrapText="1"/>
      <protection hidden="1"/>
    </xf>
    <xf numFmtId="49" fontId="17" fillId="38" borderId="4" xfId="0" applyNumberFormat="1" applyFont="1" applyFill="1" applyBorder="1" applyAlignment="1" applyProtection="1">
      <alignment horizontal="center" vertical="center" wrapText="1"/>
      <protection hidden="1"/>
    </xf>
    <xf numFmtId="0" fontId="17" fillId="38" borderId="4" xfId="0" applyFont="1" applyFill="1" applyBorder="1" applyAlignment="1" applyProtection="1">
      <alignment horizontal="center" vertical="center" wrapText="1"/>
      <protection hidden="1"/>
    </xf>
    <xf numFmtId="0" fontId="17" fillId="38" borderId="4" xfId="0" quotePrefix="1" applyFont="1" applyFill="1" applyBorder="1" applyAlignment="1" applyProtection="1">
      <alignment horizontal="center" vertical="center" wrapText="1"/>
      <protection hidden="1"/>
    </xf>
    <xf numFmtId="0" fontId="17" fillId="38" borderId="0" xfId="0" quotePrefix="1" applyFont="1" applyFill="1" applyBorder="1" applyAlignment="1" applyProtection="1">
      <alignment horizontal="center" vertical="center" wrapText="1"/>
      <protection hidden="1"/>
    </xf>
    <xf numFmtId="49" fontId="17" fillId="38" borderId="0" xfId="0" applyNumberFormat="1" applyFont="1" applyFill="1" applyBorder="1" applyAlignment="1" applyProtection="1">
      <alignment horizontal="center" vertical="center" wrapText="1"/>
      <protection hidden="1"/>
    </xf>
    <xf numFmtId="0" fontId="26" fillId="39" borderId="0" xfId="0" applyFont="1" applyFill="1" applyProtection="1">
      <protection hidden="1"/>
    </xf>
    <xf numFmtId="0" fontId="16" fillId="39" borderId="16" xfId="49" applyFill="1" applyBorder="1" applyAlignment="1" applyProtection="1">
      <alignment horizontal="center" vertical="center" wrapText="1"/>
      <protection hidden="1"/>
    </xf>
    <xf numFmtId="0" fontId="16" fillId="39" borderId="0" xfId="49" applyFill="1" applyBorder="1" applyAlignment="1" applyProtection="1">
      <alignment horizontal="center" vertical="center" wrapText="1"/>
      <protection hidden="1"/>
    </xf>
    <xf numFmtId="0" fontId="11" fillId="39" borderId="0" xfId="0" applyFont="1" applyFill="1" applyBorder="1" applyAlignment="1" applyProtection="1">
      <alignment vertical="center" wrapText="1"/>
      <protection hidden="1"/>
    </xf>
    <xf numFmtId="0" fontId="15" fillId="2" borderId="6" xfId="0" applyFont="1" applyFill="1" applyBorder="1" applyAlignment="1" applyProtection="1">
      <alignment vertical="center" wrapText="1"/>
      <protection hidden="1"/>
    </xf>
    <xf numFmtId="0" fontId="8" fillId="0" borderId="20" xfId="0" applyFont="1" applyFill="1" applyBorder="1" applyAlignment="1" applyProtection="1">
      <alignment horizontal="center" vertical="center" wrapText="1"/>
      <protection hidden="1"/>
    </xf>
    <xf numFmtId="0" fontId="14" fillId="39" borderId="0" xfId="0" applyFont="1" applyFill="1" applyBorder="1" applyAlignment="1" applyProtection="1">
      <alignment vertical="center" wrapText="1"/>
      <protection hidden="1"/>
    </xf>
    <xf numFmtId="0" fontId="14"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8" fillId="38" borderId="2" xfId="53" applyNumberFormat="1" applyFont="1" applyFill="1" applyBorder="1" applyAlignment="1" applyProtection="1">
      <alignment horizontal="right" vertical="center" wrapText="1" indent="1"/>
      <protection hidden="1"/>
    </xf>
    <xf numFmtId="165" fontId="8" fillId="38" borderId="2" xfId="53" applyNumberFormat="1" applyFont="1" applyFill="1" applyBorder="1" applyAlignment="1" applyProtection="1">
      <alignment horizontal="right" vertical="center" wrapText="1" indent="1"/>
      <protection hidden="1"/>
    </xf>
    <xf numFmtId="167" fontId="8" fillId="38" borderId="2" xfId="53" applyNumberFormat="1" applyFont="1" applyFill="1" applyBorder="1" applyAlignment="1" applyProtection="1">
      <alignment horizontal="right" vertical="center" wrapText="1" indent="1"/>
      <protection hidden="1"/>
    </xf>
    <xf numFmtId="10" fontId="8" fillId="38" borderId="2" xfId="58" applyNumberFormat="1" applyFont="1" applyFill="1" applyBorder="1" applyAlignment="1" applyProtection="1">
      <alignment horizontal="right" vertical="center" wrapText="1" indent="1"/>
      <protection hidden="1"/>
    </xf>
    <xf numFmtId="4" fontId="8" fillId="4" borderId="2" xfId="53" applyNumberFormat="1" applyFont="1" applyFill="1" applyBorder="1" applyAlignment="1" applyProtection="1">
      <alignment horizontal="right" vertical="center" wrapText="1" indent="1"/>
      <protection hidden="1"/>
    </xf>
    <xf numFmtId="167" fontId="8" fillId="38" borderId="2" xfId="58" applyNumberFormat="1" applyFont="1" applyFill="1" applyBorder="1" applyAlignment="1" applyProtection="1">
      <alignment horizontal="right" vertical="center" wrapText="1" indent="1"/>
      <protection hidden="1"/>
    </xf>
    <xf numFmtId="3" fontId="22" fillId="41" borderId="39" xfId="28" applyNumberFormat="1" applyFont="1" applyFill="1" applyBorder="1" applyAlignment="1" applyProtection="1">
      <alignment horizontal="right" vertical="center" wrapText="1" indent="1"/>
      <protection hidden="1"/>
    </xf>
    <xf numFmtId="167" fontId="22" fillId="41" borderId="38" xfId="58" applyNumberFormat="1" applyFont="1" applyFill="1" applyBorder="1" applyAlignment="1" applyProtection="1">
      <alignment horizontal="right" vertical="center" wrapText="1" indent="1"/>
      <protection hidden="1"/>
    </xf>
    <xf numFmtId="3" fontId="18" fillId="38" borderId="4" xfId="30" applyNumberFormat="1" applyFont="1" applyFill="1" applyBorder="1" applyAlignment="1" applyProtection="1">
      <alignment horizontal="right" vertical="center" wrapText="1" indent="1"/>
      <protection hidden="1"/>
    </xf>
    <xf numFmtId="167" fontId="18" fillId="38" borderId="9" xfId="60" applyNumberFormat="1" applyFont="1" applyFill="1" applyBorder="1" applyAlignment="1" applyProtection="1">
      <alignment horizontal="right" vertical="center" wrapText="1" indent="1"/>
      <protection hidden="1"/>
    </xf>
    <xf numFmtId="3" fontId="18" fillId="38" borderId="34" xfId="30" applyNumberFormat="1" applyFont="1" applyFill="1" applyBorder="1" applyAlignment="1" applyProtection="1">
      <alignment horizontal="right" vertical="center" wrapText="1" indent="1"/>
      <protection hidden="1"/>
    </xf>
    <xf numFmtId="3" fontId="18" fillId="38" borderId="3" xfId="30" applyNumberFormat="1" applyFont="1" applyFill="1" applyBorder="1" applyAlignment="1" applyProtection="1">
      <alignment horizontal="right" vertical="center" wrapText="1" indent="1"/>
      <protection hidden="1"/>
    </xf>
    <xf numFmtId="3" fontId="18" fillId="38" borderId="31" xfId="30" applyNumberFormat="1" applyFont="1" applyFill="1" applyBorder="1" applyAlignment="1" applyProtection="1">
      <alignment horizontal="right" vertical="center" wrapText="1" indent="1"/>
      <protection hidden="1"/>
    </xf>
    <xf numFmtId="167" fontId="18" fillId="38" borderId="26" xfId="60" applyNumberFormat="1" applyFont="1" applyFill="1" applyBorder="1" applyAlignment="1" applyProtection="1">
      <alignment horizontal="right" vertical="center" wrapText="1" indent="1"/>
      <protection hidden="1"/>
    </xf>
    <xf numFmtId="3" fontId="22" fillId="41" borderId="17" xfId="0" applyNumberFormat="1" applyFont="1" applyFill="1" applyBorder="1" applyAlignment="1" applyProtection="1">
      <alignment horizontal="right" vertical="center" wrapText="1" indent="1"/>
      <protection hidden="1"/>
    </xf>
    <xf numFmtId="3" fontId="22" fillId="41" borderId="17" xfId="28" applyNumberFormat="1" applyFont="1" applyFill="1" applyBorder="1" applyAlignment="1" applyProtection="1">
      <alignment horizontal="right" vertical="center" wrapText="1" indent="1"/>
      <protection hidden="1"/>
    </xf>
    <xf numFmtId="167" fontId="22" fillId="41" borderId="38" xfId="28" applyNumberFormat="1" applyFont="1" applyFill="1" applyBorder="1" applyAlignment="1" applyProtection="1">
      <alignment horizontal="right" vertical="center" wrapText="1" indent="1"/>
      <protection hidden="1"/>
    </xf>
    <xf numFmtId="3" fontId="14" fillId="38" borderId="3" xfId="28" applyNumberFormat="1" applyFont="1" applyFill="1" applyBorder="1" applyAlignment="1" applyProtection="1">
      <alignment horizontal="right" vertical="center" wrapText="1" indent="1"/>
      <protection hidden="1"/>
    </xf>
    <xf numFmtId="3" fontId="14" fillId="38" borderId="4" xfId="28" applyNumberFormat="1" applyFont="1" applyFill="1" applyBorder="1" applyAlignment="1" applyProtection="1">
      <alignment horizontal="right" vertical="center" wrapText="1" indent="1"/>
      <protection hidden="1"/>
    </xf>
    <xf numFmtId="167" fontId="14" fillId="38" borderId="9" xfId="60" applyNumberFormat="1" applyFont="1" applyFill="1" applyBorder="1" applyAlignment="1" applyProtection="1">
      <alignment horizontal="right" vertical="center" wrapText="1" indent="1"/>
      <protection hidden="1"/>
    </xf>
    <xf numFmtId="3" fontId="14" fillId="38" borderId="34" xfId="28" applyNumberFormat="1" applyFont="1" applyFill="1" applyBorder="1" applyAlignment="1" applyProtection="1">
      <alignment horizontal="right" vertical="center" wrapText="1" indent="1"/>
      <protection hidden="1"/>
    </xf>
    <xf numFmtId="3" fontId="14" fillId="38" borderId="35" xfId="28" applyNumberFormat="1" applyFont="1" applyFill="1" applyBorder="1" applyAlignment="1" applyProtection="1">
      <alignment horizontal="right" vertical="center" wrapText="1" indent="1"/>
      <protection hidden="1"/>
    </xf>
    <xf numFmtId="167" fontId="14" fillId="38" borderId="19" xfId="60" applyNumberFormat="1" applyFont="1" applyFill="1" applyBorder="1" applyAlignment="1" applyProtection="1">
      <alignment horizontal="right" vertical="center" wrapText="1" indent="1"/>
      <protection hidden="1"/>
    </xf>
    <xf numFmtId="3" fontId="14" fillId="38" borderId="31" xfId="28" applyNumberFormat="1" applyFont="1" applyFill="1" applyBorder="1" applyAlignment="1" applyProtection="1">
      <alignment horizontal="right" vertical="center" wrapText="1" indent="1"/>
      <protection hidden="1"/>
    </xf>
    <xf numFmtId="3" fontId="14" fillId="38" borderId="29" xfId="28" applyNumberFormat="1" applyFont="1" applyFill="1" applyBorder="1" applyAlignment="1" applyProtection="1">
      <alignment horizontal="right" vertical="center" wrapText="1" indent="1"/>
      <protection hidden="1"/>
    </xf>
    <xf numFmtId="167" fontId="14" fillId="38" borderId="30" xfId="60" applyNumberFormat="1" applyFont="1" applyFill="1" applyBorder="1" applyAlignment="1" applyProtection="1">
      <alignment horizontal="right" vertical="center" wrapText="1" indent="1"/>
      <protection hidden="1"/>
    </xf>
    <xf numFmtId="167" fontId="22" fillId="41" borderId="38" xfId="0" applyNumberFormat="1" applyFont="1" applyFill="1" applyBorder="1" applyAlignment="1" applyProtection="1">
      <alignment horizontal="right" vertical="center" wrapText="1" indent="1"/>
      <protection hidden="1"/>
    </xf>
    <xf numFmtId="3" fontId="22" fillId="41" borderId="38" xfId="0" applyNumberFormat="1" applyFont="1" applyFill="1" applyBorder="1" applyAlignment="1" applyProtection="1">
      <alignment horizontal="right" vertical="center" wrapText="1" indent="1"/>
      <protection hidden="1"/>
    </xf>
    <xf numFmtId="3" fontId="14" fillId="38" borderId="34" xfId="0" applyNumberFormat="1" applyFont="1" applyFill="1" applyBorder="1" applyAlignment="1" applyProtection="1">
      <alignment horizontal="right" vertical="center" wrapText="1" indent="1"/>
      <protection hidden="1"/>
    </xf>
    <xf numFmtId="165" fontId="14" fillId="38" borderId="33" xfId="0" applyNumberFormat="1" applyFont="1" applyFill="1" applyBorder="1" applyAlignment="1" applyProtection="1">
      <alignment horizontal="right" vertical="center" wrapText="1" indent="1"/>
      <protection hidden="1"/>
    </xf>
    <xf numFmtId="3" fontId="14" fillId="38" borderId="3" xfId="0" applyNumberFormat="1" applyFont="1" applyFill="1" applyBorder="1" applyAlignment="1" applyProtection="1">
      <alignment horizontal="right" vertical="center" wrapText="1" indent="1"/>
      <protection hidden="1"/>
    </xf>
    <xf numFmtId="165" fontId="14" fillId="38" borderId="26" xfId="0" applyNumberFormat="1" applyFont="1" applyFill="1" applyBorder="1" applyAlignment="1" applyProtection="1">
      <alignment horizontal="right" vertical="center" wrapText="1" indent="1"/>
      <protection hidden="1"/>
    </xf>
    <xf numFmtId="3" fontId="22" fillId="41" borderId="105" xfId="28" applyNumberFormat="1" applyFont="1" applyFill="1" applyBorder="1" applyAlignment="1" applyProtection="1">
      <alignment horizontal="right" vertical="center" wrapText="1" indent="1"/>
      <protection hidden="1"/>
    </xf>
    <xf numFmtId="3" fontId="22" fillId="41" borderId="104" xfId="28" applyNumberFormat="1" applyFont="1" applyFill="1" applyBorder="1" applyAlignment="1" applyProtection="1">
      <alignment horizontal="right" vertical="center" wrapText="1" indent="1"/>
      <protection hidden="1"/>
    </xf>
    <xf numFmtId="169" fontId="6" fillId="0" borderId="72" xfId="28" applyNumberFormat="1" applyFont="1" applyFill="1" applyBorder="1" applyAlignment="1" applyProtection="1">
      <alignment horizontal="right" vertical="center" wrapText="1" indent="1"/>
      <protection hidden="1"/>
    </xf>
    <xf numFmtId="166" fontId="6" fillId="0" borderId="80" xfId="28" applyNumberFormat="1" applyFont="1" applyFill="1" applyBorder="1" applyAlignment="1" applyProtection="1">
      <alignment horizontal="right" vertical="center" wrapText="1" indent="1"/>
      <protection hidden="1"/>
    </xf>
    <xf numFmtId="166" fontId="6" fillId="0" borderId="81" xfId="28" applyNumberFormat="1" applyFont="1" applyFill="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6" fontId="5" fillId="0" borderId="83" xfId="28" applyNumberFormat="1" applyFont="1" applyFill="1" applyBorder="1" applyAlignment="1" applyProtection="1">
      <alignment horizontal="right" vertical="center" wrapText="1" indent="1"/>
      <protection hidden="1"/>
    </xf>
    <xf numFmtId="166" fontId="5" fillId="0" borderId="84" xfId="28" applyNumberFormat="1" applyFont="1" applyFill="1" applyBorder="1" applyAlignment="1" applyProtection="1">
      <alignment horizontal="right" vertical="center" wrapText="1" indent="1"/>
      <protection hidden="1"/>
    </xf>
    <xf numFmtId="166" fontId="5" fillId="0" borderId="86" xfId="28" applyNumberFormat="1" applyFont="1" applyFill="1" applyBorder="1" applyAlignment="1" applyProtection="1">
      <alignment horizontal="right" vertical="center" wrapText="1" indent="1"/>
      <protection hidden="1"/>
    </xf>
    <xf numFmtId="166" fontId="5" fillId="0" borderId="87" xfId="28" applyNumberFormat="1" applyFont="1" applyFill="1" applyBorder="1" applyAlignment="1" applyProtection="1">
      <alignment horizontal="right" vertical="center" wrapText="1" indent="1"/>
      <protection hidden="1"/>
    </xf>
    <xf numFmtId="3" fontId="6" fillId="0" borderId="80" xfId="28" applyNumberFormat="1" applyFont="1" applyFill="1" applyBorder="1" applyAlignment="1" applyProtection="1">
      <alignment horizontal="right" vertical="center" wrapText="1" indent="1"/>
      <protection hidden="1"/>
    </xf>
    <xf numFmtId="3" fontId="5" fillId="0" borderId="83" xfId="28" applyNumberFormat="1" applyFont="1" applyFill="1" applyBorder="1" applyAlignment="1" applyProtection="1">
      <alignment horizontal="right" vertical="center" wrapText="1" indent="1"/>
      <protection hidden="1"/>
    </xf>
    <xf numFmtId="3" fontId="5" fillId="0" borderId="86" xfId="28" applyNumberFormat="1" applyFont="1" applyFill="1" applyBorder="1" applyAlignment="1" applyProtection="1">
      <alignment horizontal="right" vertical="center" wrapText="1" indent="1"/>
      <protection hidden="1"/>
    </xf>
    <xf numFmtId="171" fontId="5" fillId="0" borderId="92" xfId="28" applyNumberFormat="1" applyFont="1" applyFill="1" applyBorder="1" applyAlignment="1" applyProtection="1">
      <alignment horizontal="right" vertical="center" wrapText="1" indent="1"/>
      <protection hidden="1"/>
    </xf>
    <xf numFmtId="171" fontId="5" fillId="0" borderId="74" xfId="28" applyNumberFormat="1" applyFont="1" applyFill="1" applyBorder="1" applyAlignment="1" applyProtection="1">
      <alignment horizontal="right" vertical="center" wrapText="1" indent="1"/>
      <protection hidden="1"/>
    </xf>
    <xf numFmtId="171" fontId="5" fillId="0" borderId="76" xfId="28" applyNumberFormat="1" applyFont="1" applyFill="1" applyBorder="1" applyAlignment="1" applyProtection="1">
      <alignment horizontal="right" vertical="center" wrapText="1" indent="1"/>
      <protection hidden="1"/>
    </xf>
    <xf numFmtId="37" fontId="6" fillId="0" borderId="2"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9" fillId="0" borderId="2" xfId="28" applyNumberFormat="1" applyFont="1" applyFill="1" applyBorder="1" applyAlignment="1" applyProtection="1">
      <alignment horizontal="right" vertical="center" wrapText="1" indent="1"/>
      <protection hidden="1"/>
    </xf>
    <xf numFmtId="37" fontId="5" fillId="0" borderId="83" xfId="28" applyNumberFormat="1" applyFont="1" applyFill="1" applyBorder="1" applyAlignment="1" applyProtection="1">
      <alignment horizontal="right" vertical="center" wrapText="1" indent="1"/>
      <protection hidden="1"/>
    </xf>
    <xf numFmtId="37" fontId="5" fillId="0" borderId="84" xfId="28" applyNumberFormat="1" applyFont="1" applyFill="1" applyBorder="1" applyAlignment="1" applyProtection="1">
      <alignment horizontal="right" vertical="center" wrapText="1" indent="1"/>
      <protection hidden="1"/>
    </xf>
    <xf numFmtId="37" fontId="5" fillId="0" borderId="86" xfId="28" applyNumberFormat="1" applyFont="1" applyFill="1" applyBorder="1" applyAlignment="1" applyProtection="1">
      <alignment horizontal="right" vertical="center" wrapText="1" indent="1"/>
      <protection hidden="1"/>
    </xf>
    <xf numFmtId="37" fontId="5" fillId="0" borderId="87" xfId="28" applyNumberFormat="1" applyFont="1" applyFill="1" applyBorder="1" applyAlignment="1" applyProtection="1">
      <alignment horizontal="right" vertical="center" wrapText="1" indent="1"/>
      <protection hidden="1"/>
    </xf>
    <xf numFmtId="37" fontId="6" fillId="0" borderId="71" xfId="28" applyNumberFormat="1" applyFont="1" applyFill="1" applyBorder="1" applyAlignment="1" applyProtection="1">
      <alignment horizontal="right" vertical="center" wrapText="1" indent="1"/>
      <protection hidden="1"/>
    </xf>
    <xf numFmtId="37" fontId="5" fillId="0" borderId="73" xfId="28" applyNumberFormat="1" applyFont="1" applyFill="1" applyBorder="1" applyAlignment="1" applyProtection="1">
      <alignment horizontal="right" vertical="center" wrapText="1" indent="1"/>
      <protection hidden="1"/>
    </xf>
    <xf numFmtId="37" fontId="5" fillId="0" borderId="75" xfId="28" applyNumberFormat="1" applyFont="1" applyFill="1" applyBorder="1" applyAlignment="1" applyProtection="1">
      <alignment horizontal="right" vertical="center" wrapText="1" indent="1"/>
      <protection hidden="1"/>
    </xf>
    <xf numFmtId="167" fontId="9" fillId="0" borderId="82" xfId="58" applyNumberFormat="1" applyFont="1" applyFill="1" applyBorder="1" applyAlignment="1" applyProtection="1">
      <alignment horizontal="right" vertical="center" wrapText="1" indent="1"/>
      <protection hidden="1"/>
    </xf>
    <xf numFmtId="37" fontId="57" fillId="0" borderId="91" xfId="28" applyNumberFormat="1" applyFont="1" applyBorder="1" applyAlignment="1" applyProtection="1">
      <alignment horizontal="right" vertical="center" wrapText="1" indent="1"/>
      <protection hidden="1"/>
    </xf>
    <xf numFmtId="3" fontId="57" fillId="0" borderId="91" xfId="28" applyNumberFormat="1" applyFont="1" applyBorder="1" applyAlignment="1" applyProtection="1">
      <alignment horizontal="right" vertical="center" wrapText="1" indent="1"/>
      <protection hidden="1"/>
    </xf>
    <xf numFmtId="167" fontId="4" fillId="0" borderId="93" xfId="58" applyNumberFormat="1" applyFont="1" applyFill="1" applyBorder="1" applyAlignment="1" applyProtection="1">
      <alignment horizontal="right" vertical="center" wrapText="1" indent="1"/>
      <protection hidden="1"/>
    </xf>
    <xf numFmtId="37" fontId="57" fillId="0" borderId="89" xfId="28" applyNumberFormat="1" applyFont="1" applyBorder="1" applyAlignment="1" applyProtection="1">
      <alignment horizontal="right" vertical="center" wrapText="1" indent="1"/>
      <protection hidden="1"/>
    </xf>
    <xf numFmtId="167" fontId="4" fillId="0" borderId="85" xfId="58" applyNumberFormat="1" applyFont="1" applyFill="1" applyBorder="1" applyAlignment="1" applyProtection="1">
      <alignment horizontal="right" vertical="center" wrapText="1" indent="1"/>
      <protection hidden="1"/>
    </xf>
    <xf numFmtId="167" fontId="4" fillId="0" borderId="88" xfId="58" applyNumberFormat="1" applyFont="1" applyFill="1" applyBorder="1" applyAlignment="1" applyProtection="1">
      <alignment horizontal="right" vertical="center" wrapText="1" indent="1"/>
      <protection hidden="1"/>
    </xf>
    <xf numFmtId="166" fontId="57" fillId="0" borderId="91" xfId="28" applyNumberFormat="1" applyFont="1" applyBorder="1" applyAlignment="1" applyProtection="1">
      <alignment horizontal="right" vertical="center" wrapText="1" indent="1"/>
      <protection hidden="1"/>
    </xf>
    <xf numFmtId="37" fontId="4" fillId="0" borderId="73" xfId="28" applyNumberFormat="1" applyFont="1" applyBorder="1" applyAlignment="1" applyProtection="1">
      <alignment horizontal="right" vertical="center" wrapText="1" indent="1"/>
      <protection hidden="1"/>
    </xf>
    <xf numFmtId="171" fontId="4" fillId="0" borderId="74" xfId="28" applyNumberFormat="1" applyFont="1" applyBorder="1" applyAlignment="1" applyProtection="1">
      <alignment horizontal="right" vertical="center" wrapText="1" indent="1"/>
      <protection hidden="1"/>
    </xf>
    <xf numFmtId="3" fontId="4" fillId="0" borderId="83" xfId="28" applyNumberFormat="1" applyFont="1" applyBorder="1" applyAlignment="1" applyProtection="1">
      <alignment horizontal="right" vertical="center" wrapText="1" indent="1"/>
      <protection hidden="1"/>
    </xf>
    <xf numFmtId="166" fontId="4" fillId="0" borderId="84" xfId="28" applyNumberFormat="1" applyFont="1" applyBorder="1" applyAlignment="1" applyProtection="1">
      <alignment horizontal="right" vertical="center" wrapText="1" indent="1"/>
      <protection hidden="1"/>
    </xf>
    <xf numFmtId="167" fontId="4" fillId="0" borderId="85" xfId="58" applyNumberFormat="1" applyFont="1" applyBorder="1" applyAlignment="1" applyProtection="1">
      <alignment horizontal="right" vertical="center" wrapText="1" indent="1"/>
      <protection hidden="1"/>
    </xf>
    <xf numFmtId="166" fontId="4" fillId="0" borderId="83" xfId="28" applyNumberFormat="1" applyFont="1" applyBorder="1" applyAlignment="1" applyProtection="1">
      <alignment horizontal="right" vertical="center" wrapText="1" indent="1"/>
      <protection hidden="1"/>
    </xf>
    <xf numFmtId="37" fontId="4" fillId="0" borderId="83" xfId="28" applyNumberFormat="1" applyFont="1" applyBorder="1" applyAlignment="1" applyProtection="1">
      <alignment horizontal="right" vertical="center" wrapText="1" indent="1"/>
      <protection hidden="1"/>
    </xf>
    <xf numFmtId="37" fontId="4" fillId="0" borderId="84"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75" xfId="28" applyNumberFormat="1" applyFont="1" applyBorder="1" applyAlignment="1" applyProtection="1">
      <alignment horizontal="right" vertical="center" wrapText="1" indent="1"/>
      <protection hidden="1"/>
    </xf>
    <xf numFmtId="171" fontId="4" fillId="0" borderId="76" xfId="28" applyNumberFormat="1" applyFont="1" applyBorder="1" applyAlignment="1" applyProtection="1">
      <alignment horizontal="right" vertical="center" wrapText="1" indent="1"/>
      <protection hidden="1"/>
    </xf>
    <xf numFmtId="3" fontId="4" fillId="0" borderId="86" xfId="28" applyNumberFormat="1" applyFont="1" applyBorder="1" applyAlignment="1" applyProtection="1">
      <alignment horizontal="right" vertical="center" wrapText="1" indent="1"/>
      <protection hidden="1"/>
    </xf>
    <xf numFmtId="166" fontId="4" fillId="0" borderId="87" xfId="28" applyNumberFormat="1" applyFont="1" applyBorder="1" applyAlignment="1" applyProtection="1">
      <alignment horizontal="right" vertical="center" wrapText="1" indent="1"/>
      <protection hidden="1"/>
    </xf>
    <xf numFmtId="167" fontId="4" fillId="0" borderId="88" xfId="58" applyNumberFormat="1" applyFont="1" applyBorder="1" applyAlignment="1" applyProtection="1">
      <alignment horizontal="right" vertical="center" wrapText="1" indent="1"/>
      <protection hidden="1"/>
    </xf>
    <xf numFmtId="166" fontId="4" fillId="0" borderId="86" xfId="28" applyNumberFormat="1" applyFont="1" applyBorder="1" applyAlignment="1" applyProtection="1">
      <alignment horizontal="right" vertical="center" wrapText="1" indent="1"/>
      <protection hidden="1"/>
    </xf>
    <xf numFmtId="37" fontId="4" fillId="0" borderId="86" xfId="28" applyNumberFormat="1" applyFont="1" applyBorder="1" applyAlignment="1" applyProtection="1">
      <alignment horizontal="right" vertical="center" wrapText="1" indent="1"/>
      <protection hidden="1"/>
    </xf>
    <xf numFmtId="37" fontId="4" fillId="0" borderId="87"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6" fontId="60" fillId="0" borderId="91" xfId="28" applyNumberFormat="1" applyFont="1" applyBorder="1" applyAlignment="1" applyProtection="1">
      <alignment horizontal="right" vertical="center" wrapText="1" indent="1"/>
      <protection hidden="1"/>
    </xf>
    <xf numFmtId="169" fontId="6" fillId="0" borderId="92" xfId="28" applyNumberFormat="1" applyFont="1" applyFill="1" applyBorder="1" applyAlignment="1" applyProtection="1">
      <alignment horizontal="right" vertical="center" wrapText="1" indent="1"/>
      <protection hidden="1"/>
    </xf>
    <xf numFmtId="167" fontId="9" fillId="0" borderId="93" xfId="58" applyNumberFormat="1" applyFont="1" applyFill="1" applyBorder="1" applyAlignment="1" applyProtection="1">
      <alignment horizontal="right" vertical="center" wrapText="1" indent="1"/>
      <protection hidden="1"/>
    </xf>
    <xf numFmtId="166" fontId="60" fillId="0" borderId="89" xfId="28" applyNumberFormat="1" applyFont="1" applyBorder="1" applyAlignment="1" applyProtection="1">
      <alignment horizontal="right" vertical="center" wrapText="1" indent="1"/>
      <protection hidden="1"/>
    </xf>
    <xf numFmtId="166" fontId="4" fillId="0" borderId="73" xfId="28" applyNumberFormat="1" applyFont="1" applyBorder="1" applyAlignment="1" applyProtection="1">
      <alignment horizontal="right" vertical="center" wrapText="1" indent="1"/>
      <protection hidden="1"/>
    </xf>
    <xf numFmtId="169" fontId="4" fillId="0" borderId="73" xfId="28" applyNumberFormat="1" applyFont="1" applyBorder="1" applyAlignment="1" applyProtection="1">
      <alignment horizontal="right" vertical="center" wrapText="1" indent="1"/>
      <protection hidden="1"/>
    </xf>
    <xf numFmtId="166" fontId="4" fillId="0" borderId="3" xfId="28" applyNumberFormat="1" applyFont="1" applyBorder="1" applyAlignment="1" applyProtection="1">
      <alignment horizontal="right" vertical="center" wrapText="1" indent="1"/>
      <protection hidden="1"/>
    </xf>
    <xf numFmtId="166" fontId="57" fillId="0" borderId="89" xfId="28" applyNumberFormat="1" applyFont="1" applyBorder="1" applyAlignment="1" applyProtection="1">
      <alignment horizontal="right" vertical="center" wrapText="1" indent="1"/>
      <protection hidden="1"/>
    </xf>
    <xf numFmtId="4" fontId="56" fillId="39" borderId="0" xfId="0" applyNumberFormat="1" applyFont="1" applyFill="1" applyBorder="1" applyProtection="1">
      <protection locked="0" hidden="1"/>
    </xf>
    <xf numFmtId="4" fontId="65" fillId="39" borderId="9" xfId="0" applyNumberFormat="1" applyFont="1" applyFill="1" applyBorder="1" applyAlignment="1" applyProtection="1">
      <alignment horizontal="left" wrapText="1" indent="2"/>
      <protection hidden="1"/>
    </xf>
    <xf numFmtId="4" fontId="6" fillId="43" borderId="7" xfId="0" applyNumberFormat="1" applyFont="1" applyFill="1" applyBorder="1" applyAlignment="1" applyProtection="1">
      <alignment vertical="center" wrapText="1"/>
      <protection locked="0" hidden="1"/>
    </xf>
    <xf numFmtId="4" fontId="6" fillId="43" borderId="7" xfId="0" applyNumberFormat="1" applyFont="1" applyFill="1" applyBorder="1" applyAlignment="1" applyProtection="1">
      <alignment vertical="center" wrapText="1"/>
      <protection hidden="1"/>
    </xf>
    <xf numFmtId="4" fontId="5" fillId="38" borderId="22" xfId="0" applyNumberFormat="1" applyFont="1" applyFill="1" applyBorder="1" applyAlignment="1" applyProtection="1">
      <alignment vertical="center" wrapText="1"/>
      <protection hidden="1"/>
    </xf>
    <xf numFmtId="4" fontId="9" fillId="38" borderId="2" xfId="0" applyNumberFormat="1" applyFont="1" applyFill="1" applyBorder="1" applyAlignment="1" applyProtection="1">
      <alignment wrapText="1"/>
      <protection hidden="1"/>
    </xf>
    <xf numFmtId="167" fontId="4"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4" fillId="38" borderId="27" xfId="101" applyNumberFormat="1" applyFont="1" applyFill="1" applyBorder="1"/>
    <xf numFmtId="167" fontId="4" fillId="38" borderId="26" xfId="101" applyNumberFormat="1" applyFont="1" applyFill="1" applyBorder="1"/>
    <xf numFmtId="167" fontId="4" fillId="38" borderId="37" xfId="101" applyNumberFormat="1" applyFont="1" applyFill="1" applyBorder="1"/>
    <xf numFmtId="3" fontId="22" fillId="41" borderId="2" xfId="0" applyNumberFormat="1" applyFont="1" applyFill="1" applyBorder="1" applyAlignment="1">
      <alignment horizontal="center" vertical="center" wrapText="1"/>
    </xf>
    <xf numFmtId="166" fontId="4" fillId="38" borderId="7" xfId="0" applyNumberFormat="1" applyFont="1" applyFill="1" applyBorder="1"/>
    <xf numFmtId="166" fontId="4" fillId="38" borderId="3" xfId="0" applyNumberFormat="1" applyFont="1" applyFill="1" applyBorder="1"/>
    <xf numFmtId="166" fontId="4" fillId="38" borderId="5" xfId="0" applyNumberFormat="1" applyFont="1" applyFill="1" applyBorder="1"/>
    <xf numFmtId="167" fontId="22" fillId="41" borderId="23" xfId="0" applyNumberFormat="1" applyFont="1" applyFill="1" applyBorder="1" applyAlignment="1">
      <alignment horizontal="center" vertical="center" wrapText="1"/>
    </xf>
    <xf numFmtId="0" fontId="25" fillId="38" borderId="28" xfId="0" applyFont="1" applyFill="1" applyBorder="1" applyAlignment="1">
      <alignment horizontal="center" vertical="center"/>
    </xf>
    <xf numFmtId="0" fontId="25" fillId="38" borderId="17" xfId="0" applyFont="1" applyFill="1" applyBorder="1" applyAlignment="1">
      <alignment horizontal="center" vertical="center"/>
    </xf>
    <xf numFmtId="0" fontId="25" fillId="38" borderId="38" xfId="0" applyFont="1" applyFill="1" applyBorder="1" applyAlignment="1">
      <alignment horizontal="center" vertical="center"/>
    </xf>
    <xf numFmtId="0" fontId="32" fillId="0" borderId="8" xfId="0" applyFont="1" applyBorder="1" applyAlignment="1">
      <alignment horizontal="left" vertical="top" wrapText="1"/>
    </xf>
    <xf numFmtId="0" fontId="32" fillId="0" borderId="0" xfId="0" applyFont="1" applyBorder="1" applyAlignment="1">
      <alignment horizontal="left" vertical="top" wrapText="1"/>
    </xf>
    <xf numFmtId="0" fontId="32" fillId="0" borderId="9" xfId="0" applyFont="1" applyBorder="1" applyAlignment="1">
      <alignment horizontal="left" vertical="top" wrapText="1"/>
    </xf>
    <xf numFmtId="0" fontId="32" fillId="0" borderId="15" xfId="0" applyFont="1" applyBorder="1" applyAlignment="1">
      <alignment horizontal="left" vertical="top" wrapText="1"/>
    </xf>
    <xf numFmtId="0" fontId="32" fillId="0" borderId="16" xfId="0" applyFont="1" applyBorder="1" applyAlignment="1">
      <alignment horizontal="left" vertical="top" wrapText="1"/>
    </xf>
    <xf numFmtId="0" fontId="32" fillId="0" borderId="30" xfId="0" applyFont="1" applyBorder="1" applyAlignment="1">
      <alignment horizontal="left" vertical="top" wrapText="1"/>
    </xf>
    <xf numFmtId="0" fontId="7" fillId="38" borderId="28" xfId="0" applyFont="1" applyFill="1" applyBorder="1" applyAlignment="1">
      <alignment horizontal="center" vertical="center"/>
    </xf>
    <xf numFmtId="0" fontId="7" fillId="38" borderId="17" xfId="0" applyFont="1" applyFill="1" applyBorder="1" applyAlignment="1">
      <alignment horizontal="center" vertical="center"/>
    </xf>
    <xf numFmtId="0" fontId="7"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0" fontId="63" fillId="40" borderId="6" xfId="49" applyFont="1" applyFill="1" applyBorder="1" applyAlignment="1" applyProtection="1">
      <alignment horizontal="center" vertical="center" wrapText="1"/>
      <protection hidden="1"/>
    </xf>
    <xf numFmtId="0" fontId="63" fillId="40" borderId="40" xfId="49" applyFont="1" applyFill="1" applyBorder="1" applyAlignment="1" applyProtection="1">
      <alignment horizontal="center" vertical="center" wrapText="1"/>
      <protection hidden="1"/>
    </xf>
    <xf numFmtId="0" fontId="63" fillId="40" borderId="19" xfId="49" applyFont="1" applyFill="1" applyBorder="1" applyAlignment="1" applyProtection="1">
      <alignment horizontal="center" vertical="center" wrapText="1"/>
      <protection hidden="1"/>
    </xf>
    <xf numFmtId="0" fontId="63" fillId="40" borderId="15" xfId="49" applyFont="1" applyFill="1" applyBorder="1" applyAlignment="1" applyProtection="1">
      <alignment horizontal="center" vertical="center" wrapText="1"/>
      <protection hidden="1"/>
    </xf>
    <xf numFmtId="0" fontId="63" fillId="40" borderId="16" xfId="49" applyFont="1" applyFill="1" applyBorder="1" applyAlignment="1" applyProtection="1">
      <alignment horizontal="center" vertical="center" wrapText="1"/>
      <protection hidden="1"/>
    </xf>
    <xf numFmtId="0" fontId="63" fillId="40" borderId="30" xfId="49" applyFont="1" applyFill="1" applyBorder="1" applyAlignment="1" applyProtection="1">
      <alignment horizontal="center" vertical="center" wrapText="1"/>
      <protection hidden="1"/>
    </xf>
    <xf numFmtId="4" fontId="8" fillId="38" borderId="53" xfId="0" applyNumberFormat="1" applyFont="1" applyFill="1" applyBorder="1" applyProtection="1">
      <protection hidden="1"/>
    </xf>
    <xf numFmtId="4" fontId="8" fillId="38" borderId="50" xfId="0" applyNumberFormat="1" applyFont="1" applyFill="1" applyBorder="1" applyProtection="1">
      <protection hidden="1"/>
    </xf>
    <xf numFmtId="4" fontId="8" fillId="38" borderId="51" xfId="0" applyNumberFormat="1" applyFont="1" applyFill="1" applyBorder="1" applyProtection="1">
      <protection hidden="1"/>
    </xf>
    <xf numFmtId="0" fontId="8" fillId="38" borderId="8" xfId="0" applyFont="1" applyFill="1" applyBorder="1" applyProtection="1">
      <protection hidden="1"/>
    </xf>
    <xf numFmtId="0" fontId="8" fillId="38" borderId="0" xfId="0" applyFont="1" applyFill="1" applyBorder="1" applyProtection="1">
      <protection hidden="1"/>
    </xf>
    <xf numFmtId="0" fontId="8" fillId="38" borderId="4" xfId="0" applyFont="1" applyFill="1" applyBorder="1" applyProtection="1">
      <protection hidden="1"/>
    </xf>
    <xf numFmtId="4" fontId="8" fillId="38" borderId="8" xfId="0" applyNumberFormat="1" applyFont="1" applyFill="1" applyBorder="1" applyProtection="1">
      <protection hidden="1"/>
    </xf>
    <xf numFmtId="4" fontId="8" fillId="38" borderId="0" xfId="0" applyNumberFormat="1" applyFont="1" applyFill="1" applyBorder="1" applyProtection="1">
      <protection hidden="1"/>
    </xf>
    <xf numFmtId="4" fontId="8" fillId="38" borderId="4" xfId="0" applyNumberFormat="1" applyFont="1" applyFill="1" applyBorder="1" applyProtection="1">
      <protection hidden="1"/>
    </xf>
    <xf numFmtId="4" fontId="8" fillId="38" borderId="25" xfId="0" applyNumberFormat="1" applyFont="1" applyFill="1" applyBorder="1" applyProtection="1">
      <protection hidden="1"/>
    </xf>
    <xf numFmtId="4" fontId="8" fillId="38" borderId="43" xfId="0" applyNumberFormat="1" applyFont="1" applyFill="1" applyBorder="1" applyProtection="1">
      <protection hidden="1"/>
    </xf>
    <xf numFmtId="4" fontId="8" fillId="38" borderId="36" xfId="0" applyNumberFormat="1" applyFont="1" applyFill="1" applyBorder="1" applyProtection="1">
      <protection hidden="1"/>
    </xf>
    <xf numFmtId="0" fontId="22" fillId="41" borderId="101" xfId="0" applyFont="1" applyFill="1" applyBorder="1" applyAlignment="1" applyProtection="1">
      <alignment horizontal="left" vertical="center" wrapText="1"/>
      <protection hidden="1"/>
    </xf>
    <xf numFmtId="0" fontId="22" fillId="41" borderId="42" xfId="0" applyFont="1" applyFill="1" applyBorder="1" applyAlignment="1" applyProtection="1">
      <alignment horizontal="left" vertical="center" wrapText="1"/>
      <protection hidden="1"/>
    </xf>
    <xf numFmtId="0" fontId="22" fillId="41" borderId="1" xfId="0" applyFont="1" applyFill="1" applyBorder="1" applyAlignment="1" applyProtection="1">
      <alignment horizontal="left" vertical="center" wrapText="1"/>
      <protection hidden="1"/>
    </xf>
    <xf numFmtId="0" fontId="17" fillId="2" borderId="107"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3" fontId="7" fillId="37" borderId="32" xfId="0" applyNumberFormat="1" applyFont="1" applyFill="1" applyBorder="1" applyAlignment="1" applyProtection="1">
      <alignment horizontal="right" vertical="center" wrapText="1" indent="1"/>
      <protection hidden="1"/>
    </xf>
    <xf numFmtId="3" fontId="7" fillId="37" borderId="41" xfId="0" applyNumberFormat="1" applyFont="1" applyFill="1" applyBorder="1" applyAlignment="1" applyProtection="1">
      <alignment horizontal="right" vertical="center" wrapText="1" indent="1"/>
      <protection hidden="1"/>
    </xf>
    <xf numFmtId="167" fontId="7" fillId="37" borderId="19" xfId="60" applyNumberFormat="1" applyFont="1" applyFill="1" applyBorder="1" applyAlignment="1" applyProtection="1">
      <alignment horizontal="right" vertical="center" wrapText="1" indent="1"/>
      <protection hidden="1"/>
    </xf>
    <xf numFmtId="167" fontId="7" fillId="37" borderId="9" xfId="60" applyNumberFormat="1" applyFont="1" applyFill="1" applyBorder="1" applyAlignment="1" applyProtection="1">
      <alignment horizontal="right" vertical="center" wrapText="1" indent="1"/>
      <protection hidden="1"/>
    </xf>
    <xf numFmtId="0" fontId="7" fillId="37" borderId="6" xfId="0" applyFont="1" applyFill="1" applyBorder="1" applyAlignment="1" applyProtection="1">
      <alignment horizontal="center" vertical="center" wrapText="1"/>
      <protection hidden="1"/>
    </xf>
    <xf numFmtId="0" fontId="7" fillId="37" borderId="40"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0" fontId="7" fillId="37" borderId="8" xfId="0" applyFont="1" applyFill="1" applyBorder="1" applyAlignment="1" applyProtection="1">
      <alignment horizontal="center" vertical="center" wrapText="1"/>
      <protection hidden="1"/>
    </xf>
    <xf numFmtId="0" fontId="7" fillId="37" borderId="0"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left" vertical="center" wrapText="1"/>
      <protection hidden="1"/>
    </xf>
    <xf numFmtId="0" fontId="22" fillId="41" borderId="17" xfId="0" applyFont="1" applyFill="1" applyBorder="1" applyAlignment="1" applyProtection="1">
      <alignment horizontal="left" vertical="center" wrapText="1"/>
      <protection hidden="1"/>
    </xf>
    <xf numFmtId="0" fontId="14" fillId="37" borderId="15" xfId="0" applyFont="1" applyFill="1" applyBorder="1" applyAlignment="1" applyProtection="1">
      <alignment horizontal="left" vertical="center"/>
      <protection hidden="1"/>
    </xf>
    <xf numFmtId="0" fontId="14" fillId="37" borderId="16" xfId="0" applyFont="1" applyFill="1" applyBorder="1" applyAlignment="1" applyProtection="1">
      <alignment horizontal="left" vertical="center"/>
      <protection hidden="1"/>
    </xf>
    <xf numFmtId="0" fontId="14" fillId="37" borderId="30" xfId="0" applyFont="1" applyFill="1" applyBorder="1" applyAlignment="1" applyProtection="1">
      <alignment horizontal="left" vertical="center"/>
      <protection hidden="1"/>
    </xf>
    <xf numFmtId="49" fontId="14" fillId="38" borderId="6" xfId="0" applyNumberFormat="1" applyFont="1" applyFill="1" applyBorder="1" applyAlignment="1" applyProtection="1">
      <alignment horizontal="left" vertical="center" wrapText="1"/>
      <protection hidden="1"/>
    </xf>
    <xf numFmtId="49" fontId="14" fillId="38" borderId="40" xfId="0" applyNumberFormat="1" applyFont="1" applyFill="1" applyBorder="1" applyAlignment="1" applyProtection="1">
      <alignment horizontal="left" vertical="center" wrapText="1"/>
      <protection hidden="1"/>
    </xf>
    <xf numFmtId="49" fontId="14" fillId="38" borderId="8" xfId="0" applyNumberFormat="1" applyFont="1" applyFill="1" applyBorder="1" applyAlignment="1" applyProtection="1">
      <alignment horizontal="left" vertical="center" wrapText="1"/>
      <protection hidden="1"/>
    </xf>
    <xf numFmtId="49" fontId="14" fillId="38" borderId="0"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horizontal="left" vertical="center" wrapText="1"/>
      <protection hidden="1"/>
    </xf>
    <xf numFmtId="0" fontId="14" fillId="38" borderId="0" xfId="0" applyFont="1" applyFill="1" applyBorder="1" applyAlignment="1" applyProtection="1">
      <alignment horizontal="left" vertical="center" wrapText="1"/>
      <protection hidden="1"/>
    </xf>
    <xf numFmtId="0" fontId="14" fillId="38" borderId="15" xfId="0" applyFont="1" applyFill="1" applyBorder="1" applyAlignment="1" applyProtection="1">
      <alignment horizontal="left" vertical="center" wrapText="1"/>
      <protection hidden="1"/>
    </xf>
    <xf numFmtId="0" fontId="14" fillId="38" borderId="16" xfId="0" applyFont="1" applyFill="1" applyBorder="1" applyAlignment="1" applyProtection="1">
      <alignment horizontal="left" vertical="center" wrapText="1"/>
      <protection hidden="1"/>
    </xf>
    <xf numFmtId="0" fontId="14" fillId="3" borderId="28" xfId="0" applyFont="1" applyFill="1" applyBorder="1" applyAlignment="1" applyProtection="1">
      <alignment horizontal="center" wrapText="1"/>
      <protection hidden="1"/>
    </xf>
    <xf numFmtId="0" fontId="14" fillId="3" borderId="17" xfId="0" applyFont="1" applyFill="1" applyBorder="1" applyAlignment="1" applyProtection="1">
      <alignment horizontal="center" wrapText="1"/>
      <protection hidden="1"/>
    </xf>
    <xf numFmtId="0" fontId="14" fillId="3" borderId="38" xfId="0" applyFont="1" applyFill="1" applyBorder="1" applyAlignment="1" applyProtection="1">
      <alignment horizontal="center" wrapText="1"/>
      <protection hidden="1"/>
    </xf>
    <xf numFmtId="0" fontId="15" fillId="37" borderId="6" xfId="0" applyFont="1" applyFill="1" applyBorder="1" applyAlignment="1" applyProtection="1">
      <alignment horizontal="center" vertical="center" wrapText="1"/>
      <protection hidden="1"/>
    </xf>
    <xf numFmtId="0" fontId="15" fillId="37" borderId="40" xfId="0" applyFont="1" applyFill="1" applyBorder="1" applyAlignment="1" applyProtection="1">
      <alignment horizontal="center" vertical="center" wrapText="1"/>
      <protection hidden="1"/>
    </xf>
    <xf numFmtId="0" fontId="15" fillId="37" borderId="19" xfId="0" applyFont="1" applyFill="1" applyBorder="1" applyAlignment="1" applyProtection="1">
      <alignment horizontal="center" vertical="center" wrapText="1"/>
      <protection hidden="1"/>
    </xf>
    <xf numFmtId="0" fontId="15" fillId="37" borderId="15" xfId="0" applyFont="1" applyFill="1" applyBorder="1" applyAlignment="1" applyProtection="1">
      <alignment horizontal="center" vertical="center" wrapText="1"/>
      <protection hidden="1"/>
    </xf>
    <xf numFmtId="0" fontId="15" fillId="37" borderId="16" xfId="0" applyFont="1" applyFill="1" applyBorder="1" applyAlignment="1" applyProtection="1">
      <alignment horizontal="center" vertical="center" wrapText="1"/>
      <protection hidden="1"/>
    </xf>
    <xf numFmtId="0" fontId="15" fillId="37" borderId="30" xfId="0" applyFont="1" applyFill="1" applyBorder="1" applyAlignment="1" applyProtection="1">
      <alignment horizontal="center" vertical="center" wrapText="1"/>
      <protection hidden="1"/>
    </xf>
    <xf numFmtId="4" fontId="8" fillId="38" borderId="15" xfId="0" applyNumberFormat="1" applyFont="1" applyFill="1" applyBorder="1" applyProtection="1">
      <protection hidden="1"/>
    </xf>
    <xf numFmtId="4" fontId="8" fillId="38" borderId="16" xfId="0" applyNumberFormat="1" applyFont="1" applyFill="1" applyBorder="1" applyProtection="1">
      <protection hidden="1"/>
    </xf>
    <xf numFmtId="4" fontId="8" fillId="38" borderId="29" xfId="0" applyNumberFormat="1" applyFont="1" applyFill="1" applyBorder="1" applyProtection="1">
      <protection hidden="1"/>
    </xf>
    <xf numFmtId="4" fontId="9" fillId="37" borderId="21" xfId="0" applyNumberFormat="1" applyFont="1" applyFill="1" applyBorder="1" applyAlignment="1" applyProtection="1">
      <alignment horizontal="center"/>
      <protection hidden="1"/>
    </xf>
    <xf numFmtId="4" fontId="9" fillId="37" borderId="42" xfId="0" applyNumberFormat="1" applyFont="1" applyFill="1" applyBorder="1" applyAlignment="1" applyProtection="1">
      <alignment horizontal="center"/>
      <protection hidden="1"/>
    </xf>
    <xf numFmtId="0" fontId="8"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49" fontId="8"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8" fillId="0" borderId="11" xfId="0" applyFont="1" applyBorder="1" applyAlignment="1" applyProtection="1">
      <alignment horizontal="center" vertical="center" wrapText="1"/>
      <protection hidden="1"/>
    </xf>
    <xf numFmtId="4" fontId="9" fillId="37" borderId="2" xfId="0" applyNumberFormat="1" applyFont="1" applyFill="1" applyBorder="1" applyAlignment="1" applyProtection="1">
      <alignment horizontal="center"/>
      <protection hidden="1"/>
    </xf>
    <xf numFmtId="4" fontId="8" fillId="36" borderId="7" xfId="53" applyNumberFormat="1" applyFont="1" applyFill="1" applyBorder="1" applyAlignment="1" applyProtection="1">
      <alignment horizontal="center" vertical="center" wrapText="1"/>
      <protection hidden="1"/>
    </xf>
    <xf numFmtId="4" fontId="8" fillId="36" borderId="5" xfId="53" applyNumberFormat="1" applyFont="1" applyFill="1" applyBorder="1" applyAlignment="1" applyProtection="1">
      <alignment horizontal="center" vertical="center" wrapText="1"/>
      <protection hidden="1"/>
    </xf>
    <xf numFmtId="0" fontId="8" fillId="0" borderId="106" xfId="0" applyFont="1" applyFill="1" applyBorder="1" applyAlignment="1" applyProtection="1">
      <alignment horizontal="center" vertical="center" wrapText="1"/>
      <protection hidden="1"/>
    </xf>
    <xf numFmtId="0" fontId="8" fillId="0" borderId="16" xfId="0" applyFont="1" applyFill="1" applyBorder="1" applyAlignment="1" applyProtection="1">
      <alignment horizontal="center" vertical="center" wrapText="1"/>
      <protection hidden="1"/>
    </xf>
    <xf numFmtId="0" fontId="8" fillId="0" borderId="30" xfId="0" applyFont="1" applyFill="1" applyBorder="1" applyAlignment="1" applyProtection="1">
      <alignment horizontal="center" vertical="center" wrapText="1"/>
      <protection hidden="1"/>
    </xf>
    <xf numFmtId="0" fontId="23" fillId="37" borderId="6" xfId="0" applyFont="1" applyFill="1" applyBorder="1" applyAlignment="1" applyProtection="1">
      <alignment horizontal="center" wrapText="1"/>
      <protection hidden="1"/>
    </xf>
    <xf numFmtId="0" fontId="23" fillId="37" borderId="40" xfId="0" applyFont="1" applyFill="1" applyBorder="1" applyAlignment="1" applyProtection="1">
      <alignment horizontal="center" wrapText="1"/>
      <protection hidden="1"/>
    </xf>
    <xf numFmtId="0" fontId="23" fillId="37" borderId="19" xfId="0" applyFont="1" applyFill="1" applyBorder="1" applyAlignment="1" applyProtection="1">
      <alignment horizontal="center" wrapText="1"/>
      <protection hidden="1"/>
    </xf>
    <xf numFmtId="0" fontId="23" fillId="37" borderId="15" xfId="0" applyFont="1" applyFill="1" applyBorder="1" applyAlignment="1" applyProtection="1">
      <alignment horizontal="center" wrapText="1"/>
      <protection hidden="1"/>
    </xf>
    <xf numFmtId="0" fontId="23" fillId="37" borderId="16" xfId="0" applyFont="1" applyFill="1" applyBorder="1" applyAlignment="1" applyProtection="1">
      <alignment horizontal="center" wrapText="1"/>
      <protection hidden="1"/>
    </xf>
    <xf numFmtId="0" fontId="23" fillId="37" borderId="30" xfId="0" applyFont="1" applyFill="1" applyBorder="1" applyAlignment="1" applyProtection="1">
      <alignment horizontal="center" wrapText="1"/>
      <protection hidden="1"/>
    </xf>
    <xf numFmtId="0" fontId="29" fillId="0" borderId="28" xfId="0" applyFont="1" applyBorder="1" applyAlignment="1" applyProtection="1">
      <alignment horizontal="left" vertical="center" wrapText="1"/>
      <protection hidden="1"/>
    </xf>
    <xf numFmtId="0" fontId="29" fillId="0" borderId="17" xfId="0" applyFont="1" applyBorder="1" applyAlignment="1" applyProtection="1">
      <alignment horizontal="left" vertical="center" wrapText="1"/>
      <protection hidden="1"/>
    </xf>
    <xf numFmtId="0" fontId="29" fillId="0" borderId="38" xfId="0" applyFont="1" applyBorder="1" applyAlignment="1" applyProtection="1">
      <alignment horizontal="left" vertical="center" wrapText="1"/>
      <protection hidden="1"/>
    </xf>
    <xf numFmtId="0" fontId="17" fillId="0" borderId="28" xfId="0" applyFont="1" applyBorder="1" applyAlignment="1" applyProtection="1">
      <alignment horizontal="center" vertical="center" wrapText="1"/>
      <protection hidden="1"/>
    </xf>
    <xf numFmtId="0" fontId="17" fillId="0" borderId="17" xfId="0" applyFont="1" applyBorder="1" applyAlignment="1" applyProtection="1">
      <alignment horizontal="center" vertical="center" wrapText="1"/>
      <protection hidden="1"/>
    </xf>
    <xf numFmtId="0" fontId="17" fillId="0" borderId="38" xfId="0" applyFont="1" applyBorder="1" applyAlignment="1" applyProtection="1">
      <alignment horizontal="center" vertical="center" wrapText="1"/>
      <protection hidden="1"/>
    </xf>
    <xf numFmtId="0" fontId="8"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4" fillId="0" borderId="100" xfId="0" applyFont="1" applyFill="1" applyBorder="1" applyAlignment="1" applyProtection="1">
      <alignment horizontal="center" vertical="center" wrapText="1"/>
      <protection hidden="1"/>
    </xf>
    <xf numFmtId="0" fontId="8" fillId="0" borderId="40" xfId="0" applyFont="1" applyFill="1" applyBorder="1" applyAlignment="1" applyProtection="1">
      <alignment horizontal="center" vertical="center" wrapText="1"/>
      <protection hidden="1"/>
    </xf>
    <xf numFmtId="0" fontId="8" fillId="0" borderId="19" xfId="0" applyFont="1" applyFill="1" applyBorder="1" applyAlignment="1" applyProtection="1">
      <alignment horizontal="center" vertical="center" wrapText="1"/>
      <protection hidden="1"/>
    </xf>
    <xf numFmtId="0" fontId="8" fillId="0" borderId="44" xfId="0" applyFont="1" applyFill="1" applyBorder="1" applyAlignment="1" applyProtection="1">
      <alignment horizontal="center" vertical="center" wrapText="1"/>
      <protection hidden="1"/>
    </xf>
    <xf numFmtId="0" fontId="8" fillId="0" borderId="45" xfId="0"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0" fontId="8" fillId="0" borderId="1" xfId="0" applyFont="1" applyFill="1" applyBorder="1" applyAlignment="1" applyProtection="1">
      <alignment horizontal="center" vertical="center" wrapText="1"/>
      <protection hidden="1"/>
    </xf>
    <xf numFmtId="0" fontId="8" fillId="0" borderId="48" xfId="0" applyFont="1" applyFill="1" applyBorder="1" applyAlignment="1" applyProtection="1">
      <alignment horizontal="center" vertical="center" wrapText="1"/>
      <protection hidden="1"/>
    </xf>
    <xf numFmtId="0" fontId="8" fillId="0" borderId="49" xfId="0" applyFont="1" applyFill="1" applyBorder="1" applyAlignment="1" applyProtection="1">
      <alignment horizontal="center" vertical="center" wrapText="1"/>
      <protection hidden="1"/>
    </xf>
    <xf numFmtId="4" fontId="4" fillId="36" borderId="21" xfId="96" applyNumberFormat="1" applyFont="1" applyFill="1" applyBorder="1" applyAlignment="1" applyProtection="1">
      <alignment horizontal="center" vertical="center" wrapText="1"/>
      <protection hidden="1"/>
    </xf>
    <xf numFmtId="4" fontId="4" fillId="36" borderId="1" xfId="96" applyNumberFormat="1" applyFont="1" applyFill="1" applyBorder="1" applyAlignment="1" applyProtection="1">
      <alignment horizontal="center" vertical="center" wrapText="1"/>
      <protection hidden="1"/>
    </xf>
    <xf numFmtId="4" fontId="4" fillId="36" borderId="7" xfId="96" applyNumberFormat="1" applyFont="1" applyFill="1" applyBorder="1" applyAlignment="1" applyProtection="1">
      <alignment horizontal="center" vertical="center" wrapText="1"/>
      <protection hidden="1"/>
    </xf>
    <xf numFmtId="4" fontId="4" fillId="36" borderId="5" xfId="96" applyNumberFormat="1" applyFont="1" applyFill="1" applyBorder="1" applyAlignment="1" applyProtection="1">
      <alignment horizontal="center" vertical="center" wrapText="1"/>
      <protection hidden="1"/>
    </xf>
    <xf numFmtId="0" fontId="8" fillId="0" borderId="18" xfId="0"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0" fontId="8" fillId="0" borderId="9" xfId="0" applyFont="1" applyFill="1" applyBorder="1" applyAlignment="1" applyProtection="1">
      <alignment horizontal="center" vertical="center" wrapText="1"/>
      <protection hidden="1"/>
    </xf>
    <xf numFmtId="0" fontId="8" fillId="0" borderId="46" xfId="0" applyFont="1" applyFill="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3" xfId="0" applyFont="1" applyFill="1" applyBorder="1" applyAlignment="1" applyProtection="1">
      <alignment horizontal="center" vertical="center" wrapText="1"/>
      <protection hidden="1"/>
    </xf>
    <xf numFmtId="0" fontId="8" fillId="0" borderId="11" xfId="0"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9" fillId="37" borderId="1" xfId="0" applyNumberFormat="1" applyFont="1" applyFill="1" applyBorder="1" applyAlignment="1" applyProtection="1">
      <alignment horizontal="center"/>
      <protection hidden="1"/>
    </xf>
    <xf numFmtId="4" fontId="4" fillId="36" borderId="21" xfId="53" applyNumberFormat="1" applyFont="1" applyFill="1" applyBorder="1" applyAlignment="1" applyProtection="1">
      <alignment horizontal="center" vertical="center" wrapText="1"/>
      <protection hidden="1"/>
    </xf>
    <xf numFmtId="4" fontId="8" fillId="36" borderId="42" xfId="53" applyNumberFormat="1" applyFont="1" applyFill="1" applyBorder="1" applyAlignment="1" applyProtection="1">
      <alignment horizontal="center" vertical="center" wrapText="1"/>
      <protection hidden="1"/>
    </xf>
    <xf numFmtId="4" fontId="8" fillId="36" borderId="1" xfId="53" applyNumberFormat="1" applyFont="1" applyFill="1" applyBorder="1" applyAlignment="1" applyProtection="1">
      <alignment horizontal="center" vertical="center" wrapText="1"/>
      <protection hidden="1"/>
    </xf>
    <xf numFmtId="0" fontId="14" fillId="38" borderId="18" xfId="0" applyFont="1" applyFill="1" applyBorder="1" applyAlignment="1" applyProtection="1">
      <alignment horizontal="left" vertical="center" wrapText="1"/>
      <protection hidden="1"/>
    </xf>
    <xf numFmtId="0" fontId="14" fillId="38" borderId="4" xfId="0" applyFont="1" applyFill="1" applyBorder="1" applyAlignment="1" applyProtection="1">
      <alignment horizontal="left" vertical="center" wrapText="1"/>
      <protection hidden="1"/>
    </xf>
    <xf numFmtId="0" fontId="14" fillId="38" borderId="106" xfId="0" applyFont="1" applyFill="1" applyBorder="1" applyAlignment="1" applyProtection="1">
      <alignment horizontal="left" vertical="center" wrapText="1"/>
      <protection hidden="1"/>
    </xf>
    <xf numFmtId="0" fontId="14" fillId="38" borderId="29" xfId="0" applyFont="1" applyFill="1" applyBorder="1" applyAlignment="1" applyProtection="1">
      <alignment horizontal="left" vertical="center" wrapText="1"/>
      <protection hidden="1"/>
    </xf>
    <xf numFmtId="0" fontId="14" fillId="38" borderId="24" xfId="0" applyFont="1" applyFill="1" applyBorder="1" applyAlignment="1" applyProtection="1">
      <alignment horizontal="left" vertical="center" wrapText="1"/>
      <protection hidden="1"/>
    </xf>
    <xf numFmtId="0" fontId="14" fillId="38" borderId="3" xfId="0" applyFont="1" applyFill="1" applyBorder="1" applyAlignment="1" applyProtection="1">
      <alignment horizontal="left" vertical="center" wrapText="1"/>
      <protection hidden="1"/>
    </xf>
    <xf numFmtId="49" fontId="14" fillId="38" borderId="4" xfId="0" applyNumberFormat="1" applyFont="1" applyFill="1" applyBorder="1" applyAlignment="1" applyProtection="1">
      <alignment horizontal="left" vertical="center" wrapText="1"/>
      <protection hidden="1"/>
    </xf>
    <xf numFmtId="0" fontId="14" fillId="38" borderId="8" xfId="0" applyFont="1" applyFill="1" applyBorder="1" applyAlignment="1" applyProtection="1">
      <alignment vertical="center" wrapText="1"/>
      <protection hidden="1"/>
    </xf>
    <xf numFmtId="0" fontId="14" fillId="38" borderId="0" xfId="0" applyFont="1" applyFill="1" applyBorder="1" applyAlignment="1" applyProtection="1">
      <alignment vertical="center" wrapText="1"/>
      <protection hidden="1"/>
    </xf>
    <xf numFmtId="0" fontId="14" fillId="38" borderId="4" xfId="0" applyFont="1" applyFill="1" applyBorder="1" applyAlignment="1" applyProtection="1">
      <alignment vertical="center" wrapText="1"/>
      <protection hidden="1"/>
    </xf>
    <xf numFmtId="0" fontId="15" fillId="42" borderId="28" xfId="0" applyFont="1" applyFill="1" applyBorder="1" applyAlignment="1" applyProtection="1">
      <alignment horizontal="center" vertical="center" wrapText="1"/>
      <protection hidden="1"/>
    </xf>
    <xf numFmtId="0" fontId="15" fillId="42" borderId="17" xfId="0" applyFont="1" applyFill="1" applyBorder="1" applyAlignment="1" applyProtection="1">
      <alignment horizontal="center" vertical="center" wrapText="1"/>
      <protection hidden="1"/>
    </xf>
    <xf numFmtId="0" fontId="15" fillId="42" borderId="38" xfId="0" applyFont="1" applyFill="1" applyBorder="1" applyAlignment="1" applyProtection="1">
      <alignment horizontal="center" vertical="center" wrapText="1"/>
      <protection hidden="1"/>
    </xf>
    <xf numFmtId="0" fontId="22" fillId="41" borderId="28" xfId="0" applyFont="1" applyFill="1" applyBorder="1" applyAlignment="1" applyProtection="1">
      <alignment horizontal="center" vertical="center" wrapText="1"/>
      <protection hidden="1"/>
    </xf>
    <xf numFmtId="0" fontId="22" fillId="41" borderId="17" xfId="0" applyFont="1" applyFill="1" applyBorder="1" applyAlignment="1" applyProtection="1">
      <alignment horizontal="center" vertical="center" wrapText="1"/>
      <protection hidden="1"/>
    </xf>
    <xf numFmtId="0" fontId="22" fillId="41" borderId="38" xfId="0" applyFont="1" applyFill="1" applyBorder="1" applyAlignment="1" applyProtection="1">
      <alignment horizontal="center" vertical="center" wrapText="1"/>
      <protection hidden="1"/>
    </xf>
    <xf numFmtId="37" fontId="22" fillId="41" borderId="28" xfId="28" applyNumberFormat="1" applyFont="1" applyFill="1" applyBorder="1" applyAlignment="1" applyProtection="1">
      <alignment horizontal="center" vertical="center" wrapText="1"/>
      <protection hidden="1"/>
    </xf>
    <xf numFmtId="37" fontId="22" fillId="41" borderId="17" xfId="28" applyNumberFormat="1" applyFont="1" applyFill="1" applyBorder="1" applyAlignment="1" applyProtection="1">
      <alignment horizontal="center" vertical="center" wrapText="1"/>
      <protection hidden="1"/>
    </xf>
    <xf numFmtId="37" fontId="22" fillId="41" borderId="38" xfId="28" applyNumberFormat="1" applyFont="1" applyFill="1" applyBorder="1" applyAlignment="1" applyProtection="1">
      <alignment horizontal="center" vertical="center" wrapText="1"/>
      <protection hidden="1"/>
    </xf>
    <xf numFmtId="0" fontId="22" fillId="41" borderId="25" xfId="0" applyFont="1" applyFill="1" applyBorder="1" applyAlignment="1" applyProtection="1">
      <alignment horizontal="center" vertical="center" wrapText="1"/>
      <protection hidden="1"/>
    </xf>
    <xf numFmtId="0" fontId="22" fillId="41" borderId="43" xfId="0" applyFont="1" applyFill="1" applyBorder="1" applyAlignment="1" applyProtection="1">
      <alignment horizontal="center" vertical="center" wrapText="1"/>
      <protection hidden="1"/>
    </xf>
    <xf numFmtId="0" fontId="22" fillId="41" borderId="103" xfId="0" applyFont="1" applyFill="1" applyBorder="1" applyAlignment="1" applyProtection="1">
      <alignment horizontal="center" vertical="center" wrapText="1"/>
      <protection hidden="1"/>
    </xf>
    <xf numFmtId="0" fontId="22" fillId="41" borderId="52" xfId="0" applyFont="1" applyFill="1" applyBorder="1" applyAlignment="1" applyProtection="1">
      <alignment horizontal="center" vertical="center" wrapText="1"/>
      <protection hidden="1"/>
    </xf>
    <xf numFmtId="0" fontId="58" fillId="39" borderId="0" xfId="0" applyFont="1" applyFill="1" applyBorder="1" applyAlignment="1" applyProtection="1">
      <alignment horizontal="center" vertical="center"/>
      <protection hidden="1"/>
    </xf>
    <xf numFmtId="0" fontId="14" fillId="38" borderId="6" xfId="0" applyFont="1" applyFill="1" applyBorder="1" applyAlignment="1" applyProtection="1">
      <alignment horizontal="left" vertical="center" wrapText="1"/>
      <protection hidden="1"/>
    </xf>
    <xf numFmtId="0" fontId="14" fillId="38" borderId="35" xfId="0" applyFont="1" applyFill="1" applyBorder="1" applyAlignment="1" applyProtection="1">
      <alignment horizontal="left" vertical="center" wrapText="1"/>
      <protection hidden="1"/>
    </xf>
    <xf numFmtId="0" fontId="13" fillId="37" borderId="28" xfId="0" applyFont="1" applyFill="1" applyBorder="1" applyAlignment="1" applyProtection="1">
      <alignment horizontal="center" wrapText="1"/>
      <protection hidden="1"/>
    </xf>
    <xf numFmtId="0" fontId="13" fillId="37" borderId="17" xfId="0" applyFont="1" applyFill="1" applyBorder="1" applyAlignment="1" applyProtection="1">
      <alignment horizontal="center" wrapText="1"/>
      <protection hidden="1"/>
    </xf>
    <xf numFmtId="0" fontId="13" fillId="37" borderId="38" xfId="0" applyFont="1" applyFill="1" applyBorder="1" applyAlignment="1" applyProtection="1">
      <alignment horizontal="center" wrapText="1"/>
      <protection hidden="1"/>
    </xf>
    <xf numFmtId="0" fontId="17" fillId="0" borderId="8" xfId="0" applyFont="1" applyFill="1" applyBorder="1" applyAlignment="1" applyProtection="1">
      <alignment horizontal="center" vertical="center" wrapText="1"/>
      <protection hidden="1"/>
    </xf>
    <xf numFmtId="0" fontId="17" fillId="0" borderId="0" xfId="0" applyFont="1" applyFill="1" applyBorder="1" applyAlignment="1" applyProtection="1">
      <alignment horizontal="center" vertical="center" wrapText="1"/>
      <protection hidden="1"/>
    </xf>
    <xf numFmtId="0" fontId="17" fillId="0" borderId="9" xfId="0" applyFont="1" applyFill="1" applyBorder="1" applyAlignment="1" applyProtection="1">
      <alignment horizontal="center" vertical="center" wrapText="1"/>
      <protection hidden="1"/>
    </xf>
    <xf numFmtId="168" fontId="26" fillId="0" borderId="28" xfId="0" applyNumberFormat="1" applyFont="1" applyBorder="1" applyAlignment="1" applyProtection="1">
      <alignment horizontal="center" vertical="center" wrapText="1"/>
      <protection hidden="1"/>
    </xf>
    <xf numFmtId="168" fontId="26" fillId="0" borderId="17" xfId="0" applyNumberFormat="1" applyFont="1" applyBorder="1" applyAlignment="1" applyProtection="1">
      <alignment horizontal="center" vertical="center" wrapText="1"/>
      <protection hidden="1"/>
    </xf>
    <xf numFmtId="168" fontId="26" fillId="0" borderId="38" xfId="0" applyNumberFormat="1" applyFont="1" applyBorder="1" applyAlignment="1" applyProtection="1">
      <alignment horizontal="center" vertical="center" wrapText="1"/>
      <protection hidden="1"/>
    </xf>
    <xf numFmtId="4" fontId="32" fillId="0" borderId="28" xfId="0" applyNumberFormat="1" applyFont="1" applyFill="1" applyBorder="1" applyAlignment="1" applyProtection="1">
      <alignment horizontal="center" vertical="center" wrapText="1"/>
      <protection hidden="1"/>
    </xf>
    <xf numFmtId="4" fontId="32" fillId="0" borderId="17" xfId="0" applyNumberFormat="1" applyFont="1" applyFill="1" applyBorder="1" applyAlignment="1" applyProtection="1">
      <alignment horizontal="center" vertical="center" wrapText="1"/>
      <protection hidden="1"/>
    </xf>
    <xf numFmtId="4" fontId="32" fillId="0" borderId="38" xfId="0" applyNumberFormat="1" applyFont="1" applyFill="1" applyBorder="1" applyAlignment="1" applyProtection="1">
      <alignment horizontal="center" vertical="center" wrapText="1"/>
      <protection hidden="1"/>
    </xf>
    <xf numFmtId="0" fontId="15" fillId="42" borderId="15" xfId="0" applyFont="1" applyFill="1" applyBorder="1" applyAlignment="1" applyProtection="1">
      <alignment horizontal="center" vertical="center" wrapText="1"/>
      <protection hidden="1"/>
    </xf>
    <xf numFmtId="0" fontId="15" fillId="42" borderId="16" xfId="0" applyFont="1" applyFill="1" applyBorder="1" applyAlignment="1" applyProtection="1">
      <alignment horizontal="center" vertical="center" wrapText="1"/>
      <protection hidden="1"/>
    </xf>
    <xf numFmtId="0" fontId="15" fillId="42" borderId="30" xfId="0" applyFont="1" applyFill="1" applyBorder="1" applyAlignment="1" applyProtection="1">
      <alignment horizontal="center" vertical="center" wrapText="1"/>
      <protection hidden="1"/>
    </xf>
    <xf numFmtId="0" fontId="17" fillId="2" borderId="8" xfId="0" applyFont="1" applyFill="1" applyBorder="1" applyAlignment="1" applyProtection="1">
      <alignment horizontal="center" vertical="center" wrapText="1"/>
      <protection hidden="1"/>
    </xf>
    <xf numFmtId="0" fontId="17" fillId="2" borderId="9" xfId="0" applyFont="1" applyFill="1" applyBorder="1" applyAlignment="1" applyProtection="1">
      <alignment horizontal="center" vertical="center" wrapText="1"/>
      <protection hidden="1"/>
    </xf>
    <xf numFmtId="0" fontId="14" fillId="38" borderId="40" xfId="0" applyFont="1" applyFill="1" applyBorder="1" applyAlignment="1" applyProtection="1">
      <alignment horizontal="left" vertical="center" wrapText="1"/>
      <protection hidden="1"/>
    </xf>
    <xf numFmtId="0" fontId="17" fillId="2" borderId="15" xfId="0" applyFont="1" applyFill="1" applyBorder="1" applyAlignment="1" applyProtection="1">
      <alignment horizontal="center" vertical="center" wrapText="1"/>
      <protection hidden="1"/>
    </xf>
    <xf numFmtId="0" fontId="17" fillId="2" borderId="30" xfId="0" applyFont="1" applyFill="1" applyBorder="1" applyAlignment="1" applyProtection="1">
      <alignment horizontal="center" vertical="center" wrapText="1"/>
      <protection hidden="1"/>
    </xf>
    <xf numFmtId="0" fontId="14" fillId="38" borderId="99" xfId="0" applyFont="1" applyFill="1" applyBorder="1" applyAlignment="1" applyProtection="1">
      <alignment horizontal="left" vertical="center" wrapText="1"/>
      <protection hidden="1"/>
    </xf>
    <xf numFmtId="0" fontId="14" fillId="38" borderId="34" xfId="0" applyFont="1" applyFill="1" applyBorder="1" applyAlignment="1" applyProtection="1">
      <alignment horizontal="left" vertical="center" wrapText="1"/>
      <protection hidden="1"/>
    </xf>
    <xf numFmtId="0" fontId="14" fillId="38" borderId="100" xfId="0" applyFont="1" applyFill="1" applyBorder="1" applyAlignment="1" applyProtection="1">
      <alignment horizontal="left" vertical="center" wrapText="1"/>
      <protection hidden="1"/>
    </xf>
    <xf numFmtId="0" fontId="17" fillId="0" borderId="6" xfId="0" applyFont="1" applyFill="1" applyBorder="1" applyAlignment="1" applyProtection="1">
      <alignment horizontal="center" vertical="center" wrapText="1"/>
      <protection hidden="1"/>
    </xf>
    <xf numFmtId="0" fontId="17" fillId="0" borderId="19" xfId="0" applyFont="1" applyFill="1" applyBorder="1" applyAlignment="1" applyProtection="1">
      <alignment horizontal="center" vertical="center" wrapText="1"/>
      <protection hidden="1"/>
    </xf>
    <xf numFmtId="0" fontId="59" fillId="39" borderId="63" xfId="0" applyFont="1" applyFill="1" applyBorder="1" applyAlignment="1" applyProtection="1">
      <alignment horizontal="center" vertical="center" wrapText="1"/>
      <protection hidden="1"/>
    </xf>
    <xf numFmtId="0" fontId="59" fillId="39" borderId="64" xfId="0" applyFont="1" applyFill="1" applyBorder="1" applyAlignment="1" applyProtection="1">
      <alignment horizontal="center" vertical="center" wrapText="1"/>
      <protection hidden="1"/>
    </xf>
    <xf numFmtId="0" fontId="59" fillId="39" borderId="65" xfId="0" applyFont="1" applyFill="1" applyBorder="1" applyAlignment="1" applyProtection="1">
      <alignment horizontal="center" vertical="center" wrapText="1"/>
      <protection hidden="1"/>
    </xf>
    <xf numFmtId="0" fontId="59" fillId="39" borderId="66" xfId="0" applyFont="1" applyFill="1" applyBorder="1" applyAlignment="1" applyProtection="1">
      <alignment horizontal="center" vertical="center" wrapText="1"/>
      <protection hidden="1"/>
    </xf>
    <xf numFmtId="0" fontId="59" fillId="39" borderId="67" xfId="0" applyFont="1" applyFill="1" applyBorder="1" applyAlignment="1" applyProtection="1">
      <alignment horizontal="center" vertical="center" wrapText="1"/>
      <protection hidden="1"/>
    </xf>
    <xf numFmtId="0" fontId="59" fillId="39" borderId="68" xfId="0" applyFont="1" applyFill="1" applyBorder="1" applyAlignment="1" applyProtection="1">
      <alignment horizontal="center" vertical="center" wrapText="1"/>
      <protection hidden="1"/>
    </xf>
    <xf numFmtId="0" fontId="13" fillId="37" borderId="21" xfId="0" applyFont="1" applyFill="1" applyBorder="1" applyAlignment="1" applyProtection="1">
      <alignment horizontal="center"/>
      <protection hidden="1"/>
    </xf>
    <xf numFmtId="0" fontId="13" fillId="37" borderId="42" xfId="0" applyFont="1" applyFill="1" applyBorder="1" applyAlignment="1" applyProtection="1">
      <alignment horizontal="center"/>
      <protection hidden="1"/>
    </xf>
    <xf numFmtId="0" fontId="13" fillId="37" borderId="1" xfId="0" applyFont="1" applyFill="1" applyBorder="1" applyAlignment="1" applyProtection="1">
      <alignment horizontal="center"/>
      <protection hidden="1"/>
    </xf>
    <xf numFmtId="0" fontId="9" fillId="40" borderId="21" xfId="53" applyFont="1" applyFill="1" applyBorder="1" applyAlignment="1" applyProtection="1">
      <alignment horizontal="center"/>
      <protection hidden="1"/>
    </xf>
    <xf numFmtId="0" fontId="9" fillId="40" borderId="1" xfId="53" applyFont="1" applyFill="1" applyBorder="1" applyAlignment="1" applyProtection="1">
      <alignment horizontal="center"/>
      <protection hidden="1"/>
    </xf>
    <xf numFmtId="0" fontId="9" fillId="40" borderId="21" xfId="0" applyFont="1" applyFill="1" applyBorder="1" applyAlignment="1" applyProtection="1">
      <alignment horizontal="center"/>
      <protection hidden="1"/>
    </xf>
    <xf numFmtId="0" fontId="9" fillId="40" borderId="42" xfId="0" applyFont="1" applyFill="1" applyBorder="1" applyAlignment="1" applyProtection="1">
      <alignment horizontal="center"/>
      <protection hidden="1"/>
    </xf>
    <xf numFmtId="0" fontId="9" fillId="40" borderId="1" xfId="0" applyFont="1" applyFill="1" applyBorder="1" applyAlignment="1" applyProtection="1">
      <alignment horizontal="center"/>
      <protection hidden="1"/>
    </xf>
    <xf numFmtId="0" fontId="9" fillId="40" borderId="2" xfId="53" applyFont="1" applyFill="1" applyBorder="1" applyAlignment="1" applyProtection="1">
      <alignment horizontal="center"/>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9">
    <dxf>
      <numFmt numFmtId="172" formatCode="m/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73" formatCode="m/d/yyyy"/>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4"/>
      <queryTableField id="2" name="CNT" tableColumnId="5"/>
      <queryTableField id="3" name="CNT_BL" tableColumnId="6"/>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1"/>
      <queryTableField id="2" name="STATE_DISTRICT_SM" tableColumnId="12"/>
      <queryTableField id="3" name="STATE_SM" tableColumnId="13"/>
      <queryTableField id="4" name="STATE_INVENTORY" tableColumnId="14"/>
      <queryTableField id="5" name="STATE_BL_INVENTORY" tableColumnId="15"/>
      <queryTableField id="6" name="STATE_ADP" tableColumnId="16"/>
      <queryTableField id="7" name="STATE_PRODUCTION_FYTD" tableColumnId="17"/>
      <queryTableField id="8" name="STATE_PRODUCTION_MTD" tableColumnId="18"/>
      <queryTableField id="9" name="STATE_ADC_FYTD" tableColumnId="19"/>
      <queryTableField id="10" name="STATE_ADC_MTD" tableColumnId="20"/>
    </queryTableFields>
  </queryTableRefresh>
</queryTable>
</file>

<file path=xl/queryTables/queryTable14.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6"/>
      <queryTableField id="2" name="DEF_DIST" tableColumnId="17"/>
      <queryTableField id="3" name="RELEASE_DATE" tableColumnId="18"/>
      <queryTableField id="4" name="RO" tableColumnId="19"/>
      <queryTableField id="5" name="COMP3_ISSUES_WGHTED_ACC" tableColumnId="20"/>
      <queryTableField id="6" name="COMP3_RTNG_CLM_WGHTED_ACC" tableColumnId="21"/>
      <queryTableField id="7" name="COMP12_RTNG_CLM_WGHTED_ACC" tableColumnId="22"/>
      <queryTableField id="8" name="COMP12_RTNG_CLM_MOE" tableColumnId="23"/>
      <queryTableField id="9" name="COMP12_AUTH_CLM_WGHTED_ACC" tableColumnId="24"/>
      <queryTableField id="10" name="COMP12_AUTH_CLM_MOE" tableColumnId="25"/>
      <queryTableField id="11" name="PMC3_RTNG_CLM_WGHTED_ACC" tableColumnId="26"/>
      <queryTableField id="12" name="PMC12_RTNG_CLM_WGHTED_ACC" tableColumnId="27"/>
      <queryTableField id="13" name="PMC12_RTNG_CLM_MOE" tableColumnId="28"/>
      <queryTableField id="14" name="PMC12_AUTH_CLM_WGHTED_ACC" tableColumnId="29"/>
      <queryTableField id="15" name="PMC12_AUTH_CLM_MOE" tableColumnId="30"/>
    </queryTableFields>
  </queryTableRefresh>
</queryTable>
</file>

<file path=xl/queryTables/queryTable15.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6.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7.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5"/>
      <queryTableField id="2" name="APPEALS_INVENTORY" tableColumnId="16"/>
      <queryTableField id="3" name="NOD_INVENTORY" tableColumnId="17"/>
      <queryTableField id="4" name="NOD_ADP" tableColumnId="18"/>
      <queryTableField id="5" name="SOC_INVENTORY" tableColumnId="19"/>
      <queryTableField id="6" name="SOC_ADP" tableColumnId="20"/>
      <queryTableField id="7" name="FORM9_INVENTORY" tableColumnId="21"/>
      <queryTableField id="8" name="FORM9_ADP" tableColumnId="22"/>
      <queryTableField id="9" name="RMND_AT_RO_INVENTORY" tableColumnId="23"/>
      <queryTableField id="10" name="RMND_AT_RO_ADP" tableColumnId="24"/>
      <queryTableField id="11" name="RMND_AT_AMC_INVENTORY" tableColumnId="25"/>
      <queryTableField id="12" name="RMND_AT_AMC_ADP" tableColumnId="26"/>
      <queryTableField id="13" name="RMND_TB_READY_INVENTORY" tableColumnId="27"/>
      <queryTableField id="14" name="RMND_TB_READY_ADP" tableColumnId="28"/>
    </queryTableFields>
  </queryTableRefresh>
</queryTable>
</file>

<file path=xl/queryTables/queryTable18.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4"/>
      <queryTableField id="2" name="INVENTORY" tableColumnId="5"/>
      <queryTableField id="3" name="ADP" tableColumnId="6"/>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9"/>
      <queryTableField id="2" name="GEOGRAPHY_DIM_SID" tableColumnId="20"/>
      <queryTableField id="3" name="ID_RO" tableColumnId="21"/>
      <queryTableField id="4" name="DEF_RO" tableColumnId="22"/>
      <queryTableField id="5" name="ID_SPM" tableColumnId="23"/>
      <queryTableField id="6" name="DEF_SPM" tableColumnId="24"/>
      <queryTableField id="7" name="ID_AREA" tableColumnId="25"/>
      <queryTableField id="8" name="DEF_AREA" tableColumnId="26"/>
      <queryTableField id="9" name="AREA_NBR" tableColumnId="27"/>
      <queryTableField id="10" name="ID_DIST" tableColumnId="28"/>
      <queryTableField id="11" name="DEF_DIST" tableColumnId="29"/>
      <queryTableField id="12" name="LCTN_ID" tableColumnId="30"/>
      <queryTableField id="13" name="ID_STATE" tableColumnId="31"/>
      <queryTableField id="14" name="DEF_STATE" tableColumnId="32"/>
      <queryTableField id="15" name="KEY_RO" tableColumnId="33"/>
      <queryTableField id="16" name="KEY_SPM" tableColumnId="34"/>
      <queryTableField id="17" name="KEY_HL" tableColumnId="35"/>
      <queryTableField id="18" name="TYP_SPM" tableColumnId="36"/>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6"/>
      <queryTableField id="2" name="STATE" tableColumnId="7"/>
      <queryTableField id="3" name="STATE_OTHER" tableColumnId="8"/>
      <queryTableField id="4" name="AREA" tableColumnId="9"/>
      <queryTableField id="5" name="STATE_DIST" tableColumnId="10"/>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4"/>
      <queryTableField id="2" name="NBRINV" tableColumnId="15"/>
      <queryTableField id="3" name="ADP" tableColumnId="16"/>
      <queryTableField id="4" name="ENTIT" tableColumnId="17"/>
      <queryTableField id="5" name="ENTIT125" tableColumnId="18"/>
      <queryTableField id="6" name="AWD" tableColumnId="19"/>
      <queryTableField id="7" name="AWD125" tableColumnId="20"/>
      <queryTableField id="8" name="PROGRVW" tableColumnId="21"/>
      <queryTableField id="9" name="PROGRVW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4"/>
      <queryTableField id="2" name="NBRINV" tableColumnId="15"/>
      <queryTableField id="3" name="ADP" tableColumnId="16"/>
      <queryTableField id="4" name="ENTIT" tableColumnId="17"/>
      <queryTableField id="5" name="ENT125" tableColumnId="18"/>
      <queryTableField id="6" name="AWD" tableColumnId="19"/>
      <queryTableField id="7" name="AWD125" tableColumnId="20"/>
      <queryTableField id="8" name="PROGRVW" tableColumnId="21"/>
      <queryTableField id="9" name="PROG125" tableColumnId="22"/>
      <queryTableField id="10" name="OTH" tableColumnId="23"/>
      <queryTableField id="11" name="OTH125" tableColumnId="24"/>
      <queryTableField id="12" name="BUR" tableColumnId="25"/>
      <queryTableField id="13" name="ACC" tableColumnId="26"/>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7"/>
      <queryTableField id="2" name="DIST_TYP" tableColumnId="18"/>
      <queryTableField id="3" name="SOO_INVENTORY" tableColumnId="19"/>
      <queryTableField id="4" name="SOO_BL_INVENTORY" tableColumnId="20"/>
      <queryTableField id="5" name="SOO_ADP" tableColumnId="21"/>
      <queryTableField id="6" name="SOO_PRODUCTION_FYTD" tableColumnId="22"/>
      <queryTableField id="7" name="SOO_PRODUCTION_MTD" tableColumnId="23"/>
      <queryTableField id="8" name="SOO_ADC_FYTD" tableColumnId="24"/>
      <queryTableField id="9" name="SOO_ADC_MTD" tableColumnId="25"/>
      <queryTableField id="10" name="SOJ_INVENTORY" tableColumnId="26"/>
      <queryTableField id="11" name="SOJ_BL_INVENTORY" tableColumnId="27"/>
      <queryTableField id="12" name="SOJ_ADP" tableColumnId="28"/>
      <queryTableField id="13" name="SOJ_PRODUCTION_FYTD" tableColumnId="29"/>
      <queryTableField id="14" name="SOJ_PRODUCTION_MTD" tableColumnId="30"/>
      <queryTableField id="15" name="SOJ_ADC_FYTD" tableColumnId="31"/>
      <queryTableField id="16" name="SOJ_ADC_MTD" tableColumnId="32"/>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4" uniqueName="4" name="MMWR_TRAD_AGG_NATIONAL" queryTableFieldId="1"/>
    <tableColumn id="5" uniqueName="5" name="CNT" queryTableFieldId="2"/>
    <tableColumn id="6" uniqueName="6"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1" uniqueName="11" name="MMWR_RATING_STATE_ROLLUP_VS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1" uniqueName="11" name="MMWR_RATING_STATE_ROLLUP_PMC"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1" uniqueName="11" name="MMWR_RATING_STATE_ROLLUP_QST"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1" uniqueName="11" name="MMWR_RATING_STATE_ROLLUP_BDD" queryTableFieldId="1"/>
    <tableColumn id="12" uniqueName="12" name="STATE_DISTRICT_SM" queryTableFieldId="2"/>
    <tableColumn id="13" uniqueName="13" name="STATE_SM" queryTableFieldId="3"/>
    <tableColumn id="14" uniqueName="14" name="STATE_INVENTORY" queryTableFieldId="4"/>
    <tableColumn id="15" uniqueName="15" name="STATE_BL_INVENTORY" queryTableFieldId="5"/>
    <tableColumn id="16" uniqueName="16" name="STATE_ADP" queryTableFieldId="6"/>
    <tableColumn id="17" uniqueName="17" name="STATE_PRODUCTION_FYTD" queryTableFieldId="7"/>
    <tableColumn id="18" uniqueName="18" name="STATE_PRODUCTION_MTD" queryTableFieldId="8"/>
    <tableColumn id="19" uniqueName="19" name="STATE_ADC_FYTD" queryTableFieldId="9"/>
    <tableColumn id="20" uniqueName="2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20" name="MMWR_ACCURACY_RO" displayName="MMWR_ACCURACY_RO" ref="B2:P71" tableType="queryTable" totalsRowShown="0">
  <autoFilter ref="B2:P71"/>
  <tableColumns count="15">
    <tableColumn id="16" uniqueName="16" name="MMWR_ACCURACY_RO" queryTableFieldId="1"/>
    <tableColumn id="17" uniqueName="17" name="DEF_DIST" queryTableFieldId="2"/>
    <tableColumn id="18" uniqueName="18" name="RELEASE_DATE" queryTableFieldId="3" dataDxfId="15"/>
    <tableColumn id="19" uniqueName="19" name="RO" queryTableFieldId="4"/>
    <tableColumn id="20" uniqueName="20" name="COMP3_ISSUES_WGHTED_ACC" queryTableFieldId="5" dataDxfId="14"/>
    <tableColumn id="21" uniqueName="21" name="COMP3_RTNG_CLM_WGHTED_ACC" queryTableFieldId="6" dataDxfId="13"/>
    <tableColumn id="22" uniqueName="22" name="COMP12_RTNG_CLM_WGHTED_ACC" queryTableFieldId="7" dataDxfId="12"/>
    <tableColumn id="23" uniqueName="23" name="COMP12_RTNG_CLM_MOE" queryTableFieldId="8" dataDxfId="11"/>
    <tableColumn id="24" uniqueName="24" name="COMP12_AUTH_CLM_WGHTED_ACC" queryTableFieldId="9" dataDxfId="10"/>
    <tableColumn id="25" uniqueName="25" name="COMP12_AUTH_CLM_MOE" queryTableFieldId="10" dataDxfId="9"/>
    <tableColumn id="26" uniqueName="26" name="PMC3_RTNG_CLM_WGHTED_ACC" queryTableFieldId="11" dataDxfId="8"/>
    <tableColumn id="27" uniqueName="27" name="PMC12_RTNG_CLM_WGHTED_ACC" queryTableFieldId="12" dataDxfId="7"/>
    <tableColumn id="28" uniqueName="28" name="PMC12_RTNG_CLM_MOE" queryTableFieldId="13" dataDxfId="6"/>
    <tableColumn id="29" uniqueName="29" name="PMC12_AUTH_CLM_WGHTED_ACC" queryTableFieldId="14" dataDxfId="5"/>
    <tableColumn id="30" uniqueName="30" name="PMC12_AUTH_CLM_MOE" queryTableFieldId="15" dataDxfId="4"/>
  </tableColumns>
  <tableStyleInfo name="TableStyleMedium2" showFirstColumn="0" showLastColumn="0" showRowStripes="1" showColumnStripes="0"/>
</table>
</file>

<file path=xl/tables/table15.xml><?xml version="1.0" encoding="utf-8"?>
<table xmlns="http://schemas.openxmlformats.org/spreadsheetml/2006/main" id="11" name="MMWR_APP_STATE_COMP" displayName="MMWR_APP_STATE_COMP" ref="V2:AI63" tableType="queryTable" totalsRowShown="0">
  <autoFilter ref="V2:AI63"/>
  <tableColumns count="14">
    <tableColumn id="15" uniqueName="15" name="MMWR_APP_STATE_COMP"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1" name="MMWR_APP_STATE_PEN" displayName="MMWR_APP_STATE_PEN" ref="AL2:AY63" tableType="queryTable" totalsRowShown="0">
  <autoFilter ref="AL2:AY63"/>
  <tableColumns count="14">
    <tableColumn id="15" uniqueName="15" name="MMWR_APP_STATE_PEN"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2" name="MMWR_APP_RO" displayName="MMWR_APP_RO" ref="F2:S72" tableType="queryTable" totalsRowShown="0">
  <autoFilter ref="F2:S72"/>
  <tableColumns count="14">
    <tableColumn id="15" uniqueName="15" name="MMWR_APP_RO" queryTableFieldId="1"/>
    <tableColumn id="16" uniqueName="16" name="APPEALS_INVENTORY" queryTableFieldId="2"/>
    <tableColumn id="17" uniqueName="17" name="NOD_INVENTORY" queryTableFieldId="3"/>
    <tableColumn id="18" uniqueName="18" name="NOD_ADP" queryTableFieldId="4"/>
    <tableColumn id="19" uniqueName="19" name="SOC_INVENTORY" queryTableFieldId="5"/>
    <tableColumn id="20" uniqueName="20" name="SOC_ADP" queryTableFieldId="6"/>
    <tableColumn id="21" uniqueName="21" name="FORM9_INVENTORY" queryTableFieldId="7"/>
    <tableColumn id="22" uniqueName="22" name="FORM9_ADP" queryTableFieldId="8"/>
    <tableColumn id="23" uniqueName="23" name="RMND_AT_RO_INVENTORY" queryTableFieldId="9"/>
    <tableColumn id="24" uniqueName="24" name="RMND_AT_RO_ADP" queryTableFieldId="10"/>
    <tableColumn id="25" uniqueName="25" name="RMND_AT_AMC_INVENTORY" queryTableFieldId="11"/>
    <tableColumn id="26" uniqueName="26" name="RMND_AT_AMC_ADP" queryTableFieldId="12"/>
    <tableColumn id="27" uniqueName="27" name="RMND_TB_READY_INVENTORY" queryTableFieldId="13"/>
    <tableColumn id="28" uniqueName="28" name="RMND_TB_READY_ADP" queryTableFieldId="14"/>
  </tableColumns>
  <tableStyleInfo name="TableStyleMedium2" showFirstColumn="0" showLastColumn="0" showRowStripes="1" showColumnStripes="0"/>
</table>
</file>

<file path=xl/tables/table18.xml><?xml version="1.0" encoding="utf-8"?>
<table xmlns="http://schemas.openxmlformats.org/spreadsheetml/2006/main" id="23" name="MMWR_APP_NATIONAL" displayName="MMWR_APP_NATIONAL" ref="B2:D10" tableType="queryTable" totalsRowShown="0">
  <autoFilter ref="B2:D10"/>
  <tableColumns count="3">
    <tableColumn id="4" uniqueName="4" name="TITLE" queryTableFieldId="1"/>
    <tableColumn id="5" uniqueName="5" name="INVENTORY" queryTableFieldId="2"/>
    <tableColumn id="6" uniqueName="6" name="ADP" queryTableFieldId="3"/>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9" uniqueName="19" name="ID_ORD" queryTableFieldId="1"/>
    <tableColumn id="20" uniqueName="20" name="GEOGRAPHY_DIM_SID" queryTableFieldId="2"/>
    <tableColumn id="21" uniqueName="21" name="ID_RO" queryTableFieldId="3"/>
    <tableColumn id="22" uniqueName="22" name="DEF_RO" queryTableFieldId="4"/>
    <tableColumn id="23" uniqueName="23" name="ID_SPM" queryTableFieldId="5"/>
    <tableColumn id="24" uniqueName="24" name="DEF_SPM" queryTableFieldId="6"/>
    <tableColumn id="25" uniqueName="25" name="ID_AREA" queryTableFieldId="7"/>
    <tableColumn id="26" uniqueName="26" name="DEF_AREA" queryTableFieldId="8"/>
    <tableColumn id="27" uniqueName="27" name="AREA_NBR" queryTableFieldId="9"/>
    <tableColumn id="28" uniqueName="28" name="ID_DIST" queryTableFieldId="10"/>
    <tableColumn id="29" uniqueName="29" name="DEF_DIST" queryTableFieldId="11"/>
    <tableColumn id="30" uniqueName="30" name="LCTN_ID" queryTableFieldId="12"/>
    <tableColumn id="31" uniqueName="31" name="ID_STATE" queryTableFieldId="13"/>
    <tableColumn id="32" uniqueName="32" name="DEF_STATE" queryTableFieldId="14"/>
    <tableColumn id="33" uniqueName="33" name="KEY_RO" queryTableFieldId="15"/>
    <tableColumn id="34" uniqueName="34" name="KEY_SPM" queryTableFieldId="16"/>
    <tableColumn id="35" uniqueName="35" name="KEY_HL" queryTableFieldId="17"/>
    <tableColumn id="36" uniqueName="36"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4" uniqueName="14" name="MMWR_TRAD_AGG_RO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6" uniqueName="6" name="ST" queryTableFieldId="1"/>
    <tableColumn id="7" uniqueName="7" name="STATE" queryTableFieldId="2"/>
    <tableColumn id="8" uniqueName="8" name="STATE_OTHER" queryTableFieldId="3"/>
    <tableColumn id="9" uniqueName="9" name="AREA" queryTableFieldId="4"/>
    <tableColumn id="10" uniqueName="10"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4" uniqueName="14" name="MMWR_TRAD_AGG_RO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4" uniqueName="14" name="MMWR_TRAD_AGG_STATE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4" uniqueName="14" name="MMWR_TRAD_AGG_STATE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4" uniqueName="14" name="MMWR_TRAD_AGG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4" uniqueName="14" name="MMWR_TRAD_AGG_ST_DISTRICT_COMP" queryTableFieldId="1"/>
    <tableColumn id="15" uniqueName="15" name="NBRINV" queryTableFieldId="2"/>
    <tableColumn id="16" uniqueName="16" name="ADP" queryTableFieldId="3"/>
    <tableColumn id="17" uniqueName="17" name="ENTIT" queryTableFieldId="4"/>
    <tableColumn id="18" uniqueName="18" name="ENTIT125" queryTableFieldId="5"/>
    <tableColumn id="19" uniqueName="19" name="AWD" queryTableFieldId="6"/>
    <tableColumn id="20" uniqueName="20" name="AWD125" queryTableFieldId="7"/>
    <tableColumn id="21" uniqueName="21" name="PROGRVW" queryTableFieldId="8"/>
    <tableColumn id="22" uniqueName="22" name="PROGRVW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4" uniqueName="14" name="MMWR_TRAD_AGG_ST_DISTRICT_PEN" queryTableFieldId="1"/>
    <tableColumn id="15" uniqueName="15" name="NBRINV" queryTableFieldId="2"/>
    <tableColumn id="16" uniqueName="16" name="ADP" queryTableFieldId="3"/>
    <tableColumn id="17" uniqueName="17" name="ENTIT" queryTableFieldId="4"/>
    <tableColumn id="18" uniqueName="18" name="ENT125" queryTableFieldId="5"/>
    <tableColumn id="19" uniqueName="19" name="AWD" queryTableFieldId="6"/>
    <tableColumn id="20" uniqueName="20" name="AWD125" queryTableFieldId="7"/>
    <tableColumn id="21" uniqueName="21" name="PROGRVW" queryTableFieldId="8"/>
    <tableColumn id="22" uniqueName="22" name="PROG125" queryTableFieldId="9"/>
    <tableColumn id="23" uniqueName="23" name="OTH" queryTableFieldId="10"/>
    <tableColumn id="24" uniqueName="24" name="OTH125" queryTableFieldId="11"/>
    <tableColumn id="25" uniqueName="25" name="BUR" queryTableFieldId="12"/>
    <tableColumn id="26" uniqueName="26"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tableColumns count="16">
    <tableColumn id="17" uniqueName="17" name="MMWR_RATING_RO_ROLLUP" queryTableFieldId="1"/>
    <tableColumn id="18" uniqueName="18" name="DIST_TYP" queryTableFieldId="2"/>
    <tableColumn id="19" uniqueName="19" name="SOO_INVENTORY" queryTableFieldId="3"/>
    <tableColumn id="20" uniqueName="20" name="SOO_BL_INVENTORY" queryTableFieldId="4"/>
    <tableColumn id="21" uniqueName="21" name="SOO_ADP" queryTableFieldId="5"/>
    <tableColumn id="22" uniqueName="22" name="SOO_PRODUCTION_FYTD" queryTableFieldId="6"/>
    <tableColumn id="23" uniqueName="23" name="SOO_PRODUCTION_MTD" queryTableFieldId="7"/>
    <tableColumn id="24" uniqueName="24" name="SOO_ADC_FYTD" queryTableFieldId="8"/>
    <tableColumn id="25" uniqueName="25" name="SOO_ADC_MTD" queryTableFieldId="9"/>
    <tableColumn id="26" uniqueName="26" name="SOJ_INVENTORY" queryTableFieldId="10"/>
    <tableColumn id="27" uniqueName="27" name="SOJ_BL_INVENTORY" queryTableFieldId="11"/>
    <tableColumn id="28" uniqueName="28" name="SOJ_ADP" queryTableFieldId="12"/>
    <tableColumn id="29" uniqueName="29" name="SOJ_PRODUCTION_FYTD" queryTableFieldId="13"/>
    <tableColumn id="30" uniqueName="30" name="SOJ_PRODUCTION_MTD" queryTableFieldId="14"/>
    <tableColumn id="31" uniqueName="31" name="SOJ_ADC_FYTD" queryTableFieldId="15"/>
    <tableColumn id="32" uniqueName="32"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table" Target="../tables/table15.xml"/><Relationship Id="rId1" Type="http://schemas.openxmlformats.org/officeDocument/2006/relationships/printerSettings" Target="../printerSettings/printerSettings11.bin"/><Relationship Id="rId5" Type="http://schemas.openxmlformats.org/officeDocument/2006/relationships/table" Target="../tables/table18.xml"/><Relationship Id="rId4" Type="http://schemas.openxmlformats.org/officeDocument/2006/relationships/table" Target="../tables/table1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3" t="s">
        <v>312</v>
      </c>
      <c r="B1" s="274"/>
      <c r="C1" s="274"/>
      <c r="D1" s="274"/>
      <c r="E1" s="274"/>
      <c r="F1" s="274"/>
      <c r="G1" s="274"/>
      <c r="H1" s="274"/>
      <c r="I1" s="274"/>
      <c r="J1" s="274"/>
      <c r="K1" s="274"/>
      <c r="L1" s="274"/>
      <c r="M1" s="274"/>
      <c r="N1" s="274"/>
      <c r="O1" s="274"/>
      <c r="P1" s="275"/>
    </row>
    <row r="2" spans="1:16" ht="29.25" customHeight="1" x14ac:dyDescent="0.2">
      <c r="A2" s="267" t="s">
        <v>314</v>
      </c>
      <c r="B2" s="268"/>
      <c r="C2" s="268"/>
      <c r="D2" s="268"/>
      <c r="E2" s="268"/>
      <c r="F2" s="268"/>
      <c r="G2" s="268"/>
      <c r="H2" s="268"/>
      <c r="I2" s="268"/>
      <c r="J2" s="268"/>
      <c r="K2" s="268"/>
      <c r="L2" s="268"/>
      <c r="M2" s="268"/>
      <c r="N2" s="269"/>
      <c r="O2" s="276"/>
      <c r="P2" s="277"/>
    </row>
    <row r="3" spans="1:16" x14ac:dyDescent="0.2">
      <c r="A3" s="267"/>
      <c r="B3" s="268"/>
      <c r="C3" s="268"/>
      <c r="D3" s="268"/>
      <c r="E3" s="268"/>
      <c r="F3" s="268"/>
      <c r="G3" s="268"/>
      <c r="H3" s="268"/>
      <c r="I3" s="268"/>
      <c r="J3" s="268"/>
      <c r="K3" s="268"/>
      <c r="L3" s="268"/>
      <c r="M3" s="268"/>
      <c r="N3" s="269"/>
      <c r="O3" s="278"/>
      <c r="P3" s="279"/>
    </row>
    <row r="4" spans="1:16" x14ac:dyDescent="0.2">
      <c r="A4" s="267"/>
      <c r="B4" s="268"/>
      <c r="C4" s="268"/>
      <c r="D4" s="268"/>
      <c r="E4" s="268"/>
      <c r="F4" s="268"/>
      <c r="G4" s="268"/>
      <c r="H4" s="268"/>
      <c r="I4" s="268"/>
      <c r="J4" s="268"/>
      <c r="K4" s="268"/>
      <c r="L4" s="268"/>
      <c r="M4" s="268"/>
      <c r="N4" s="269"/>
      <c r="O4" s="278"/>
      <c r="P4" s="279"/>
    </row>
    <row r="5" spans="1:16" x14ac:dyDescent="0.2">
      <c r="A5" s="267"/>
      <c r="B5" s="268"/>
      <c r="C5" s="268"/>
      <c r="D5" s="268"/>
      <c r="E5" s="268"/>
      <c r="F5" s="268"/>
      <c r="G5" s="268"/>
      <c r="H5" s="268"/>
      <c r="I5" s="268"/>
      <c r="J5" s="268"/>
      <c r="K5" s="268"/>
      <c r="L5" s="268"/>
      <c r="M5" s="268"/>
      <c r="N5" s="269"/>
      <c r="O5" s="278"/>
      <c r="P5" s="279"/>
    </row>
    <row r="6" spans="1:16" x14ac:dyDescent="0.2">
      <c r="A6" s="267"/>
      <c r="B6" s="268"/>
      <c r="C6" s="268"/>
      <c r="D6" s="268"/>
      <c r="E6" s="268"/>
      <c r="F6" s="268"/>
      <c r="G6" s="268"/>
      <c r="H6" s="268"/>
      <c r="I6" s="268"/>
      <c r="J6" s="268"/>
      <c r="K6" s="268"/>
      <c r="L6" s="268"/>
      <c r="M6" s="268"/>
      <c r="N6" s="269"/>
      <c r="O6" s="278"/>
      <c r="P6" s="279"/>
    </row>
    <row r="7" spans="1:16" ht="18" customHeight="1" thickBot="1" x14ac:dyDescent="0.25">
      <c r="A7" s="270"/>
      <c r="B7" s="271"/>
      <c r="C7" s="271"/>
      <c r="D7" s="271"/>
      <c r="E7" s="271"/>
      <c r="F7" s="271"/>
      <c r="G7" s="271"/>
      <c r="H7" s="271"/>
      <c r="I7" s="271"/>
      <c r="J7" s="271"/>
      <c r="K7" s="271"/>
      <c r="L7" s="271"/>
      <c r="M7" s="271"/>
      <c r="N7" s="272"/>
      <c r="O7" s="280"/>
      <c r="P7" s="281"/>
    </row>
    <row r="8" spans="1:16" ht="18.75" thickBot="1" x14ac:dyDescent="0.25">
      <c r="A8" s="264" t="s">
        <v>310</v>
      </c>
      <c r="B8" s="265"/>
      <c r="C8" s="265"/>
      <c r="D8" s="265"/>
      <c r="E8" s="265"/>
      <c r="F8" s="265"/>
      <c r="G8" s="266"/>
      <c r="H8" s="264" t="s">
        <v>311</v>
      </c>
      <c r="I8" s="265"/>
      <c r="J8" s="265"/>
      <c r="K8" s="265"/>
      <c r="L8" s="265"/>
      <c r="M8" s="265"/>
      <c r="N8" s="265"/>
      <c r="O8" s="265"/>
      <c r="P8" s="266"/>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BD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1"/>
  <sheetViews>
    <sheetView zoomScale="80" zoomScaleNormal="80" workbookViewId="0"/>
  </sheetViews>
  <sheetFormatPr defaultRowHeight="12.75" x14ac:dyDescent="0.2"/>
  <cols>
    <col min="2" max="2" width="24.140625" bestFit="1" customWidth="1"/>
    <col min="3" max="3" width="12.85546875" bestFit="1" customWidth="1"/>
    <col min="4" max="4" width="15.85546875" bestFit="1" customWidth="1"/>
    <col min="5" max="5" width="4.42578125" bestFit="1" customWidth="1"/>
    <col min="6" max="6" width="31" bestFit="1" customWidth="1"/>
    <col min="7" max="7" width="35.28515625" bestFit="1" customWidth="1"/>
    <col min="8" max="8" width="36.5703125" bestFit="1" customWidth="1"/>
    <col min="9" max="9" width="27" bestFit="1" customWidth="1"/>
    <col min="10" max="10" width="36.5703125" bestFit="1" customWidth="1"/>
    <col min="11" max="11" width="27" bestFit="1" customWidth="1"/>
    <col min="12" max="12" width="33.85546875" bestFit="1" customWidth="1"/>
    <col min="13" max="13" width="35" bestFit="1" customWidth="1"/>
    <col min="14" max="14" width="25.5703125" bestFit="1" customWidth="1"/>
    <col min="15" max="15" width="35" bestFit="1" customWidth="1"/>
    <col min="16" max="16" width="25.5703125" bestFit="1" customWidth="1"/>
    <col min="17" max="19" width="12.7109375" bestFit="1" customWidth="1"/>
  </cols>
  <sheetData>
    <row r="2" spans="2:16" x14ac:dyDescent="0.2">
      <c r="B2" t="s">
        <v>1061</v>
      </c>
      <c r="C2" t="s">
        <v>512</v>
      </c>
      <c r="D2" t="s">
        <v>928</v>
      </c>
      <c r="E2" t="s">
        <v>929</v>
      </c>
      <c r="F2" t="s">
        <v>930</v>
      </c>
      <c r="G2" t="s">
        <v>931</v>
      </c>
      <c r="H2" t="s">
        <v>933</v>
      </c>
      <c r="I2" t="s">
        <v>1055</v>
      </c>
      <c r="J2" t="s">
        <v>934</v>
      </c>
      <c r="K2" t="s">
        <v>935</v>
      </c>
      <c r="L2" t="s">
        <v>932</v>
      </c>
      <c r="M2" t="s">
        <v>939</v>
      </c>
      <c r="N2" t="s">
        <v>940</v>
      </c>
      <c r="O2" t="s">
        <v>941</v>
      </c>
      <c r="P2" t="s">
        <v>942</v>
      </c>
    </row>
    <row r="3" spans="2:16" x14ac:dyDescent="0.2">
      <c r="B3" t="s">
        <v>596</v>
      </c>
      <c r="C3" t="s">
        <v>414</v>
      </c>
      <c r="D3" s="18">
        <v>42236.439930555556</v>
      </c>
      <c r="E3" t="s">
        <v>169</v>
      </c>
      <c r="F3" s="19">
        <v>0.95908672169939124</v>
      </c>
      <c r="G3" s="19">
        <v>0.88232704402515727</v>
      </c>
      <c r="H3" s="19">
        <v>0.91032080673679172</v>
      </c>
      <c r="I3" s="19">
        <v>4.5910594654970181E-2</v>
      </c>
      <c r="J3" s="19">
        <v>0.93487798378866072</v>
      </c>
      <c r="K3" s="19">
        <v>3.6639304602416163E-2</v>
      </c>
      <c r="L3" s="19"/>
      <c r="M3" s="19"/>
      <c r="N3" s="19"/>
      <c r="O3" s="19"/>
      <c r="P3" s="19"/>
    </row>
    <row r="4" spans="2:16" x14ac:dyDescent="0.2">
      <c r="B4" t="s">
        <v>655</v>
      </c>
      <c r="C4" t="s">
        <v>414</v>
      </c>
      <c r="D4" s="18">
        <v>42236.439930555556</v>
      </c>
      <c r="E4" t="s">
        <v>194</v>
      </c>
      <c r="F4" s="19">
        <v>0.92853091546980371</v>
      </c>
      <c r="G4" s="19">
        <v>0.80458959899749372</v>
      </c>
      <c r="H4" s="19">
        <v>0.87135248933078624</v>
      </c>
      <c r="I4" s="19">
        <v>4.6582951817081053E-2</v>
      </c>
      <c r="J4" s="19">
        <v>0.93468435050849297</v>
      </c>
      <c r="K4" s="19">
        <v>4.1974921120297069E-2</v>
      </c>
      <c r="L4" s="19"/>
      <c r="M4" s="19"/>
      <c r="N4" s="19"/>
      <c r="O4" s="19"/>
      <c r="P4" s="19"/>
    </row>
    <row r="5" spans="2:16" x14ac:dyDescent="0.2">
      <c r="B5" t="s">
        <v>549</v>
      </c>
      <c r="C5" t="s">
        <v>390</v>
      </c>
      <c r="D5" s="18">
        <v>42236.439930555556</v>
      </c>
      <c r="E5" t="s">
        <v>151</v>
      </c>
      <c r="F5" s="19">
        <v>0.97165298590145999</v>
      </c>
      <c r="G5" s="19">
        <v>0.88863235744941749</v>
      </c>
      <c r="H5" s="19">
        <v>0.90132839190977565</v>
      </c>
      <c r="I5" s="19">
        <v>4.2717327941768135E-2</v>
      </c>
      <c r="J5" s="19">
        <v>0.83249212231662439</v>
      </c>
      <c r="K5" s="19">
        <v>5.1252663798710074E-2</v>
      </c>
      <c r="L5" s="19"/>
      <c r="M5" s="19"/>
      <c r="N5" s="19"/>
      <c r="O5" s="19"/>
      <c r="P5" s="19"/>
    </row>
    <row r="6" spans="2:16" x14ac:dyDescent="0.2">
      <c r="B6" t="s">
        <v>543</v>
      </c>
      <c r="C6" t="s">
        <v>379</v>
      </c>
      <c r="D6" s="18">
        <v>42236.439930555556</v>
      </c>
      <c r="E6" t="s">
        <v>149</v>
      </c>
      <c r="F6" s="19">
        <v>0.93458483652634283</v>
      </c>
      <c r="G6" s="19">
        <v>0.86612899229415996</v>
      </c>
      <c r="H6" s="19">
        <v>0.84835657905458473</v>
      </c>
      <c r="I6" s="19">
        <v>4.6490202491033944E-2</v>
      </c>
      <c r="J6" s="19">
        <v>0.84672428389324095</v>
      </c>
      <c r="K6" s="19">
        <v>4.8553838218814892E-2</v>
      </c>
      <c r="L6" s="19"/>
      <c r="M6" s="19"/>
      <c r="N6" s="19"/>
      <c r="O6" s="19"/>
      <c r="P6" s="19"/>
    </row>
    <row r="7" spans="2:16" x14ac:dyDescent="0.2">
      <c r="B7" t="s">
        <v>611</v>
      </c>
      <c r="C7" t="s">
        <v>414</v>
      </c>
      <c r="D7" s="18">
        <v>42236.439930555556</v>
      </c>
      <c r="E7" t="s">
        <v>175</v>
      </c>
      <c r="F7" s="19">
        <v>0.98495312171804283</v>
      </c>
      <c r="G7" s="19">
        <v>0.93494771601541005</v>
      </c>
      <c r="H7" s="19">
        <v>0.92649942444329769</v>
      </c>
      <c r="I7" s="19">
        <v>4.2543897113850516E-2</v>
      </c>
      <c r="J7" s="19">
        <v>0.96956314255025322</v>
      </c>
      <c r="K7" s="19">
        <v>2.7353974320496448E-2</v>
      </c>
      <c r="L7" s="19"/>
      <c r="M7" s="19"/>
      <c r="N7" s="19"/>
      <c r="O7" s="19"/>
      <c r="P7" s="19"/>
    </row>
    <row r="8" spans="2:16" x14ac:dyDescent="0.2">
      <c r="B8" t="s">
        <v>522</v>
      </c>
      <c r="C8" t="s">
        <v>379</v>
      </c>
      <c r="D8" s="18">
        <v>42236.439930555556</v>
      </c>
      <c r="E8" t="s">
        <v>142</v>
      </c>
      <c r="F8" s="19">
        <v>0.83258888854239843</v>
      </c>
      <c r="G8" s="19">
        <v>0.72847704129111168</v>
      </c>
      <c r="H8" s="19">
        <v>0.83333772256728789</v>
      </c>
      <c r="I8" s="19">
        <v>5.6563560059354999E-2</v>
      </c>
      <c r="J8" s="19">
        <v>0.89697203766859634</v>
      </c>
      <c r="K8" s="19">
        <v>5.6536773506483159E-2</v>
      </c>
      <c r="L8" s="19"/>
      <c r="M8" s="19"/>
      <c r="N8" s="19"/>
      <c r="O8" s="19"/>
      <c r="P8" s="19"/>
    </row>
    <row r="9" spans="2:16" x14ac:dyDescent="0.2">
      <c r="B9" t="s">
        <v>530</v>
      </c>
      <c r="C9" t="s">
        <v>379</v>
      </c>
      <c r="D9" s="18">
        <v>42236.439930555556</v>
      </c>
      <c r="E9" t="s">
        <v>145</v>
      </c>
      <c r="F9" s="19">
        <v>0.88777503867063057</v>
      </c>
      <c r="G9" s="19">
        <v>0.77864214992927872</v>
      </c>
      <c r="H9" s="19">
        <v>0.8838616785045289</v>
      </c>
      <c r="I9" s="19">
        <v>4.7077772133462897E-2</v>
      </c>
      <c r="J9" s="19">
        <v>0.86852391383655392</v>
      </c>
      <c r="K9" s="19">
        <v>4.7183905315532827E-2</v>
      </c>
      <c r="L9" s="19"/>
      <c r="M9" s="19"/>
      <c r="N9" s="19"/>
      <c r="O9" s="19"/>
      <c r="P9" s="19"/>
    </row>
    <row r="10" spans="2:16" x14ac:dyDescent="0.2">
      <c r="B10" t="s">
        <v>647</v>
      </c>
      <c r="C10" t="s">
        <v>395</v>
      </c>
      <c r="D10" s="18">
        <v>42236.439930555556</v>
      </c>
      <c r="E10" t="s">
        <v>683</v>
      </c>
      <c r="F10" s="19">
        <v>0.95820588041215904</v>
      </c>
      <c r="G10" s="19">
        <v>0.83907856643705714</v>
      </c>
      <c r="H10" s="19">
        <v>0.86528808977135452</v>
      </c>
      <c r="I10" s="19">
        <v>5.2020990274825749E-2</v>
      </c>
      <c r="J10" s="19">
        <v>0.9424051425872918</v>
      </c>
      <c r="K10" s="19">
        <v>3.433275583871094E-2</v>
      </c>
      <c r="L10" s="19"/>
      <c r="M10" s="19"/>
      <c r="N10" s="19"/>
      <c r="O10" s="19"/>
      <c r="P10" s="19"/>
    </row>
    <row r="11" spans="2:16" x14ac:dyDescent="0.2">
      <c r="B11" t="s">
        <v>577</v>
      </c>
      <c r="C11" t="s">
        <v>400</v>
      </c>
      <c r="D11" s="18">
        <v>42236.439930555556</v>
      </c>
      <c r="E11" t="s">
        <v>161</v>
      </c>
      <c r="F11" s="19">
        <v>0.93522923313470541</v>
      </c>
      <c r="G11" s="19">
        <v>0.88954552916366769</v>
      </c>
      <c r="H11" s="19">
        <v>0.86916160641918749</v>
      </c>
      <c r="I11" s="19">
        <v>4.6271235564951073E-2</v>
      </c>
      <c r="J11" s="19">
        <v>0.85870767114765878</v>
      </c>
      <c r="K11" s="19">
        <v>5.0834596819334693E-2</v>
      </c>
      <c r="L11" s="255"/>
      <c r="M11" s="255"/>
      <c r="N11" s="255"/>
      <c r="O11" s="255"/>
      <c r="P11" s="255"/>
    </row>
    <row r="12" spans="2:16" x14ac:dyDescent="0.2">
      <c r="B12" t="s">
        <v>569</v>
      </c>
      <c r="C12" t="s">
        <v>400</v>
      </c>
      <c r="D12" s="18">
        <v>42236.439930555556</v>
      </c>
      <c r="E12" t="s">
        <v>158</v>
      </c>
      <c r="F12" s="19">
        <v>0.95711754493768686</v>
      </c>
      <c r="G12" s="19">
        <v>0.89943925233644861</v>
      </c>
      <c r="H12" s="19">
        <v>0.93502847446343551</v>
      </c>
      <c r="I12" s="19">
        <v>3.6312379536337147E-2</v>
      </c>
      <c r="J12" s="19">
        <v>0.88544552043398495</v>
      </c>
      <c r="K12" s="19">
        <v>4.7797456494252939E-2</v>
      </c>
      <c r="L12" s="19"/>
      <c r="M12" s="19"/>
      <c r="N12" s="19"/>
      <c r="O12" s="19"/>
      <c r="P12" s="19"/>
    </row>
    <row r="13" spans="2:16" x14ac:dyDescent="0.2">
      <c r="B13" t="s">
        <v>557</v>
      </c>
      <c r="C13" t="s">
        <v>390</v>
      </c>
      <c r="D13" s="18">
        <v>42236.439930555556</v>
      </c>
      <c r="E13" t="s">
        <v>154</v>
      </c>
      <c r="F13" s="19">
        <v>0.97058793271951016</v>
      </c>
      <c r="G13" s="19">
        <v>0.88608490566037734</v>
      </c>
      <c r="H13" s="19">
        <v>0.93309199019727596</v>
      </c>
      <c r="I13" s="19">
        <v>4.6949464201507564E-2</v>
      </c>
      <c r="J13" s="19">
        <v>0.94167352438662977</v>
      </c>
      <c r="K13" s="19">
        <v>4.0866402070416044E-2</v>
      </c>
      <c r="L13" s="19"/>
      <c r="M13" s="19"/>
      <c r="N13" s="19"/>
      <c r="O13" s="19"/>
      <c r="P13" s="19"/>
    </row>
    <row r="14" spans="2:16" x14ac:dyDescent="0.2">
      <c r="B14" t="s">
        <v>395</v>
      </c>
      <c r="C14" t="s">
        <v>395</v>
      </c>
      <c r="D14" s="18">
        <v>42236.439930555556</v>
      </c>
      <c r="E14" t="s">
        <v>675</v>
      </c>
      <c r="F14" s="19">
        <v>0.95863658107150174</v>
      </c>
      <c r="G14" s="19">
        <v>0.8791479799969133</v>
      </c>
      <c r="H14" s="19">
        <v>0.9096142337281502</v>
      </c>
      <c r="I14" s="19">
        <v>1.5368146827678614E-2</v>
      </c>
      <c r="J14" s="19">
        <v>0.9291960431793731</v>
      </c>
      <c r="K14" s="19">
        <v>1.6107583192639937E-2</v>
      </c>
      <c r="L14" s="19"/>
      <c r="M14" s="19"/>
      <c r="N14" s="19"/>
      <c r="O14" s="19"/>
      <c r="P14" s="19"/>
    </row>
    <row r="15" spans="2:16" x14ac:dyDescent="0.2">
      <c r="B15" t="s">
        <v>594</v>
      </c>
      <c r="C15" t="s">
        <v>395</v>
      </c>
      <c r="D15" s="18">
        <v>42236.439930555556</v>
      </c>
      <c r="E15" t="s">
        <v>168</v>
      </c>
      <c r="F15" s="19">
        <v>0.96893415063341837</v>
      </c>
      <c r="G15" s="19">
        <v>0.88626569543845346</v>
      </c>
      <c r="H15" s="19">
        <v>0.93176681655811033</v>
      </c>
      <c r="I15" s="19">
        <v>3.6989649366352635E-2</v>
      </c>
      <c r="J15" s="19">
        <v>0.92856629995843687</v>
      </c>
      <c r="K15" s="19">
        <v>3.7185817874234174E-2</v>
      </c>
      <c r="L15" s="19"/>
      <c r="M15" s="19"/>
      <c r="N15" s="19"/>
      <c r="O15" s="19"/>
      <c r="P15" s="19"/>
    </row>
    <row r="16" spans="2:16" x14ac:dyDescent="0.2">
      <c r="B16" t="s">
        <v>586</v>
      </c>
      <c r="C16" t="s">
        <v>400</v>
      </c>
      <c r="D16" s="18">
        <v>42236.439930555556</v>
      </c>
      <c r="E16" t="s">
        <v>165</v>
      </c>
      <c r="F16" s="19">
        <v>0.99047206582936342</v>
      </c>
      <c r="G16" s="19">
        <v>1</v>
      </c>
      <c r="H16" s="19">
        <v>0.97806516087493411</v>
      </c>
      <c r="I16" s="19">
        <v>1.7770136806626979E-2</v>
      </c>
      <c r="J16" s="19">
        <v>0.96741635923788638</v>
      </c>
      <c r="K16" s="19">
        <v>2.2879680878814382E-2</v>
      </c>
      <c r="L16" s="255"/>
      <c r="M16" s="255"/>
      <c r="N16" s="255"/>
      <c r="O16" s="255"/>
      <c r="P16" s="255"/>
    </row>
    <row r="17" spans="2:16" x14ac:dyDescent="0.2">
      <c r="B17" t="s">
        <v>579</v>
      </c>
      <c r="C17" t="s">
        <v>400</v>
      </c>
      <c r="D17" s="18">
        <v>42236.439930555556</v>
      </c>
      <c r="E17" t="s">
        <v>162</v>
      </c>
      <c r="F17" s="19">
        <v>0.93196047031554052</v>
      </c>
      <c r="G17" s="19">
        <v>0.81553504380475605</v>
      </c>
      <c r="H17" s="19">
        <v>0.87767847415452704</v>
      </c>
      <c r="I17" s="19">
        <v>4.5720021465680459E-2</v>
      </c>
      <c r="J17" s="19">
        <v>0.90666263535407088</v>
      </c>
      <c r="K17" s="19">
        <v>4.4138471205772661E-2</v>
      </c>
      <c r="L17" s="19"/>
      <c r="M17" s="19"/>
      <c r="N17" s="19"/>
      <c r="O17" s="19"/>
      <c r="P17" s="19"/>
    </row>
    <row r="18" spans="2:16" x14ac:dyDescent="0.2">
      <c r="B18" t="s">
        <v>643</v>
      </c>
      <c r="C18" t="s">
        <v>400</v>
      </c>
      <c r="D18" s="18">
        <v>42236.439930555556</v>
      </c>
      <c r="E18" t="s">
        <v>189</v>
      </c>
      <c r="F18" s="19">
        <v>0.9886092082204877</v>
      </c>
      <c r="G18" s="19">
        <v>0.96761775362318825</v>
      </c>
      <c r="H18" s="19">
        <v>0.96963605099357353</v>
      </c>
      <c r="I18" s="19">
        <v>2.8421120454973591E-2</v>
      </c>
      <c r="J18" s="19">
        <v>0.95486078997938217</v>
      </c>
      <c r="K18" s="19">
        <v>3.2524911868673033E-2</v>
      </c>
      <c r="L18" s="19"/>
      <c r="M18" s="19"/>
      <c r="N18" s="19"/>
      <c r="O18" s="19"/>
      <c r="P18" s="19"/>
    </row>
    <row r="19" spans="2:16" x14ac:dyDescent="0.2">
      <c r="B19" t="s">
        <v>641</v>
      </c>
      <c r="C19" t="s">
        <v>395</v>
      </c>
      <c r="D19" s="18">
        <v>42236.439930555556</v>
      </c>
      <c r="E19" t="s">
        <v>188</v>
      </c>
      <c r="F19" s="19">
        <v>0.95507012177526396</v>
      </c>
      <c r="G19" s="19">
        <v>0.86642143983184439</v>
      </c>
      <c r="H19" s="19">
        <v>0.91212246013399179</v>
      </c>
      <c r="I19" s="19">
        <v>4.8800628568202456E-2</v>
      </c>
      <c r="J19" s="19">
        <v>0.96481459105088985</v>
      </c>
      <c r="K19" s="19">
        <v>2.5263111107909353E-2</v>
      </c>
      <c r="L19" s="19"/>
      <c r="M19" s="19"/>
      <c r="N19" s="19"/>
      <c r="O19" s="19"/>
      <c r="P19" s="19"/>
    </row>
    <row r="20" spans="2:16" x14ac:dyDescent="0.2">
      <c r="B20" t="s">
        <v>532</v>
      </c>
      <c r="C20" t="s">
        <v>379</v>
      </c>
      <c r="D20" s="18">
        <v>42236.439930555556</v>
      </c>
      <c r="E20" t="s">
        <v>146</v>
      </c>
      <c r="F20" s="19">
        <v>0.93634586818856991</v>
      </c>
      <c r="G20" s="19">
        <v>0.83326688815060923</v>
      </c>
      <c r="H20" s="19">
        <v>0.92617741466470604</v>
      </c>
      <c r="I20" s="19">
        <v>3.9299517285578532E-2</v>
      </c>
      <c r="J20" s="19">
        <v>0.98116096259719621</v>
      </c>
      <c r="K20" s="19">
        <v>2.181423874731479E-2</v>
      </c>
      <c r="L20" s="19"/>
      <c r="M20" s="19"/>
      <c r="N20" s="19"/>
      <c r="O20" s="19"/>
      <c r="P20" s="19"/>
    </row>
    <row r="21" spans="2:16" x14ac:dyDescent="0.2">
      <c r="B21" t="s">
        <v>651</v>
      </c>
      <c r="C21" t="s">
        <v>414</v>
      </c>
      <c r="D21" s="18">
        <v>42236.439930555556</v>
      </c>
      <c r="E21" t="s">
        <v>192</v>
      </c>
      <c r="F21" s="19">
        <v>0.96066107674946788</v>
      </c>
      <c r="G21" s="19">
        <v>0.80189900733707387</v>
      </c>
      <c r="H21" s="19">
        <v>0.89445888563194043</v>
      </c>
      <c r="I21" s="19">
        <v>4.465457537152652E-2</v>
      </c>
      <c r="J21" s="19">
        <v>0.95692498745744525</v>
      </c>
      <c r="K21" s="19">
        <v>2.9342474926057988E-2</v>
      </c>
      <c r="L21" s="19"/>
      <c r="M21" s="19"/>
      <c r="N21" s="19"/>
      <c r="O21" s="19"/>
      <c r="P21" s="19"/>
    </row>
    <row r="22" spans="2:16" x14ac:dyDescent="0.2">
      <c r="B22" t="s">
        <v>629</v>
      </c>
      <c r="C22" t="s">
        <v>395</v>
      </c>
      <c r="D22" s="18">
        <v>42236.439930555556</v>
      </c>
      <c r="E22" t="s">
        <v>183</v>
      </c>
      <c r="F22" s="19">
        <v>0.94683273665787637</v>
      </c>
      <c r="G22" s="19">
        <v>0.82109621494453799</v>
      </c>
      <c r="H22" s="19">
        <v>0.871795690288936</v>
      </c>
      <c r="I22" s="19">
        <v>4.3075626919612663E-2</v>
      </c>
      <c r="J22" s="19">
        <v>0.92105942071800617</v>
      </c>
      <c r="K22" s="19">
        <v>4.0113131529229164E-2</v>
      </c>
      <c r="L22" s="19"/>
      <c r="M22" s="19"/>
      <c r="N22" s="19"/>
      <c r="O22" s="19"/>
      <c r="P22" s="19"/>
    </row>
    <row r="23" spans="2:16" x14ac:dyDescent="0.2">
      <c r="B23" t="s">
        <v>547</v>
      </c>
      <c r="C23" t="s">
        <v>379</v>
      </c>
      <c r="D23" s="18">
        <v>42236.439930555556</v>
      </c>
      <c r="E23" t="s">
        <v>150</v>
      </c>
      <c r="F23" s="19">
        <v>0.89772613887071928</v>
      </c>
      <c r="G23" s="19">
        <v>0.83736235688762495</v>
      </c>
      <c r="H23" s="19">
        <v>0.90065387479148451</v>
      </c>
      <c r="I23" s="19">
        <v>4.2578938260772997E-2</v>
      </c>
      <c r="J23" s="19">
        <v>0.9306136032499075</v>
      </c>
      <c r="K23" s="19">
        <v>4.1368126299368486E-2</v>
      </c>
      <c r="L23" s="19"/>
      <c r="M23" s="19"/>
      <c r="N23" s="19"/>
      <c r="O23" s="19"/>
      <c r="P23" s="19"/>
    </row>
    <row r="24" spans="2:16" x14ac:dyDescent="0.2">
      <c r="B24" t="s">
        <v>571</v>
      </c>
      <c r="C24" t="s">
        <v>400</v>
      </c>
      <c r="D24" s="18">
        <v>42236.439930555556</v>
      </c>
      <c r="E24" t="s">
        <v>159</v>
      </c>
      <c r="F24" s="19">
        <v>0.97991085692376523</v>
      </c>
      <c r="G24" s="19">
        <v>0.94786774375352256</v>
      </c>
      <c r="H24" s="19">
        <v>0.91953357012527104</v>
      </c>
      <c r="I24" s="19">
        <v>3.843695884766362E-2</v>
      </c>
      <c r="J24" s="19">
        <v>0.93537038425994301</v>
      </c>
      <c r="K24" s="19">
        <v>3.263894244395104E-2</v>
      </c>
      <c r="L24" s="19"/>
      <c r="M24" s="19"/>
      <c r="N24" s="19"/>
      <c r="O24" s="19"/>
      <c r="P24" s="19"/>
    </row>
    <row r="25" spans="2:16" x14ac:dyDescent="0.2">
      <c r="B25" t="s">
        <v>565</v>
      </c>
      <c r="C25" t="s">
        <v>395</v>
      </c>
      <c r="D25" s="18">
        <v>42236.439930555556</v>
      </c>
      <c r="E25" t="s">
        <v>157</v>
      </c>
      <c r="F25" s="19">
        <v>0.95627236331315102</v>
      </c>
      <c r="G25" s="19">
        <v>0.80435716420140446</v>
      </c>
      <c r="H25" s="19">
        <v>0.89369308269869085</v>
      </c>
      <c r="I25" s="19">
        <v>4.0959482941463107E-2</v>
      </c>
      <c r="J25" s="19">
        <v>0.86609153924416526</v>
      </c>
      <c r="K25" s="19">
        <v>5.6617053041343797E-2</v>
      </c>
      <c r="L25" s="19"/>
      <c r="M25" s="19"/>
      <c r="N25" s="19"/>
      <c r="O25" s="19"/>
      <c r="P25" s="19"/>
    </row>
    <row r="26" spans="2:16" x14ac:dyDescent="0.2">
      <c r="B26" t="s">
        <v>588</v>
      </c>
      <c r="C26" t="s">
        <v>400</v>
      </c>
      <c r="D26" s="18">
        <v>42236.439930555556</v>
      </c>
      <c r="E26" t="s">
        <v>166</v>
      </c>
      <c r="F26" s="19">
        <v>1</v>
      </c>
      <c r="G26" s="19">
        <v>1</v>
      </c>
      <c r="H26" s="19">
        <v>0.97280663186238092</v>
      </c>
      <c r="I26" s="19">
        <v>2.8178742079086307E-2</v>
      </c>
      <c r="J26" s="19">
        <v>0.98491891991725766</v>
      </c>
      <c r="K26" s="19">
        <v>1.6477706993184498E-2</v>
      </c>
      <c r="L26" s="19"/>
      <c r="M26" s="19"/>
      <c r="N26" s="19"/>
      <c r="O26" s="19"/>
      <c r="P26" s="19"/>
    </row>
    <row r="27" spans="2:16" x14ac:dyDescent="0.2">
      <c r="B27" t="s">
        <v>617</v>
      </c>
      <c r="C27" t="s">
        <v>395</v>
      </c>
      <c r="D27" s="18">
        <v>42236.439930555556</v>
      </c>
      <c r="E27" t="s">
        <v>178</v>
      </c>
      <c r="F27" s="19">
        <v>0.95222659179667202</v>
      </c>
      <c r="G27" s="19">
        <v>0.84154002026342456</v>
      </c>
      <c r="H27" s="19">
        <v>0.88898787439044147</v>
      </c>
      <c r="I27" s="19">
        <v>4.9253675676700866E-2</v>
      </c>
      <c r="J27" s="19">
        <v>0.93052194293498247</v>
      </c>
      <c r="K27" s="19">
        <v>4.6459114093037782E-2</v>
      </c>
      <c r="L27" s="19"/>
      <c r="M27" s="19"/>
      <c r="N27" s="19"/>
      <c r="O27" s="19"/>
      <c r="P27" s="19"/>
    </row>
    <row r="28" spans="2:16" x14ac:dyDescent="0.2">
      <c r="B28" t="s">
        <v>603</v>
      </c>
      <c r="C28" t="s">
        <v>414</v>
      </c>
      <c r="D28" s="18">
        <v>42236.439930555556</v>
      </c>
      <c r="E28" t="s">
        <v>172</v>
      </c>
      <c r="F28" s="19">
        <v>0.91044139783101352</v>
      </c>
      <c r="G28" s="19">
        <v>0.83444726775387223</v>
      </c>
      <c r="H28" s="19">
        <v>0.87493579361899765</v>
      </c>
      <c r="I28" s="19">
        <v>4.7334957912545619E-2</v>
      </c>
      <c r="J28" s="19">
        <v>0.92159831977985207</v>
      </c>
      <c r="K28" s="19">
        <v>4.0825526189012321E-2</v>
      </c>
      <c r="L28" s="19"/>
      <c r="M28" s="19"/>
      <c r="N28" s="19"/>
      <c r="O28" s="19"/>
      <c r="P28" s="19"/>
    </row>
    <row r="29" spans="2:16" x14ac:dyDescent="0.2">
      <c r="B29" t="s">
        <v>573</v>
      </c>
      <c r="C29" t="s">
        <v>390</v>
      </c>
      <c r="D29" s="18">
        <v>42236.439930555556</v>
      </c>
      <c r="E29" t="s">
        <v>160</v>
      </c>
      <c r="F29" s="19">
        <v>0.97235783402143783</v>
      </c>
      <c r="G29" s="19">
        <v>0.91293929114341121</v>
      </c>
      <c r="H29" s="19">
        <v>0.91094854246611123</v>
      </c>
      <c r="I29" s="19">
        <v>4.3640655298843284E-2</v>
      </c>
      <c r="J29" s="19">
        <v>0.91032923811056787</v>
      </c>
      <c r="K29" s="19">
        <v>4.0337058903989344E-2</v>
      </c>
      <c r="L29" s="19"/>
      <c r="M29" s="19"/>
      <c r="N29" s="19"/>
      <c r="O29" s="19"/>
      <c r="P29" s="19"/>
    </row>
    <row r="30" spans="2:16" x14ac:dyDescent="0.2">
      <c r="B30" t="s">
        <v>632</v>
      </c>
      <c r="C30" t="s">
        <v>379</v>
      </c>
      <c r="D30" s="18">
        <v>42236.439930555556</v>
      </c>
      <c r="E30" t="s">
        <v>184</v>
      </c>
      <c r="F30" s="19">
        <v>0.97038707409636038</v>
      </c>
      <c r="G30" s="19">
        <v>0.95511337868480728</v>
      </c>
      <c r="H30" s="19">
        <v>0.9113165818631912</v>
      </c>
      <c r="I30" s="19">
        <v>4.0565564837001418E-2</v>
      </c>
      <c r="J30" s="19">
        <v>0.92428788734355638</v>
      </c>
      <c r="K30" s="19">
        <v>3.5225778992118109E-2</v>
      </c>
      <c r="L30" s="19"/>
      <c r="M30" s="19"/>
      <c r="N30" s="19"/>
      <c r="O30" s="19"/>
      <c r="P30" s="19"/>
    </row>
    <row r="31" spans="2:16" x14ac:dyDescent="0.2">
      <c r="B31" t="s">
        <v>625</v>
      </c>
      <c r="C31" t="s">
        <v>414</v>
      </c>
      <c r="D31" s="18">
        <v>42236.439930555556</v>
      </c>
      <c r="E31" t="s">
        <v>182</v>
      </c>
      <c r="F31" s="19">
        <v>0.97572268025473008</v>
      </c>
      <c r="G31" s="19">
        <v>0.9376831695109451</v>
      </c>
      <c r="H31" s="19">
        <v>0.95677708160816677</v>
      </c>
      <c r="I31" s="19">
        <v>3.4114975897660715E-2</v>
      </c>
      <c r="J31" s="19">
        <v>0.96306697794111973</v>
      </c>
      <c r="K31" s="19">
        <v>2.4998215207560719E-2</v>
      </c>
      <c r="L31" s="19"/>
      <c r="M31" s="19"/>
      <c r="N31" s="19"/>
      <c r="O31" s="19"/>
      <c r="P31" s="19"/>
    </row>
    <row r="32" spans="2:16" x14ac:dyDescent="0.2">
      <c r="B32" t="s">
        <v>400</v>
      </c>
      <c r="C32" t="s">
        <v>400</v>
      </c>
      <c r="D32" s="18">
        <v>42236.439930555556</v>
      </c>
      <c r="E32" t="s">
        <v>674</v>
      </c>
      <c r="F32" s="19">
        <v>0.96348509599148879</v>
      </c>
      <c r="G32" s="19">
        <v>0.91635133468325103</v>
      </c>
      <c r="H32" s="19">
        <v>0.92697470565628071</v>
      </c>
      <c r="I32" s="19">
        <v>1.2383926399406206E-2</v>
      </c>
      <c r="J32" s="19">
        <v>0.90779442696534629</v>
      </c>
      <c r="K32" s="19">
        <v>2.0488025531473112E-2</v>
      </c>
      <c r="L32" s="19"/>
      <c r="M32" s="19"/>
      <c r="N32" s="19"/>
      <c r="O32" s="19"/>
      <c r="P32" s="19"/>
    </row>
    <row r="33" spans="2:16" x14ac:dyDescent="0.2">
      <c r="B33" t="s">
        <v>217</v>
      </c>
      <c r="C33" t="s">
        <v>400</v>
      </c>
      <c r="D33" s="18">
        <v>42236.439930555556</v>
      </c>
      <c r="E33" t="s">
        <v>163</v>
      </c>
      <c r="F33" s="19">
        <v>0.99317074904112879</v>
      </c>
      <c r="G33" s="19">
        <v>1</v>
      </c>
      <c r="H33" s="19">
        <v>0.96612727919094854</v>
      </c>
      <c r="I33" s="19">
        <v>3.2616924677418807E-2</v>
      </c>
      <c r="J33" s="19">
        <v>0.93409523307530906</v>
      </c>
      <c r="K33" s="19">
        <v>4.5167559089512109E-2</v>
      </c>
      <c r="L33" s="19">
        <v>0.95182394634332079</v>
      </c>
      <c r="M33" s="19">
        <v>0.95346117649031581</v>
      </c>
      <c r="N33" s="19">
        <v>3.0790613258238082E-2</v>
      </c>
      <c r="O33" s="19">
        <v>0.98790875472638884</v>
      </c>
      <c r="P33" s="19">
        <v>1.5286980222886583E-2</v>
      </c>
    </row>
    <row r="34" spans="2:16" x14ac:dyDescent="0.2">
      <c r="B34" t="s">
        <v>581</v>
      </c>
      <c r="C34" t="s">
        <v>400</v>
      </c>
      <c r="D34" s="18">
        <v>42236.439930555556</v>
      </c>
      <c r="E34" t="s">
        <v>163</v>
      </c>
      <c r="F34" s="19">
        <v>0.99317074904112879</v>
      </c>
      <c r="G34" s="19">
        <v>1</v>
      </c>
      <c r="H34" s="19">
        <v>0.96612727919094854</v>
      </c>
      <c r="I34" s="19">
        <v>3.2616924677418807E-2</v>
      </c>
      <c r="J34" s="19">
        <v>0.93409523307530906</v>
      </c>
      <c r="K34" s="19">
        <v>4.5167559089512109E-2</v>
      </c>
      <c r="L34" s="19">
        <v>0.95182394634332079</v>
      </c>
      <c r="M34" s="19">
        <v>0.95346117649031581</v>
      </c>
      <c r="N34" s="19">
        <v>3.0790613258238082E-2</v>
      </c>
      <c r="O34" s="19">
        <v>0.98790875472638884</v>
      </c>
      <c r="P34" s="19">
        <v>1.5286980222886583E-2</v>
      </c>
    </row>
    <row r="35" spans="2:16" x14ac:dyDescent="0.2">
      <c r="B35" t="s">
        <v>563</v>
      </c>
      <c r="C35" t="s">
        <v>390</v>
      </c>
      <c r="D35" s="18">
        <v>42236.439930555556</v>
      </c>
      <c r="E35" t="s">
        <v>156</v>
      </c>
      <c r="F35" s="19">
        <v>0.95636156232313885</v>
      </c>
      <c r="G35" s="19">
        <v>0.93362682099000838</v>
      </c>
      <c r="H35" s="19">
        <v>0.92351432046638982</v>
      </c>
      <c r="I35" s="19">
        <v>3.5431951951338407E-2</v>
      </c>
      <c r="J35" s="19">
        <v>0.91718571654621628</v>
      </c>
      <c r="K35" s="19">
        <v>3.8195756351782177E-2</v>
      </c>
      <c r="L35" s="19"/>
      <c r="M35" s="19"/>
      <c r="N35" s="19"/>
      <c r="O35" s="19"/>
      <c r="P35" s="19"/>
    </row>
    <row r="36" spans="2:16" x14ac:dyDescent="0.2">
      <c r="B36" t="s">
        <v>619</v>
      </c>
      <c r="C36" t="s">
        <v>395</v>
      </c>
      <c r="D36" s="18">
        <v>42236.439930555556</v>
      </c>
      <c r="E36" t="s">
        <v>179</v>
      </c>
      <c r="F36" s="19">
        <v>0.96943936004338704</v>
      </c>
      <c r="G36" s="19">
        <v>0.90851126927639381</v>
      </c>
      <c r="H36" s="19">
        <v>0.93575445826154346</v>
      </c>
      <c r="I36" s="19">
        <v>4.1454292410482624E-2</v>
      </c>
      <c r="J36" s="19">
        <v>0.96354489422323497</v>
      </c>
      <c r="K36" s="19">
        <v>3.7846513370907359E-2</v>
      </c>
      <c r="L36" s="19"/>
      <c r="M36" s="19"/>
      <c r="N36" s="19"/>
      <c r="O36" s="19"/>
      <c r="P36" s="19"/>
    </row>
    <row r="37" spans="2:16" x14ac:dyDescent="0.2">
      <c r="B37" t="s">
        <v>559</v>
      </c>
      <c r="C37" t="s">
        <v>390</v>
      </c>
      <c r="D37" s="18">
        <v>42236.439930555556</v>
      </c>
      <c r="E37" t="s">
        <v>94</v>
      </c>
      <c r="F37" s="19">
        <v>0.9630550899043272</v>
      </c>
      <c r="G37" s="19">
        <v>0.89448598130841117</v>
      </c>
      <c r="H37" s="19">
        <v>0.9212101143820004</v>
      </c>
      <c r="I37" s="19">
        <v>3.8047395070550466E-2</v>
      </c>
      <c r="J37" s="19">
        <v>0.93719667696398001</v>
      </c>
      <c r="K37" s="19">
        <v>3.7281463281277141E-2</v>
      </c>
      <c r="L37" s="19"/>
      <c r="M37" s="19"/>
      <c r="N37" s="19"/>
      <c r="O37" s="19"/>
      <c r="P37" s="19"/>
    </row>
    <row r="38" spans="2:16" x14ac:dyDescent="0.2">
      <c r="B38" t="s">
        <v>561</v>
      </c>
      <c r="C38" t="s">
        <v>395</v>
      </c>
      <c r="D38" s="18">
        <v>42236.439930555556</v>
      </c>
      <c r="E38" t="s">
        <v>155</v>
      </c>
      <c r="F38" s="19">
        <v>0.89157936439377916</v>
      </c>
      <c r="G38" s="19">
        <v>0.90286638927415619</v>
      </c>
      <c r="H38" s="19">
        <v>0.90709586800547182</v>
      </c>
      <c r="I38" s="19">
        <v>4.4185530704873133E-2</v>
      </c>
      <c r="J38" s="19">
        <v>0.94945932623024587</v>
      </c>
      <c r="K38" s="19">
        <v>3.215545200045071E-2</v>
      </c>
      <c r="L38" s="19"/>
      <c r="M38" s="19"/>
      <c r="N38" s="19"/>
      <c r="O38" s="19"/>
      <c r="P38" s="19"/>
    </row>
    <row r="39" spans="2:16" x14ac:dyDescent="0.2">
      <c r="B39" t="s">
        <v>528</v>
      </c>
      <c r="C39" t="s">
        <v>379</v>
      </c>
      <c r="D39" s="18">
        <v>42236.439930555556</v>
      </c>
      <c r="E39" t="s">
        <v>144</v>
      </c>
      <c r="F39" s="19">
        <v>0.93423904904388533</v>
      </c>
      <c r="G39" s="19">
        <v>0.9006803425887554</v>
      </c>
      <c r="H39" s="19">
        <v>0.91794230241321662</v>
      </c>
      <c r="I39" s="19">
        <v>4.2144137791640689E-2</v>
      </c>
      <c r="J39" s="19">
        <v>0.91954811804712078</v>
      </c>
      <c r="K39" s="19">
        <v>4.1016390859065978E-2</v>
      </c>
      <c r="L39" s="19"/>
      <c r="M39" s="19"/>
      <c r="N39" s="19"/>
      <c r="O39" s="19"/>
      <c r="P39" s="19"/>
    </row>
    <row r="40" spans="2:16" x14ac:dyDescent="0.2">
      <c r="B40" t="s">
        <v>534</v>
      </c>
      <c r="C40" t="s">
        <v>379</v>
      </c>
      <c r="D40" s="18">
        <v>42236.439930555556</v>
      </c>
      <c r="E40" t="s">
        <v>147</v>
      </c>
      <c r="F40" s="19">
        <v>0.97154805988111059</v>
      </c>
      <c r="G40" s="19">
        <v>0.94127507988894132</v>
      </c>
      <c r="H40" s="19">
        <v>0.88824193018242081</v>
      </c>
      <c r="I40" s="19">
        <v>4.1997036812878787E-2</v>
      </c>
      <c r="J40" s="19">
        <v>0.86306732432248312</v>
      </c>
      <c r="K40" s="19">
        <v>4.3553770663386046E-2</v>
      </c>
      <c r="L40" s="19"/>
      <c r="M40" s="19"/>
      <c r="N40" s="19"/>
      <c r="O40" s="19"/>
      <c r="P40" s="19"/>
    </row>
    <row r="41" spans="2:16" x14ac:dyDescent="0.2">
      <c r="B41" t="s">
        <v>379</v>
      </c>
      <c r="C41" t="s">
        <v>379</v>
      </c>
      <c r="D41" s="18">
        <v>42236.439930555556</v>
      </c>
      <c r="E41" t="s">
        <v>671</v>
      </c>
      <c r="F41" s="19">
        <v>0.94597826908231442</v>
      </c>
      <c r="G41" s="19">
        <v>0.85144189919359403</v>
      </c>
      <c r="H41" s="19">
        <v>0.87743686597802939</v>
      </c>
      <c r="I41" s="19">
        <v>1.6154775009585832E-2</v>
      </c>
      <c r="J41" s="19">
        <v>0.89301294319795976</v>
      </c>
      <c r="K41" s="19">
        <v>1.635252208046559E-2</v>
      </c>
      <c r="L41" s="19"/>
      <c r="M41" s="19"/>
      <c r="N41" s="19"/>
      <c r="O41" s="19"/>
      <c r="P41" s="19"/>
    </row>
    <row r="42" spans="2:16" x14ac:dyDescent="0.2">
      <c r="B42" t="s">
        <v>601</v>
      </c>
      <c r="C42" t="s">
        <v>414</v>
      </c>
      <c r="D42" s="18">
        <v>42236.439930555556</v>
      </c>
      <c r="E42" t="s">
        <v>171</v>
      </c>
      <c r="F42" s="19">
        <v>0.94465196152118314</v>
      </c>
      <c r="G42" s="19">
        <v>0.87716796566774302</v>
      </c>
      <c r="H42" s="19">
        <v>0.92461033534635617</v>
      </c>
      <c r="I42" s="19">
        <v>3.6919835521341468E-2</v>
      </c>
      <c r="J42" s="19">
        <v>0.89773668189843536</v>
      </c>
      <c r="K42" s="19">
        <v>5.0934304699975994E-2</v>
      </c>
      <c r="L42" s="19"/>
      <c r="M42" s="19"/>
      <c r="N42" s="19"/>
      <c r="O42" s="19"/>
      <c r="P42" s="19"/>
    </row>
    <row r="43" spans="2:16" x14ac:dyDescent="0.2">
      <c r="B43" t="s">
        <v>8</v>
      </c>
      <c r="D43" s="18"/>
      <c r="F43" s="19"/>
      <c r="G43" s="19"/>
      <c r="H43" s="19"/>
      <c r="I43" s="19"/>
      <c r="J43" s="19"/>
      <c r="K43" s="19"/>
      <c r="L43" s="19"/>
      <c r="M43" s="19"/>
      <c r="N43" s="19"/>
      <c r="O43" s="19"/>
      <c r="P43" s="19"/>
    </row>
    <row r="44" spans="2:16" x14ac:dyDescent="0.2">
      <c r="B44" t="s">
        <v>414</v>
      </c>
      <c r="C44" t="s">
        <v>414</v>
      </c>
      <c r="D44" s="18">
        <v>42236.439930555556</v>
      </c>
      <c r="E44" t="s">
        <v>676</v>
      </c>
      <c r="F44" s="19">
        <v>0.96128616185035332</v>
      </c>
      <c r="G44" s="19">
        <v>0.88230082654561215</v>
      </c>
      <c r="H44" s="19">
        <v>0.90977850899328283</v>
      </c>
      <c r="I44" s="19">
        <v>1.535240175594808E-2</v>
      </c>
      <c r="J44" s="19">
        <v>0.93277740088526218</v>
      </c>
      <c r="K44" s="19">
        <v>1.5093053117149964E-2</v>
      </c>
      <c r="L44" s="19"/>
      <c r="M44" s="19"/>
      <c r="N44" s="19"/>
      <c r="O44" s="19"/>
      <c r="P44" s="19"/>
    </row>
    <row r="45" spans="2:16" x14ac:dyDescent="0.2">
      <c r="B45" t="s">
        <v>218</v>
      </c>
      <c r="C45" t="s">
        <v>379</v>
      </c>
      <c r="D45" s="18">
        <v>42236.439930555556</v>
      </c>
      <c r="E45" t="s">
        <v>102</v>
      </c>
      <c r="F45" s="19">
        <v>0.95339916421216919</v>
      </c>
      <c r="G45" s="19">
        <v>0.91084966635223419</v>
      </c>
      <c r="H45" s="19">
        <v>0.87681282287685147</v>
      </c>
      <c r="I45" s="19">
        <v>4.7229135821489902E-2</v>
      </c>
      <c r="J45" s="19">
        <v>0.9132764718463211</v>
      </c>
      <c r="K45" s="19">
        <v>4.5010074060673588E-2</v>
      </c>
      <c r="L45" s="19">
        <v>0.87499687398404491</v>
      </c>
      <c r="M45" s="19">
        <v>0.95330987426214653</v>
      </c>
      <c r="N45" s="19">
        <v>3.6007169912451217E-2</v>
      </c>
      <c r="O45" s="19">
        <v>0.94151817235213831</v>
      </c>
      <c r="P45" s="19">
        <v>4.2929305125536388E-2</v>
      </c>
    </row>
    <row r="46" spans="2:16" x14ac:dyDescent="0.2">
      <c r="B46" t="s">
        <v>536</v>
      </c>
      <c r="C46" t="s">
        <v>379</v>
      </c>
      <c r="D46" s="18">
        <v>42236.439930555556</v>
      </c>
      <c r="E46" t="s">
        <v>102</v>
      </c>
      <c r="F46" s="19">
        <v>0.95339916421216919</v>
      </c>
      <c r="G46" s="19">
        <v>0.91084966635223419</v>
      </c>
      <c r="H46" s="19">
        <v>0.87681282287685147</v>
      </c>
      <c r="I46" s="19">
        <v>4.7229135821489902E-2</v>
      </c>
      <c r="J46" s="19">
        <v>0.9132764718463211</v>
      </c>
      <c r="K46" s="19">
        <v>4.5010074060673588E-2</v>
      </c>
      <c r="L46" s="19">
        <v>0.87499687398404491</v>
      </c>
      <c r="M46" s="19">
        <v>0.95330987426214653</v>
      </c>
      <c r="N46" s="19">
        <v>3.6007169912451217E-2</v>
      </c>
      <c r="O46" s="19">
        <v>0.94151817235213831</v>
      </c>
      <c r="P46" s="19">
        <v>4.2929305125536388E-2</v>
      </c>
    </row>
    <row r="47" spans="2:16" x14ac:dyDescent="0.2">
      <c r="B47" t="s">
        <v>605</v>
      </c>
      <c r="C47" t="s">
        <v>414</v>
      </c>
      <c r="D47" s="18">
        <v>42236.439930555556</v>
      </c>
      <c r="E47" t="s">
        <v>173</v>
      </c>
      <c r="F47" s="19">
        <v>0.93645829686764603</v>
      </c>
      <c r="G47" s="19">
        <v>0.8564995852589169</v>
      </c>
      <c r="H47" s="19">
        <v>0.91833504785308151</v>
      </c>
      <c r="I47" s="19">
        <v>4.3822622311840718E-2</v>
      </c>
      <c r="J47" s="19">
        <v>0.92387524491722384</v>
      </c>
      <c r="K47" s="19">
        <v>3.9311450569866506E-2</v>
      </c>
      <c r="L47" s="19"/>
      <c r="M47" s="19"/>
      <c r="N47" s="19"/>
      <c r="O47" s="19"/>
      <c r="P47" s="19"/>
    </row>
    <row r="48" spans="2:16" x14ac:dyDescent="0.2">
      <c r="B48" t="s">
        <v>539</v>
      </c>
      <c r="C48" t="s">
        <v>379</v>
      </c>
      <c r="D48" s="18">
        <v>42236.439930555556</v>
      </c>
      <c r="E48" t="s">
        <v>148</v>
      </c>
      <c r="F48" s="19">
        <v>0.95914265536095789</v>
      </c>
      <c r="G48" s="19">
        <v>0.90262857142857145</v>
      </c>
      <c r="H48" s="19">
        <v>0.90275422375535852</v>
      </c>
      <c r="I48" s="19">
        <v>4.4725363827753599E-2</v>
      </c>
      <c r="J48" s="19">
        <v>0.93275407278698108</v>
      </c>
      <c r="K48" s="19">
        <v>4.0793681728530796E-2</v>
      </c>
      <c r="L48" s="19"/>
      <c r="M48" s="19"/>
      <c r="N48" s="19"/>
      <c r="O48" s="19"/>
      <c r="P48" s="19"/>
    </row>
    <row r="49" spans="2:16" x14ac:dyDescent="0.2">
      <c r="B49" t="s">
        <v>613</v>
      </c>
      <c r="C49" t="s">
        <v>414</v>
      </c>
      <c r="D49" s="18">
        <v>42236.439930555556</v>
      </c>
      <c r="E49" t="s">
        <v>176</v>
      </c>
      <c r="F49" s="19">
        <v>0.94647696154681671</v>
      </c>
      <c r="G49" s="19">
        <v>0.91334952968292527</v>
      </c>
      <c r="H49" s="19">
        <v>0.94603948770283042</v>
      </c>
      <c r="I49" s="19">
        <v>3.381726093704053E-2</v>
      </c>
      <c r="J49" s="19">
        <v>0.96277811646351363</v>
      </c>
      <c r="K49" s="19">
        <v>2.8924520290879913E-2</v>
      </c>
      <c r="L49" s="19"/>
      <c r="M49" s="19"/>
      <c r="N49" s="19"/>
      <c r="O49" s="19"/>
      <c r="P49" s="19"/>
    </row>
    <row r="50" spans="2:16" x14ac:dyDescent="0.2">
      <c r="B50" t="s">
        <v>524</v>
      </c>
      <c r="C50" t="s">
        <v>379</v>
      </c>
      <c r="D50" s="18">
        <v>42236.439930555556</v>
      </c>
      <c r="E50" t="s">
        <v>143</v>
      </c>
      <c r="F50" s="19">
        <v>0.96170220080560609</v>
      </c>
      <c r="G50" s="19">
        <v>0.83831604636973767</v>
      </c>
      <c r="H50" s="19">
        <v>0.87284225371367308</v>
      </c>
      <c r="I50" s="19">
        <v>5.5146907500185804E-2</v>
      </c>
      <c r="J50" s="19">
        <v>0.95333317161131736</v>
      </c>
      <c r="K50" s="19">
        <v>3.776793994045647E-2</v>
      </c>
      <c r="L50" s="19"/>
      <c r="M50" s="19"/>
      <c r="N50" s="19"/>
      <c r="O50" s="19"/>
      <c r="P50" s="19"/>
    </row>
    <row r="51" spans="2:16" x14ac:dyDescent="0.2">
      <c r="B51" t="s">
        <v>621</v>
      </c>
      <c r="C51" t="s">
        <v>414</v>
      </c>
      <c r="D51" s="18">
        <v>42236.439930555556</v>
      </c>
      <c r="E51" t="s">
        <v>180</v>
      </c>
      <c r="F51" s="19">
        <v>0.95106743248977943</v>
      </c>
      <c r="G51" s="19">
        <v>0.87967058823529409</v>
      </c>
      <c r="H51" s="19">
        <v>0.90516585147113604</v>
      </c>
      <c r="I51" s="19">
        <v>4.702385810274521E-2</v>
      </c>
      <c r="J51" s="19">
        <v>0.93974126210099218</v>
      </c>
      <c r="K51" s="19">
        <v>3.395546240958211E-2</v>
      </c>
      <c r="L51" s="19"/>
      <c r="M51" s="19"/>
      <c r="N51" s="19"/>
      <c r="O51" s="19"/>
      <c r="P51" s="19"/>
    </row>
    <row r="52" spans="2:16" x14ac:dyDescent="0.2">
      <c r="B52" t="s">
        <v>545</v>
      </c>
      <c r="C52" t="s">
        <v>379</v>
      </c>
      <c r="D52" s="18">
        <v>42236.439930555556</v>
      </c>
      <c r="E52" t="s">
        <v>108</v>
      </c>
      <c r="F52" s="19">
        <v>0.97028414686982167</v>
      </c>
      <c r="G52" s="19">
        <v>0.89088285688520163</v>
      </c>
      <c r="H52" s="19">
        <v>0.9108343084831767</v>
      </c>
      <c r="I52" s="19">
        <v>4.6327199228885195E-2</v>
      </c>
      <c r="J52" s="19">
        <v>0.93104003136573199</v>
      </c>
      <c r="K52" s="19">
        <v>4.1393317421084104E-2</v>
      </c>
      <c r="L52" s="19"/>
      <c r="M52" s="19"/>
      <c r="N52" s="19"/>
      <c r="O52" s="19"/>
      <c r="P52" s="19"/>
    </row>
    <row r="53" spans="2:16" x14ac:dyDescent="0.2">
      <c r="B53" t="s">
        <v>598</v>
      </c>
      <c r="C53" t="s">
        <v>395</v>
      </c>
      <c r="D53" s="18">
        <v>42236.439930555556</v>
      </c>
      <c r="E53" t="s">
        <v>170</v>
      </c>
      <c r="F53" s="19">
        <v>0.95695829629595164</v>
      </c>
      <c r="G53" s="19">
        <v>0.88098898283371763</v>
      </c>
      <c r="H53" s="19">
        <v>0.88999972373341085</v>
      </c>
      <c r="I53" s="19">
        <v>4.2877521016260897E-2</v>
      </c>
      <c r="J53" s="19">
        <v>0.92970238050550191</v>
      </c>
      <c r="K53" s="19">
        <v>4.0825206716353507E-2</v>
      </c>
      <c r="L53" s="255"/>
      <c r="M53" s="255"/>
      <c r="N53" s="255"/>
      <c r="O53" s="255"/>
      <c r="P53" s="255"/>
    </row>
    <row r="54" spans="2:16" x14ac:dyDescent="0.2">
      <c r="B54" t="s">
        <v>634</v>
      </c>
      <c r="C54" t="s">
        <v>414</v>
      </c>
      <c r="D54" s="18">
        <v>42236.439930555556</v>
      </c>
      <c r="E54" t="s">
        <v>185</v>
      </c>
      <c r="F54" s="19">
        <v>0.98189447199374691</v>
      </c>
      <c r="G54" s="19">
        <v>0.89953582142028921</v>
      </c>
      <c r="H54" s="19">
        <v>0.89057977326500548</v>
      </c>
      <c r="I54" s="19">
        <v>4.1086121480492184E-2</v>
      </c>
      <c r="J54" s="19">
        <v>0.92234505907004982</v>
      </c>
      <c r="K54" s="19">
        <v>4.6173598552222687E-2</v>
      </c>
      <c r="L54" s="19"/>
      <c r="M54" s="19"/>
      <c r="N54" s="19"/>
      <c r="O54" s="19"/>
      <c r="P54" s="19"/>
    </row>
    <row r="55" spans="2:16" x14ac:dyDescent="0.2">
      <c r="B55" t="s">
        <v>623</v>
      </c>
      <c r="C55" t="s">
        <v>390</v>
      </c>
      <c r="D55" s="18">
        <v>42236.439930555556</v>
      </c>
      <c r="E55" t="s">
        <v>181</v>
      </c>
      <c r="F55" s="19">
        <v>0.92744354910864091</v>
      </c>
      <c r="G55" s="19">
        <v>0.72890855826009404</v>
      </c>
      <c r="H55" s="19">
        <v>0.85937314868835268</v>
      </c>
      <c r="I55" s="19">
        <v>4.9732923016521081E-2</v>
      </c>
      <c r="J55" s="19">
        <v>0.88928882167507173</v>
      </c>
      <c r="K55" s="19">
        <v>4.9552843728646608E-2</v>
      </c>
      <c r="L55" s="19"/>
      <c r="M55" s="19"/>
      <c r="N55" s="19"/>
      <c r="O55" s="19"/>
      <c r="P55" s="19"/>
    </row>
    <row r="56" spans="2:16" x14ac:dyDescent="0.2">
      <c r="B56" t="s">
        <v>607</v>
      </c>
      <c r="C56" t="s">
        <v>414</v>
      </c>
      <c r="D56" s="18">
        <v>42236.439930555556</v>
      </c>
      <c r="E56" t="s">
        <v>174</v>
      </c>
      <c r="F56" s="19">
        <v>0.97186788652620892</v>
      </c>
      <c r="G56" s="19">
        <v>0.89250796646978825</v>
      </c>
      <c r="H56" s="19">
        <v>0.91445568644994524</v>
      </c>
      <c r="I56" s="19">
        <v>3.8849089135071679E-2</v>
      </c>
      <c r="J56" s="19">
        <v>0.94584493133597436</v>
      </c>
      <c r="K56" s="19">
        <v>3.7027901256434605E-2</v>
      </c>
      <c r="L56" s="19"/>
      <c r="M56" s="19"/>
      <c r="N56" s="19"/>
      <c r="O56" s="19"/>
      <c r="P56" s="19"/>
    </row>
    <row r="57" spans="2:16" x14ac:dyDescent="0.2">
      <c r="B57" t="s">
        <v>645</v>
      </c>
      <c r="C57" t="s">
        <v>400</v>
      </c>
      <c r="D57" s="18">
        <v>42236.439930555556</v>
      </c>
      <c r="E57" t="s">
        <v>190</v>
      </c>
      <c r="F57" s="19">
        <v>0.9463038767156271</v>
      </c>
      <c r="G57" s="19">
        <v>0.88618387262455078</v>
      </c>
      <c r="H57" s="19">
        <v>0.96180171357436395</v>
      </c>
      <c r="I57" s="19">
        <v>3.3406467424565565E-2</v>
      </c>
      <c r="J57" s="19">
        <v>0.94241254223153403</v>
      </c>
      <c r="K57" s="19">
        <v>3.4335366874441747E-2</v>
      </c>
      <c r="L57" s="19"/>
      <c r="M57" s="19"/>
      <c r="N57" s="19"/>
      <c r="O57" s="19"/>
      <c r="P57" s="19"/>
    </row>
    <row r="58" spans="2:16" x14ac:dyDescent="0.2">
      <c r="B58" t="s">
        <v>390</v>
      </c>
      <c r="C58" t="s">
        <v>390</v>
      </c>
      <c r="D58" s="18">
        <v>42236.439930555556</v>
      </c>
      <c r="E58" t="s">
        <v>673</v>
      </c>
      <c r="F58" s="19">
        <v>0.94806095365153453</v>
      </c>
      <c r="G58" s="19">
        <v>0.88003719649489232</v>
      </c>
      <c r="H58" s="19">
        <v>0.90473898621836357</v>
      </c>
      <c r="I58" s="19">
        <v>1.91365933726955E-2</v>
      </c>
      <c r="J58" s="19">
        <v>0.89908019781864856</v>
      </c>
      <c r="K58" s="19">
        <v>2.5498313928897502E-2</v>
      </c>
      <c r="L58" s="19"/>
      <c r="M58" s="19"/>
      <c r="N58" s="19"/>
      <c r="O58" s="19"/>
      <c r="P58" s="19"/>
    </row>
    <row r="59" spans="2:16" x14ac:dyDescent="0.2">
      <c r="B59" t="s">
        <v>584</v>
      </c>
      <c r="C59" t="s">
        <v>400</v>
      </c>
      <c r="D59" s="18">
        <v>42236.439930555556</v>
      </c>
      <c r="E59" t="s">
        <v>164</v>
      </c>
      <c r="F59" s="19">
        <v>0.95213001229463223</v>
      </c>
      <c r="G59" s="19">
        <v>0.84655635613443569</v>
      </c>
      <c r="H59" s="19">
        <v>0.8966502969299619</v>
      </c>
      <c r="I59" s="19">
        <v>4.3423179040779303E-2</v>
      </c>
      <c r="J59" s="19">
        <v>0.87942946175387515</v>
      </c>
      <c r="K59" s="19">
        <v>4.7570497744007484E-2</v>
      </c>
      <c r="L59" s="19"/>
      <c r="M59" s="19"/>
      <c r="N59" s="19"/>
      <c r="O59" s="19"/>
      <c r="P59" s="19"/>
    </row>
    <row r="60" spans="2:16" x14ac:dyDescent="0.2">
      <c r="B60" t="s">
        <v>220</v>
      </c>
      <c r="C60" t="s">
        <v>400</v>
      </c>
      <c r="D60" s="18">
        <v>42236.439930555556</v>
      </c>
      <c r="E60" t="s">
        <v>167</v>
      </c>
      <c r="F60" s="19">
        <v>0.97493921544937345</v>
      </c>
      <c r="G60" s="19">
        <v>0.9455318214610583</v>
      </c>
      <c r="H60" s="19">
        <v>0.93092357448136875</v>
      </c>
      <c r="I60" s="19">
        <v>3.5151715705994846E-2</v>
      </c>
      <c r="J60" s="19">
        <v>0.86126119780755306</v>
      </c>
      <c r="K60" s="19">
        <v>6.8340141599622303E-2</v>
      </c>
      <c r="L60" s="19">
        <v>1</v>
      </c>
      <c r="M60" s="19">
        <v>0.9920093664438947</v>
      </c>
      <c r="N60" s="19">
        <v>9.5752801700201215E-3</v>
      </c>
      <c r="O60" s="19">
        <v>0.96349001134633128</v>
      </c>
      <c r="P60" s="19">
        <v>3.6496758070326651E-2</v>
      </c>
    </row>
    <row r="61" spans="2:16" x14ac:dyDescent="0.2">
      <c r="B61" t="s">
        <v>590</v>
      </c>
      <c r="C61" t="s">
        <v>400</v>
      </c>
      <c r="D61" s="18">
        <v>42236.439930555556</v>
      </c>
      <c r="E61" t="s">
        <v>167</v>
      </c>
      <c r="F61" s="19">
        <v>0.97493921544937345</v>
      </c>
      <c r="G61" s="19">
        <v>0.9455318214610583</v>
      </c>
      <c r="H61" s="19">
        <v>0.93092357448136875</v>
      </c>
      <c r="I61" s="19">
        <v>3.5151715705994846E-2</v>
      </c>
      <c r="J61" s="19">
        <v>0.86126119780755306</v>
      </c>
      <c r="K61" s="19">
        <v>6.8340141599622303E-2</v>
      </c>
      <c r="L61" s="19">
        <v>1</v>
      </c>
      <c r="M61" s="19">
        <v>0.9920093664438947</v>
      </c>
      <c r="N61" s="19">
        <v>9.5752801700201215E-3</v>
      </c>
      <c r="O61" s="19">
        <v>0.96349001134633128</v>
      </c>
      <c r="P61" s="19">
        <v>3.6496758070326651E-2</v>
      </c>
    </row>
    <row r="62" spans="2:16" x14ac:dyDescent="0.2">
      <c r="B62" t="s">
        <v>551</v>
      </c>
      <c r="C62" t="s">
        <v>390</v>
      </c>
      <c r="D62" s="18">
        <v>42236.439930555556</v>
      </c>
      <c r="E62" t="s">
        <v>152</v>
      </c>
      <c r="F62" s="19">
        <v>0.88686748203820354</v>
      </c>
      <c r="G62" s="19">
        <v>0.86138890954611935</v>
      </c>
      <c r="H62" s="19">
        <v>0.88463904349618627</v>
      </c>
      <c r="I62" s="19">
        <v>5.0573171548125941E-2</v>
      </c>
      <c r="J62" s="19">
        <v>0.89564386830711396</v>
      </c>
      <c r="K62" s="19">
        <v>5.6413685804879349E-2</v>
      </c>
      <c r="L62" s="19"/>
      <c r="M62" s="19"/>
      <c r="N62" s="19"/>
      <c r="O62" s="19"/>
      <c r="P62" s="19"/>
    </row>
    <row r="63" spans="2:16" x14ac:dyDescent="0.2">
      <c r="B63" t="s">
        <v>637</v>
      </c>
      <c r="C63" t="s">
        <v>379</v>
      </c>
      <c r="D63" s="18">
        <v>42236.439930555556</v>
      </c>
      <c r="E63" t="s">
        <v>186</v>
      </c>
      <c r="F63" s="19">
        <v>0.97216825069015667</v>
      </c>
      <c r="G63" s="19">
        <v>0.87072751809593907</v>
      </c>
      <c r="H63" s="19">
        <v>0.88527238196198121</v>
      </c>
      <c r="I63" s="19">
        <v>5.3904934598517758E-2</v>
      </c>
      <c r="J63" s="19">
        <v>0.95207134517653547</v>
      </c>
      <c r="K63" s="19">
        <v>3.7256718307833621E-2</v>
      </c>
      <c r="L63" s="19"/>
      <c r="M63" s="19"/>
      <c r="N63" s="19"/>
      <c r="O63" s="19"/>
      <c r="P63" s="19"/>
    </row>
    <row r="64" spans="2:16" x14ac:dyDescent="0.2">
      <c r="B64" t="s">
        <v>706</v>
      </c>
      <c r="C64" t="s">
        <v>6</v>
      </c>
      <c r="D64" s="18">
        <v>42236.439930555556</v>
      </c>
      <c r="E64" t="s">
        <v>447</v>
      </c>
      <c r="F64" s="19"/>
      <c r="G64" s="19"/>
      <c r="H64" s="19"/>
      <c r="I64" s="19"/>
      <c r="J64" s="19"/>
      <c r="K64" s="19"/>
      <c r="L64" s="19">
        <v>0.94246964737261441</v>
      </c>
      <c r="M64" s="19">
        <v>0.96812348377268675</v>
      </c>
      <c r="N64" s="19">
        <v>1.5248741409886577E-2</v>
      </c>
      <c r="O64" s="19">
        <v>0.96389630432598183</v>
      </c>
      <c r="P64" s="19">
        <v>1.9891014158988439E-2</v>
      </c>
    </row>
    <row r="65" spans="2:16" x14ac:dyDescent="0.2">
      <c r="B65" t="s">
        <v>708</v>
      </c>
      <c r="C65" t="s">
        <v>6</v>
      </c>
      <c r="D65" s="18">
        <v>42236.439930555556</v>
      </c>
      <c r="E65" t="s">
        <v>447</v>
      </c>
      <c r="F65" s="19">
        <v>0.95451048793219162</v>
      </c>
      <c r="G65" s="19">
        <v>0.88046570682525982</v>
      </c>
      <c r="H65" s="19">
        <v>0.90459023216668721</v>
      </c>
      <c r="I65" s="19">
        <v>7.1397644292206762E-3</v>
      </c>
      <c r="J65" s="19">
        <v>0.91036932806301474</v>
      </c>
      <c r="K65" s="19">
        <v>8.71643264680543E-3</v>
      </c>
      <c r="L65" s="19">
        <v>0.94246964737261441</v>
      </c>
      <c r="M65" s="19">
        <v>0.96812348377268675</v>
      </c>
      <c r="N65" s="19">
        <v>1.5248741409886577E-2</v>
      </c>
      <c r="O65" s="19">
        <v>0.96389630432598183</v>
      </c>
      <c r="P65" s="19">
        <v>1.9891014158988439E-2</v>
      </c>
    </row>
    <row r="66" spans="2:16" x14ac:dyDescent="0.2">
      <c r="B66" t="s">
        <v>615</v>
      </c>
      <c r="C66" t="s">
        <v>395</v>
      </c>
      <c r="D66" s="18">
        <v>42236.439930555556</v>
      </c>
      <c r="E66" t="s">
        <v>177</v>
      </c>
      <c r="F66" s="19">
        <v>0.97041872132816165</v>
      </c>
      <c r="G66" s="19">
        <v>0.91776779351326421</v>
      </c>
      <c r="H66" s="19">
        <v>0.93074188798415913</v>
      </c>
      <c r="I66" s="19">
        <v>3.7039613401455895E-2</v>
      </c>
      <c r="J66" s="19">
        <v>0.90743276542888074</v>
      </c>
      <c r="K66" s="19">
        <v>4.5782091761133119E-2</v>
      </c>
      <c r="L66" s="19"/>
      <c r="M66" s="19"/>
      <c r="N66" s="19"/>
      <c r="O66" s="19"/>
      <c r="P66" s="19"/>
    </row>
    <row r="67" spans="2:16" x14ac:dyDescent="0.2">
      <c r="B67" t="s">
        <v>680</v>
      </c>
      <c r="C67" t="s">
        <v>379</v>
      </c>
      <c r="D67" s="18">
        <v>42236.439930555556</v>
      </c>
      <c r="E67" t="s">
        <v>679</v>
      </c>
      <c r="F67" s="153">
        <v>0.96301687246163492</v>
      </c>
      <c r="G67" s="153">
        <v>0.90224196607175311</v>
      </c>
      <c r="H67" s="153">
        <v>0.91022521232942066</v>
      </c>
      <c r="I67" s="153">
        <v>0.11607218406135225</v>
      </c>
      <c r="J67" s="153">
        <v>0.81038017894609171</v>
      </c>
      <c r="K67" s="153">
        <v>4.4855548022503487E-2</v>
      </c>
      <c r="L67" s="153"/>
      <c r="M67" s="153"/>
      <c r="N67" s="153"/>
      <c r="O67" s="153"/>
      <c r="P67" s="153"/>
    </row>
    <row r="68" spans="2:16" x14ac:dyDescent="0.2">
      <c r="B68" t="s">
        <v>639</v>
      </c>
      <c r="C68" t="s">
        <v>379</v>
      </c>
      <c r="D68" s="18">
        <v>42236.439930555556</v>
      </c>
      <c r="E68" t="s">
        <v>92</v>
      </c>
      <c r="F68" s="153">
        <v>0.93122995629450489</v>
      </c>
      <c r="G68" s="153">
        <v>0.86016865079365079</v>
      </c>
      <c r="H68" s="153">
        <v>0.83642540469528082</v>
      </c>
      <c r="I68" s="153">
        <v>5.1250249650439839E-2</v>
      </c>
      <c r="J68" s="153">
        <v>0.89578717977998545</v>
      </c>
      <c r="K68" s="153">
        <v>3.1792449818775097E-2</v>
      </c>
      <c r="L68" s="153"/>
      <c r="M68" s="153"/>
      <c r="N68" s="153"/>
      <c r="O68" s="153"/>
      <c r="P68" s="153"/>
    </row>
    <row r="69" spans="2:16" x14ac:dyDescent="0.2">
      <c r="B69" t="s">
        <v>649</v>
      </c>
      <c r="C69" t="s">
        <v>400</v>
      </c>
      <c r="D69" s="18">
        <v>42236.439930555556</v>
      </c>
      <c r="E69" t="s">
        <v>191</v>
      </c>
      <c r="F69" s="153">
        <v>0.9180127922041228</v>
      </c>
      <c r="G69" s="153">
        <v>0.83210571584955828</v>
      </c>
      <c r="H69" s="153">
        <v>0.93547950839900618</v>
      </c>
      <c r="I69" s="153">
        <v>3.6902663034210331E-2</v>
      </c>
      <c r="J69" s="153">
        <v>0.94252766933077969</v>
      </c>
      <c r="K69" s="153">
        <v>4.2405723986213673E-2</v>
      </c>
      <c r="L69" s="153"/>
      <c r="M69" s="153"/>
      <c r="N69" s="153"/>
      <c r="O69" s="153"/>
      <c r="P69" s="153"/>
    </row>
    <row r="70" spans="2:16" x14ac:dyDescent="0.2">
      <c r="B70" t="s">
        <v>653</v>
      </c>
      <c r="C70" t="s">
        <v>379</v>
      </c>
      <c r="D70" s="18">
        <v>42236.439930555556</v>
      </c>
      <c r="E70" t="s">
        <v>193</v>
      </c>
      <c r="F70" s="153">
        <v>0.90053841612252272</v>
      </c>
      <c r="G70" s="153">
        <v>0.82313105326876523</v>
      </c>
      <c r="H70" s="153">
        <v>0.8658925122439125</v>
      </c>
      <c r="I70" s="153">
        <v>4.3207438523814402E-2</v>
      </c>
      <c r="J70" s="153">
        <v>0.90125622698722097</v>
      </c>
      <c r="K70" s="153">
        <v>4.6341368632415648E-2</v>
      </c>
      <c r="L70" s="153"/>
      <c r="M70" s="153"/>
      <c r="N70" s="153"/>
      <c r="O70" s="153"/>
      <c r="P70" s="153"/>
    </row>
    <row r="71" spans="2:16" x14ac:dyDescent="0.2">
      <c r="B71" t="s">
        <v>553</v>
      </c>
      <c r="C71" t="s">
        <v>379</v>
      </c>
      <c r="D71" s="18">
        <v>42236.439930555556</v>
      </c>
      <c r="E71" t="s">
        <v>153</v>
      </c>
      <c r="F71" s="153">
        <v>0.94515933903599847</v>
      </c>
      <c r="G71" s="153">
        <v>0.79584413289349665</v>
      </c>
      <c r="H71" s="153">
        <v>0.83248171547567706</v>
      </c>
      <c r="I71" s="153">
        <v>5.2326796219906983E-2</v>
      </c>
      <c r="J71" s="153">
        <v>0.92127833283277349</v>
      </c>
      <c r="K71" s="153">
        <v>4.2473187310051161E-2</v>
      </c>
      <c r="L71" s="153"/>
      <c r="M71" s="153"/>
      <c r="N71" s="153"/>
      <c r="O71" s="153"/>
      <c r="P71" s="153"/>
    </row>
  </sheetData>
  <sheetProtection autoFilter="0"/>
  <conditionalFormatting sqref="B3:B71">
    <cfRule type="duplicateValues" dxfId="17" priority="345"/>
  </conditionalFormatting>
  <conditionalFormatting sqref="B2:P71">
    <cfRule type="cellIs" dxfId="16" priority="1" operator="between">
      <formula>0.05</formula>
      <formula>0.75</formula>
    </cfRule>
  </conditionalFormatting>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55" zoomScaleNormal="55" workbookViewId="0"/>
  </sheetViews>
  <sheetFormatPr defaultRowHeight="12.75" x14ac:dyDescent="0.2"/>
  <cols>
    <col min="2" max="2" width="64.28515625" customWidth="1"/>
    <col min="3" max="3" width="14.7109375" customWidth="1"/>
    <col min="4" max="4" width="12.5703125" bestFit="1" customWidth="1"/>
    <col min="6" max="6" width="20.140625" bestFit="1" customWidth="1"/>
    <col min="7" max="7" width="26.85546875" bestFit="1" customWidth="1"/>
    <col min="8" max="8" width="20.85546875" bestFit="1" customWidth="1"/>
    <col min="9" max="9" width="12.85546875" bestFit="1" customWidth="1"/>
    <col min="10" max="10" width="20.85546875" bestFit="1" customWidth="1"/>
    <col min="11" max="11" width="12.85546875" bestFit="1" customWidth="1"/>
    <col min="12" max="12" width="24" bestFit="1" customWidth="1"/>
    <col min="13" max="13" width="16" bestFit="1" customWidth="1"/>
    <col min="14" max="14" width="31.85546875" bestFit="1" customWidth="1"/>
    <col min="15" max="15" width="24" bestFit="1" customWidth="1"/>
    <col min="16" max="16" width="33.85546875" bestFit="1" customWidth="1"/>
    <col min="17" max="17" width="25.85546875" bestFit="1" customWidth="1"/>
    <col min="18" max="18" width="36.28515625" bestFit="1" customWidth="1"/>
    <col min="19" max="19" width="28.42578125" bestFit="1" customWidth="1"/>
    <col min="20" max="20" width="11.28515625" bestFit="1" customWidth="1"/>
    <col min="22" max="22" width="32.5703125" customWidth="1"/>
    <col min="23" max="23" width="26.85546875" customWidth="1"/>
    <col min="24" max="24" width="20.85546875" customWidth="1"/>
    <col min="25" max="25" width="12.85546875" customWidth="1"/>
    <col min="26" max="26" width="20.85546875" customWidth="1"/>
    <col min="27" max="27" width="12.85546875" customWidth="1"/>
    <col min="28" max="28" width="24" customWidth="1"/>
    <col min="29" max="29" width="16" customWidth="1"/>
    <col min="30" max="30" width="31.85546875" customWidth="1"/>
    <col min="31" max="31" width="24" customWidth="1"/>
    <col min="32" max="32" width="33.85546875" customWidth="1"/>
    <col min="33" max="33" width="25.85546875" customWidth="1"/>
    <col min="34" max="34" width="36.28515625" customWidth="1"/>
    <col min="35" max="35" width="28.42578125" customWidth="1"/>
    <col min="36" max="37" width="11.28515625" customWidth="1"/>
    <col min="38" max="38" width="30.28515625" customWidth="1"/>
    <col min="39" max="39" width="26.85546875" customWidth="1"/>
    <col min="40" max="40" width="20.85546875" customWidth="1"/>
    <col min="41" max="41" width="12.85546875" customWidth="1"/>
    <col min="42" max="42" width="20.85546875" customWidth="1"/>
    <col min="43" max="43" width="12.85546875" customWidth="1"/>
    <col min="44" max="44" width="24" customWidth="1"/>
    <col min="45" max="45" width="16" customWidth="1"/>
    <col min="46" max="46" width="31.85546875" customWidth="1"/>
    <col min="47" max="47" width="24" customWidth="1"/>
    <col min="48" max="48" width="33.85546875" customWidth="1"/>
    <col min="49" max="49" width="25.85546875" customWidth="1"/>
    <col min="50" max="50" width="36.28515625" customWidth="1"/>
    <col min="51" max="51" width="28.42578125" customWidth="1"/>
  </cols>
  <sheetData>
    <row r="2" spans="2:51" x14ac:dyDescent="0.2">
      <c r="B2" t="s">
        <v>962</v>
      </c>
      <c r="C2" t="s">
        <v>963</v>
      </c>
      <c r="D2" t="s">
        <v>139</v>
      </c>
      <c r="F2" t="s">
        <v>957</v>
      </c>
      <c r="G2" t="s">
        <v>944</v>
      </c>
      <c r="H2" t="s">
        <v>945</v>
      </c>
      <c r="I2" t="s">
        <v>946</v>
      </c>
      <c r="J2" t="s">
        <v>947</v>
      </c>
      <c r="K2" t="s">
        <v>948</v>
      </c>
      <c r="L2" t="s">
        <v>949</v>
      </c>
      <c r="M2" t="s">
        <v>950</v>
      </c>
      <c r="N2" t="s">
        <v>951</v>
      </c>
      <c r="O2" t="s">
        <v>952</v>
      </c>
      <c r="P2" t="s">
        <v>953</v>
      </c>
      <c r="Q2" t="s">
        <v>954</v>
      </c>
      <c r="R2" t="s">
        <v>955</v>
      </c>
      <c r="S2" t="s">
        <v>956</v>
      </c>
      <c r="V2" t="s">
        <v>958</v>
      </c>
      <c r="W2" t="s">
        <v>944</v>
      </c>
      <c r="X2" t="s">
        <v>945</v>
      </c>
      <c r="Y2" t="s">
        <v>946</v>
      </c>
      <c r="Z2" t="s">
        <v>947</v>
      </c>
      <c r="AA2" t="s">
        <v>948</v>
      </c>
      <c r="AB2" t="s">
        <v>949</v>
      </c>
      <c r="AC2" t="s">
        <v>950</v>
      </c>
      <c r="AD2" t="s">
        <v>951</v>
      </c>
      <c r="AE2" t="s">
        <v>952</v>
      </c>
      <c r="AF2" t="s">
        <v>953</v>
      </c>
      <c r="AG2" t="s">
        <v>954</v>
      </c>
      <c r="AH2" t="s">
        <v>955</v>
      </c>
      <c r="AI2" t="s">
        <v>956</v>
      </c>
      <c r="AL2" t="s">
        <v>959</v>
      </c>
      <c r="AM2" t="s">
        <v>944</v>
      </c>
      <c r="AN2" t="s">
        <v>945</v>
      </c>
      <c r="AO2" t="s">
        <v>946</v>
      </c>
      <c r="AP2" t="s">
        <v>947</v>
      </c>
      <c r="AQ2" t="s">
        <v>948</v>
      </c>
      <c r="AR2" t="s">
        <v>949</v>
      </c>
      <c r="AS2" t="s">
        <v>950</v>
      </c>
      <c r="AT2" t="s">
        <v>951</v>
      </c>
      <c r="AU2" t="s">
        <v>952</v>
      </c>
      <c r="AV2" t="s">
        <v>953</v>
      </c>
      <c r="AW2" t="s">
        <v>954</v>
      </c>
      <c r="AX2" t="s">
        <v>955</v>
      </c>
      <c r="AY2" t="s">
        <v>956</v>
      </c>
    </row>
    <row r="3" spans="2:51" x14ac:dyDescent="0.2">
      <c r="B3" t="s">
        <v>965</v>
      </c>
      <c r="C3">
        <v>377138</v>
      </c>
      <c r="D3">
        <v>405.62737632239998</v>
      </c>
      <c r="F3" t="s">
        <v>8</v>
      </c>
      <c r="G3">
        <v>12697</v>
      </c>
      <c r="P3">
        <v>12697</v>
      </c>
      <c r="Q3">
        <v>184.6308576829</v>
      </c>
      <c r="V3" t="s">
        <v>318</v>
      </c>
      <c r="W3">
        <v>386</v>
      </c>
      <c r="X3">
        <v>246</v>
      </c>
      <c r="Y3">
        <v>378.09349593500002</v>
      </c>
      <c r="Z3">
        <v>27</v>
      </c>
      <c r="AA3">
        <v>591.2222222222</v>
      </c>
      <c r="AB3">
        <v>80</v>
      </c>
      <c r="AC3">
        <v>499.1875</v>
      </c>
      <c r="AD3">
        <v>33</v>
      </c>
      <c r="AE3">
        <v>685.12121212119996</v>
      </c>
      <c r="AF3">
        <v>25</v>
      </c>
      <c r="AG3">
        <v>220.36</v>
      </c>
      <c r="AH3">
        <v>2</v>
      </c>
      <c r="AI3">
        <v>108.5</v>
      </c>
      <c r="AL3" t="s">
        <v>318</v>
      </c>
      <c r="AM3">
        <v>6</v>
      </c>
      <c r="AN3">
        <v>2</v>
      </c>
      <c r="AO3">
        <v>76.5</v>
      </c>
      <c r="AP3">
        <v>2</v>
      </c>
      <c r="AQ3">
        <v>447</v>
      </c>
      <c r="AR3">
        <v>1</v>
      </c>
      <c r="AS3">
        <v>135</v>
      </c>
      <c r="AT3">
        <v>2</v>
      </c>
      <c r="AU3">
        <v>94</v>
      </c>
      <c r="AV3">
        <v>1</v>
      </c>
      <c r="AW3">
        <v>3</v>
      </c>
    </row>
    <row r="4" spans="2:51" x14ac:dyDescent="0.2">
      <c r="B4" t="s">
        <v>964</v>
      </c>
      <c r="C4">
        <v>36769</v>
      </c>
      <c r="D4">
        <v>405.62737632239998</v>
      </c>
      <c r="F4" t="s">
        <v>8</v>
      </c>
      <c r="G4">
        <v>12697</v>
      </c>
      <c r="P4">
        <v>12697</v>
      </c>
      <c r="Q4">
        <v>184.6308576829</v>
      </c>
      <c r="V4" t="s">
        <v>8</v>
      </c>
      <c r="W4">
        <v>5040</v>
      </c>
      <c r="X4">
        <v>3701</v>
      </c>
      <c r="Y4">
        <v>404.5682248041</v>
      </c>
      <c r="Z4">
        <v>403</v>
      </c>
      <c r="AA4">
        <v>452.50372208440001</v>
      </c>
      <c r="AB4">
        <v>581</v>
      </c>
      <c r="AC4">
        <v>511.79173838209999</v>
      </c>
      <c r="AD4">
        <v>697</v>
      </c>
      <c r="AE4">
        <v>819.44476327120003</v>
      </c>
      <c r="AF4">
        <v>59</v>
      </c>
      <c r="AG4">
        <v>202.0338983051</v>
      </c>
      <c r="AH4">
        <v>2</v>
      </c>
      <c r="AI4">
        <v>682</v>
      </c>
      <c r="AL4" t="s">
        <v>8</v>
      </c>
      <c r="AM4">
        <v>37</v>
      </c>
      <c r="AN4">
        <v>28</v>
      </c>
      <c r="AO4">
        <v>239.75</v>
      </c>
      <c r="AP4">
        <v>12</v>
      </c>
      <c r="AQ4">
        <v>344.5</v>
      </c>
      <c r="AR4">
        <v>9</v>
      </c>
      <c r="AS4">
        <v>135</v>
      </c>
    </row>
    <row r="5" spans="2:51" x14ac:dyDescent="0.2">
      <c r="B5" t="s">
        <v>976</v>
      </c>
      <c r="C5">
        <v>21673</v>
      </c>
      <c r="D5">
        <v>569.81622295019997</v>
      </c>
      <c r="F5" t="s">
        <v>46</v>
      </c>
      <c r="G5">
        <v>505</v>
      </c>
      <c r="H5">
        <v>396</v>
      </c>
      <c r="I5">
        <v>215.11363636359999</v>
      </c>
      <c r="J5">
        <v>39</v>
      </c>
      <c r="K5">
        <v>504.48717948720002</v>
      </c>
      <c r="L5">
        <v>85</v>
      </c>
      <c r="M5">
        <v>138.09411764710001</v>
      </c>
      <c r="N5">
        <v>24</v>
      </c>
      <c r="O5">
        <v>228.5416666667</v>
      </c>
      <c r="V5" t="s">
        <v>8</v>
      </c>
      <c r="W5">
        <v>5426</v>
      </c>
      <c r="X5">
        <v>3947</v>
      </c>
      <c r="Y5">
        <v>402.91816569550002</v>
      </c>
      <c r="Z5">
        <v>430</v>
      </c>
      <c r="AA5">
        <v>461.21395348840002</v>
      </c>
      <c r="AB5">
        <v>661</v>
      </c>
      <c r="AC5">
        <v>510.26626323750003</v>
      </c>
      <c r="AD5">
        <v>730</v>
      </c>
      <c r="AE5">
        <v>813.37260273970003</v>
      </c>
      <c r="AF5">
        <v>84</v>
      </c>
      <c r="AG5">
        <v>207.48809523809999</v>
      </c>
      <c r="AH5">
        <v>4</v>
      </c>
      <c r="AI5">
        <v>395.25</v>
      </c>
      <c r="AL5" t="s">
        <v>8</v>
      </c>
      <c r="AM5">
        <v>43</v>
      </c>
      <c r="AN5">
        <v>30</v>
      </c>
      <c r="AO5">
        <v>228.86666666670001</v>
      </c>
      <c r="AP5">
        <v>14</v>
      </c>
      <c r="AQ5">
        <v>359.14285714290003</v>
      </c>
      <c r="AR5">
        <v>10</v>
      </c>
      <c r="AS5">
        <v>135</v>
      </c>
      <c r="AT5">
        <v>2</v>
      </c>
      <c r="AU5">
        <v>94</v>
      </c>
      <c r="AV5">
        <v>1</v>
      </c>
      <c r="AW5">
        <v>3</v>
      </c>
    </row>
    <row r="6" spans="2:51" x14ac:dyDescent="0.2">
      <c r="B6" t="s">
        <v>249</v>
      </c>
      <c r="C6">
        <v>56902</v>
      </c>
      <c r="D6">
        <v>613.67814839549999</v>
      </c>
      <c r="F6" t="s">
        <v>40</v>
      </c>
      <c r="G6">
        <v>7523</v>
      </c>
      <c r="H6">
        <v>5497</v>
      </c>
      <c r="I6">
        <v>458.17827906129997</v>
      </c>
      <c r="J6">
        <v>284</v>
      </c>
      <c r="K6">
        <v>1042.3485915493</v>
      </c>
      <c r="L6">
        <v>1425</v>
      </c>
      <c r="M6">
        <v>556.36210526319996</v>
      </c>
      <c r="N6">
        <v>548</v>
      </c>
      <c r="O6">
        <v>679.41605839420004</v>
      </c>
      <c r="R6">
        <v>53</v>
      </c>
      <c r="S6">
        <v>539.77358490569998</v>
      </c>
      <c r="V6" t="s">
        <v>409</v>
      </c>
      <c r="W6">
        <v>1230</v>
      </c>
      <c r="X6">
        <v>616</v>
      </c>
      <c r="Y6">
        <v>168.01948051950001</v>
      </c>
      <c r="Z6">
        <v>246</v>
      </c>
      <c r="AA6">
        <v>283.78861788619997</v>
      </c>
      <c r="AB6">
        <v>389</v>
      </c>
      <c r="AC6">
        <v>265.98714652960001</v>
      </c>
      <c r="AD6">
        <v>116</v>
      </c>
      <c r="AE6">
        <v>241.8362068966</v>
      </c>
      <c r="AF6">
        <v>105</v>
      </c>
      <c r="AG6">
        <v>182.1047619048</v>
      </c>
      <c r="AH6">
        <v>4</v>
      </c>
      <c r="AI6">
        <v>130</v>
      </c>
      <c r="AL6" t="s">
        <v>409</v>
      </c>
      <c r="AM6">
        <v>36</v>
      </c>
      <c r="AN6">
        <v>18</v>
      </c>
      <c r="AO6">
        <v>85.444444444400006</v>
      </c>
      <c r="AP6">
        <v>17</v>
      </c>
      <c r="AQ6">
        <v>241.4117647059</v>
      </c>
      <c r="AR6">
        <v>15</v>
      </c>
      <c r="AS6">
        <v>316.86666666669998</v>
      </c>
      <c r="AT6">
        <v>3</v>
      </c>
      <c r="AU6">
        <v>76</v>
      </c>
    </row>
    <row r="7" spans="2:51" x14ac:dyDescent="0.2">
      <c r="B7" t="s">
        <v>248</v>
      </c>
      <c r="C7">
        <v>219667</v>
      </c>
      <c r="D7">
        <v>396.16875998670002</v>
      </c>
      <c r="F7" t="s">
        <v>45</v>
      </c>
      <c r="G7">
        <v>6075</v>
      </c>
      <c r="H7">
        <v>4244</v>
      </c>
      <c r="I7">
        <v>392.08906691800001</v>
      </c>
      <c r="J7">
        <v>560</v>
      </c>
      <c r="K7">
        <v>477.54107142859999</v>
      </c>
      <c r="L7">
        <v>1263</v>
      </c>
      <c r="M7">
        <v>591.65399841650003</v>
      </c>
      <c r="N7">
        <v>566</v>
      </c>
      <c r="O7">
        <v>449.93286219079999</v>
      </c>
      <c r="R7">
        <v>2</v>
      </c>
      <c r="S7">
        <v>1476</v>
      </c>
      <c r="V7" t="s">
        <v>401</v>
      </c>
      <c r="W7">
        <v>13929</v>
      </c>
      <c r="X7">
        <v>10106</v>
      </c>
      <c r="Y7">
        <v>621.74223233719999</v>
      </c>
      <c r="Z7">
        <v>228</v>
      </c>
      <c r="AA7">
        <v>884.53070175439996</v>
      </c>
      <c r="AB7">
        <v>2723</v>
      </c>
      <c r="AC7">
        <v>1303.4513404332999</v>
      </c>
      <c r="AD7">
        <v>859</v>
      </c>
      <c r="AE7">
        <v>799.53084982539997</v>
      </c>
      <c r="AF7">
        <v>234</v>
      </c>
      <c r="AG7">
        <v>255.68376068379999</v>
      </c>
      <c r="AH7">
        <v>7</v>
      </c>
      <c r="AI7">
        <v>575.71428571429999</v>
      </c>
      <c r="AL7" t="s">
        <v>401</v>
      </c>
      <c r="AM7">
        <v>208</v>
      </c>
      <c r="AN7">
        <v>180</v>
      </c>
      <c r="AO7">
        <v>313.7</v>
      </c>
      <c r="AP7">
        <v>37</v>
      </c>
      <c r="AQ7">
        <v>764.81081081080004</v>
      </c>
      <c r="AR7">
        <v>25</v>
      </c>
      <c r="AS7">
        <v>105.28</v>
      </c>
      <c r="AT7">
        <v>2</v>
      </c>
      <c r="AU7">
        <v>113.5</v>
      </c>
      <c r="AV7">
        <v>1</v>
      </c>
      <c r="AW7">
        <v>65</v>
      </c>
    </row>
    <row r="8" spans="2:51" x14ac:dyDescent="0.2">
      <c r="B8" t="s">
        <v>250</v>
      </c>
      <c r="C8">
        <v>23615</v>
      </c>
      <c r="D8">
        <v>523.59131907690005</v>
      </c>
      <c r="F8" t="s">
        <v>53</v>
      </c>
      <c r="G8">
        <v>1382</v>
      </c>
      <c r="H8">
        <v>467</v>
      </c>
      <c r="I8">
        <v>98.528907922900004</v>
      </c>
      <c r="J8">
        <v>328</v>
      </c>
      <c r="K8">
        <v>217.98170731709999</v>
      </c>
      <c r="L8">
        <v>676</v>
      </c>
      <c r="M8">
        <v>258.31508875740002</v>
      </c>
      <c r="N8">
        <v>233</v>
      </c>
      <c r="O8">
        <v>226.652360515</v>
      </c>
      <c r="R8">
        <v>6</v>
      </c>
      <c r="S8">
        <v>169.8333333333</v>
      </c>
      <c r="V8" t="s">
        <v>432</v>
      </c>
      <c r="W8">
        <v>1398</v>
      </c>
      <c r="X8">
        <v>952</v>
      </c>
      <c r="Y8">
        <v>244.9600840336</v>
      </c>
      <c r="Z8">
        <v>247</v>
      </c>
      <c r="AA8">
        <v>421.21862348180002</v>
      </c>
      <c r="AB8">
        <v>141</v>
      </c>
      <c r="AC8">
        <v>256.29078014179998</v>
      </c>
      <c r="AD8">
        <v>188</v>
      </c>
      <c r="AE8">
        <v>371.02659574469999</v>
      </c>
      <c r="AF8">
        <v>116</v>
      </c>
      <c r="AG8">
        <v>169.46551724139999</v>
      </c>
      <c r="AH8">
        <v>1</v>
      </c>
      <c r="AI8">
        <v>24</v>
      </c>
      <c r="AL8" t="s">
        <v>432</v>
      </c>
      <c r="AM8">
        <v>17</v>
      </c>
      <c r="AN8">
        <v>13</v>
      </c>
      <c r="AO8">
        <v>117.76923076920001</v>
      </c>
      <c r="AP8">
        <v>17</v>
      </c>
      <c r="AQ8">
        <v>283.1176470588</v>
      </c>
      <c r="AR8">
        <v>3</v>
      </c>
      <c r="AS8">
        <v>393.3333333333</v>
      </c>
      <c r="AT8">
        <v>1</v>
      </c>
      <c r="AU8">
        <v>93</v>
      </c>
    </row>
    <row r="9" spans="2:51" x14ac:dyDescent="0.2">
      <c r="B9" t="s">
        <v>251</v>
      </c>
      <c r="C9">
        <v>12697</v>
      </c>
      <c r="D9">
        <v>184.6308576829</v>
      </c>
      <c r="F9" t="s">
        <v>84</v>
      </c>
      <c r="G9">
        <v>1292</v>
      </c>
      <c r="H9">
        <v>960</v>
      </c>
      <c r="I9">
        <v>240.20937499999999</v>
      </c>
      <c r="J9">
        <v>260</v>
      </c>
      <c r="K9">
        <v>437.14615384619998</v>
      </c>
      <c r="L9">
        <v>133</v>
      </c>
      <c r="M9">
        <v>207.15789473679999</v>
      </c>
      <c r="N9">
        <v>197</v>
      </c>
      <c r="O9">
        <v>358.45685279190002</v>
      </c>
      <c r="R9">
        <v>2</v>
      </c>
      <c r="S9">
        <v>249</v>
      </c>
      <c r="V9" t="s">
        <v>402</v>
      </c>
      <c r="W9">
        <v>8037</v>
      </c>
      <c r="X9">
        <v>5987</v>
      </c>
      <c r="Y9">
        <v>480.72473693000001</v>
      </c>
      <c r="Z9">
        <v>198</v>
      </c>
      <c r="AA9">
        <v>772.67171717170004</v>
      </c>
      <c r="AB9">
        <v>1479</v>
      </c>
      <c r="AC9">
        <v>902.29411764710005</v>
      </c>
      <c r="AD9">
        <v>414</v>
      </c>
      <c r="AE9">
        <v>627.81159420289998</v>
      </c>
      <c r="AF9">
        <v>155</v>
      </c>
      <c r="AG9">
        <v>188.7483870968</v>
      </c>
      <c r="AH9">
        <v>2</v>
      </c>
      <c r="AI9">
        <v>162.5</v>
      </c>
      <c r="AL9" t="s">
        <v>402</v>
      </c>
      <c r="AM9">
        <v>114</v>
      </c>
      <c r="AN9">
        <v>100</v>
      </c>
      <c r="AO9">
        <v>292.83999999999997</v>
      </c>
      <c r="AP9">
        <v>17</v>
      </c>
      <c r="AQ9">
        <v>387.8823529412</v>
      </c>
      <c r="AR9">
        <v>13</v>
      </c>
      <c r="AS9">
        <v>341.92307692309998</v>
      </c>
      <c r="AT9">
        <v>1</v>
      </c>
      <c r="AU9">
        <v>72</v>
      </c>
    </row>
    <row r="10" spans="2:51" x14ac:dyDescent="0.2">
      <c r="B10" t="s">
        <v>960</v>
      </c>
      <c r="C10">
        <v>457</v>
      </c>
      <c r="D10">
        <v>449.99124726479999</v>
      </c>
      <c r="F10" t="s">
        <v>79</v>
      </c>
      <c r="G10">
        <v>1709</v>
      </c>
      <c r="H10">
        <v>813</v>
      </c>
      <c r="I10">
        <v>123.3554735547</v>
      </c>
      <c r="J10">
        <v>502</v>
      </c>
      <c r="K10">
        <v>213.41235059760001</v>
      </c>
      <c r="L10">
        <v>820</v>
      </c>
      <c r="M10">
        <v>308.91707317070001</v>
      </c>
      <c r="N10">
        <v>74</v>
      </c>
      <c r="O10">
        <v>122.3378378378</v>
      </c>
      <c r="R10">
        <v>2</v>
      </c>
      <c r="S10">
        <v>24</v>
      </c>
      <c r="V10" t="s">
        <v>404</v>
      </c>
      <c r="W10">
        <v>7729</v>
      </c>
      <c r="X10">
        <v>5412</v>
      </c>
      <c r="Y10">
        <v>453.19198078340003</v>
      </c>
      <c r="Z10">
        <v>287</v>
      </c>
      <c r="AA10">
        <v>1012.3658536585</v>
      </c>
      <c r="AB10">
        <v>1422</v>
      </c>
      <c r="AC10">
        <v>562.73417721520002</v>
      </c>
      <c r="AD10">
        <v>545</v>
      </c>
      <c r="AE10">
        <v>669.26972477059996</v>
      </c>
      <c r="AF10">
        <v>297</v>
      </c>
      <c r="AG10">
        <v>220.2053872054</v>
      </c>
      <c r="AH10">
        <v>53</v>
      </c>
      <c r="AI10">
        <v>539.77358490569998</v>
      </c>
      <c r="AL10" t="s">
        <v>404</v>
      </c>
      <c r="AM10">
        <v>307</v>
      </c>
      <c r="AN10">
        <v>223</v>
      </c>
      <c r="AO10">
        <v>314.8520179372</v>
      </c>
      <c r="AP10">
        <v>38</v>
      </c>
      <c r="AQ10">
        <v>607.68421052630003</v>
      </c>
      <c r="AR10">
        <v>75</v>
      </c>
      <c r="AS10">
        <v>429.29333333329998</v>
      </c>
      <c r="AT10">
        <v>7</v>
      </c>
      <c r="AU10">
        <v>71</v>
      </c>
      <c r="AV10">
        <v>2</v>
      </c>
      <c r="AW10">
        <v>255</v>
      </c>
    </row>
    <row r="11" spans="2:51" x14ac:dyDescent="0.2">
      <c r="F11" t="s">
        <v>41</v>
      </c>
      <c r="G11">
        <v>13841</v>
      </c>
      <c r="H11">
        <v>10220</v>
      </c>
      <c r="I11">
        <v>627.05968688849998</v>
      </c>
      <c r="J11">
        <v>219</v>
      </c>
      <c r="K11">
        <v>953.12328767120005</v>
      </c>
      <c r="L11">
        <v>2771</v>
      </c>
      <c r="M11">
        <v>1313.9364850234999</v>
      </c>
      <c r="N11">
        <v>844</v>
      </c>
      <c r="O11">
        <v>817.13033175359999</v>
      </c>
      <c r="R11">
        <v>6</v>
      </c>
      <c r="S11">
        <v>649.16666666670005</v>
      </c>
      <c r="V11" t="s">
        <v>405</v>
      </c>
      <c r="W11">
        <v>6365</v>
      </c>
      <c r="X11">
        <v>4176</v>
      </c>
      <c r="Y11">
        <v>395.61709770110002</v>
      </c>
      <c r="Z11">
        <v>547</v>
      </c>
      <c r="AA11">
        <v>481.61425959780001</v>
      </c>
      <c r="AB11">
        <v>1270</v>
      </c>
      <c r="AC11">
        <v>599.47716535430004</v>
      </c>
      <c r="AD11">
        <v>559</v>
      </c>
      <c r="AE11">
        <v>459.03756708409998</v>
      </c>
      <c r="AF11">
        <v>357</v>
      </c>
      <c r="AG11">
        <v>173.82633053219999</v>
      </c>
      <c r="AH11">
        <v>3</v>
      </c>
      <c r="AI11">
        <v>1016</v>
      </c>
      <c r="AL11" t="s">
        <v>405</v>
      </c>
      <c r="AM11">
        <v>215</v>
      </c>
      <c r="AN11">
        <v>192</v>
      </c>
      <c r="AO11">
        <v>268.859375</v>
      </c>
      <c r="AP11">
        <v>27</v>
      </c>
      <c r="AQ11">
        <v>548.48148148150005</v>
      </c>
      <c r="AR11">
        <v>18</v>
      </c>
      <c r="AS11">
        <v>343.94444444440001</v>
      </c>
      <c r="AT11">
        <v>3</v>
      </c>
      <c r="AU11">
        <v>520</v>
      </c>
      <c r="AV11">
        <v>2</v>
      </c>
      <c r="AW11">
        <v>60.5</v>
      </c>
    </row>
    <row r="12" spans="2:51" x14ac:dyDescent="0.2">
      <c r="F12" t="s">
        <v>59</v>
      </c>
      <c r="G12">
        <v>3048</v>
      </c>
      <c r="H12">
        <v>2507</v>
      </c>
      <c r="I12">
        <v>281.57120063820003</v>
      </c>
      <c r="J12">
        <v>209</v>
      </c>
      <c r="K12">
        <v>571.75119617220003</v>
      </c>
      <c r="L12">
        <v>486</v>
      </c>
      <c r="M12">
        <v>313.60699588480003</v>
      </c>
      <c r="N12">
        <v>55</v>
      </c>
      <c r="O12">
        <v>156.2363636364</v>
      </c>
      <c r="V12" t="s">
        <v>407</v>
      </c>
      <c r="W12">
        <v>6811</v>
      </c>
      <c r="X12">
        <v>5447</v>
      </c>
      <c r="Y12">
        <v>286.66476959789998</v>
      </c>
      <c r="Z12">
        <v>469</v>
      </c>
      <c r="AA12">
        <v>536.38805970149997</v>
      </c>
      <c r="AB12">
        <v>484</v>
      </c>
      <c r="AC12">
        <v>216.30578512400001</v>
      </c>
      <c r="AD12">
        <v>497</v>
      </c>
      <c r="AE12">
        <v>349.22334004020001</v>
      </c>
      <c r="AF12">
        <v>373</v>
      </c>
      <c r="AG12">
        <v>172.86058981229999</v>
      </c>
      <c r="AH12">
        <v>10</v>
      </c>
      <c r="AI12">
        <v>288.8</v>
      </c>
      <c r="AL12" t="s">
        <v>407</v>
      </c>
      <c r="AM12">
        <v>170</v>
      </c>
      <c r="AN12">
        <v>146</v>
      </c>
      <c r="AO12">
        <v>295.38356164380002</v>
      </c>
      <c r="AP12">
        <v>25</v>
      </c>
      <c r="AQ12">
        <v>474.44</v>
      </c>
      <c r="AR12">
        <v>23</v>
      </c>
      <c r="AS12">
        <v>288.69565217389999</v>
      </c>
      <c r="AT12">
        <v>1</v>
      </c>
      <c r="AU12">
        <v>115</v>
      </c>
    </row>
    <row r="13" spans="2:51" x14ac:dyDescent="0.2">
      <c r="F13" t="s">
        <v>78</v>
      </c>
      <c r="G13">
        <v>6320</v>
      </c>
      <c r="H13">
        <v>5369</v>
      </c>
      <c r="I13">
        <v>281.69305271000002</v>
      </c>
      <c r="J13">
        <v>450</v>
      </c>
      <c r="K13">
        <v>535.5</v>
      </c>
      <c r="L13">
        <v>457</v>
      </c>
      <c r="M13">
        <v>182.03063457330001</v>
      </c>
      <c r="N13">
        <v>487</v>
      </c>
      <c r="O13">
        <v>352.22176591380003</v>
      </c>
      <c r="R13">
        <v>7</v>
      </c>
      <c r="S13">
        <v>359.14285714290003</v>
      </c>
      <c r="V13" t="s">
        <v>410</v>
      </c>
      <c r="W13">
        <v>1571</v>
      </c>
      <c r="X13">
        <v>490</v>
      </c>
      <c r="Y13">
        <v>118.48163265309999</v>
      </c>
      <c r="Z13">
        <v>320</v>
      </c>
      <c r="AA13">
        <v>217.15312499999999</v>
      </c>
      <c r="AB13">
        <v>666</v>
      </c>
      <c r="AC13">
        <v>257.63663663659997</v>
      </c>
      <c r="AD13">
        <v>229</v>
      </c>
      <c r="AE13">
        <v>230.3187772926</v>
      </c>
      <c r="AF13">
        <v>181</v>
      </c>
      <c r="AG13">
        <v>190.4585635359</v>
      </c>
      <c r="AH13">
        <v>5</v>
      </c>
      <c r="AI13">
        <v>248</v>
      </c>
      <c r="AL13" t="s">
        <v>410</v>
      </c>
      <c r="AM13">
        <v>26</v>
      </c>
      <c r="AN13">
        <v>17</v>
      </c>
      <c r="AO13">
        <v>153.4117647059</v>
      </c>
      <c r="AP13">
        <v>10</v>
      </c>
      <c r="AQ13">
        <v>209.6</v>
      </c>
      <c r="AR13">
        <v>7</v>
      </c>
      <c r="AS13">
        <v>83.285714285699996</v>
      </c>
      <c r="AT13">
        <v>2</v>
      </c>
      <c r="AU13">
        <v>307</v>
      </c>
    </row>
    <row r="14" spans="2:51" x14ac:dyDescent="0.2">
      <c r="F14" t="s">
        <v>44</v>
      </c>
      <c r="G14">
        <v>1113</v>
      </c>
      <c r="H14">
        <v>604</v>
      </c>
      <c r="I14">
        <v>150.45695364240001</v>
      </c>
      <c r="J14">
        <v>248</v>
      </c>
      <c r="K14">
        <v>283.25</v>
      </c>
      <c r="L14">
        <v>388</v>
      </c>
      <c r="M14">
        <v>263.25257731959999</v>
      </c>
      <c r="N14">
        <v>118</v>
      </c>
      <c r="O14">
        <v>248.88983050850001</v>
      </c>
      <c r="R14">
        <v>3</v>
      </c>
      <c r="S14">
        <v>123</v>
      </c>
      <c r="V14" t="s">
        <v>411</v>
      </c>
      <c r="W14">
        <v>2165</v>
      </c>
      <c r="X14">
        <v>993</v>
      </c>
      <c r="Y14">
        <v>156.6515609265</v>
      </c>
      <c r="Z14">
        <v>526</v>
      </c>
      <c r="AA14">
        <v>229.3326996198</v>
      </c>
      <c r="AB14">
        <v>863</v>
      </c>
      <c r="AC14">
        <v>323.75434530709998</v>
      </c>
      <c r="AD14">
        <v>90</v>
      </c>
      <c r="AE14">
        <v>181.76666666669999</v>
      </c>
      <c r="AF14">
        <v>218</v>
      </c>
      <c r="AG14">
        <v>168.0688073394</v>
      </c>
      <c r="AH14">
        <v>1</v>
      </c>
      <c r="AI14">
        <v>16</v>
      </c>
      <c r="AL14" t="s">
        <v>411</v>
      </c>
      <c r="AM14">
        <v>31</v>
      </c>
      <c r="AN14">
        <v>21</v>
      </c>
      <c r="AO14">
        <v>72.190476190499993</v>
      </c>
      <c r="AP14">
        <v>22</v>
      </c>
      <c r="AQ14">
        <v>211.63636363640001</v>
      </c>
      <c r="AR14">
        <v>3</v>
      </c>
      <c r="AS14">
        <v>47</v>
      </c>
      <c r="AT14">
        <v>7</v>
      </c>
      <c r="AU14">
        <v>143.71428571429999</v>
      </c>
    </row>
    <row r="15" spans="2:51" x14ac:dyDescent="0.2">
      <c r="F15" t="s">
        <v>77</v>
      </c>
      <c r="G15">
        <v>228</v>
      </c>
      <c r="H15">
        <v>93</v>
      </c>
      <c r="I15">
        <v>86.107526881699997</v>
      </c>
      <c r="J15">
        <v>98</v>
      </c>
      <c r="K15">
        <v>171.6734693878</v>
      </c>
      <c r="L15">
        <v>82</v>
      </c>
      <c r="M15">
        <v>195.78048780489999</v>
      </c>
      <c r="N15">
        <v>51</v>
      </c>
      <c r="O15">
        <v>250.9803921569</v>
      </c>
      <c r="R15">
        <v>2</v>
      </c>
      <c r="S15">
        <v>261.5</v>
      </c>
      <c r="V15" t="s">
        <v>406</v>
      </c>
      <c r="W15">
        <v>3207</v>
      </c>
      <c r="X15">
        <v>2528</v>
      </c>
      <c r="Y15">
        <v>290.4046677215</v>
      </c>
      <c r="Z15">
        <v>212</v>
      </c>
      <c r="AA15">
        <v>554.41509433960005</v>
      </c>
      <c r="AB15">
        <v>478</v>
      </c>
      <c r="AC15">
        <v>316.23221757319999</v>
      </c>
      <c r="AD15">
        <v>71</v>
      </c>
      <c r="AE15">
        <v>202.1830985915</v>
      </c>
      <c r="AF15">
        <v>129</v>
      </c>
      <c r="AG15">
        <v>127.21705426360001</v>
      </c>
      <c r="AH15">
        <v>1</v>
      </c>
      <c r="AI15">
        <v>32</v>
      </c>
      <c r="AL15" t="s">
        <v>406</v>
      </c>
      <c r="AM15">
        <v>77</v>
      </c>
      <c r="AN15">
        <v>59</v>
      </c>
      <c r="AO15">
        <v>220.0338983051</v>
      </c>
      <c r="AP15">
        <v>9</v>
      </c>
      <c r="AQ15">
        <v>324.1111111111</v>
      </c>
      <c r="AR15">
        <v>14</v>
      </c>
      <c r="AS15">
        <v>241</v>
      </c>
      <c r="AT15">
        <v>4</v>
      </c>
      <c r="AU15">
        <v>112.25</v>
      </c>
    </row>
    <row r="16" spans="2:51" x14ac:dyDescent="0.2">
      <c r="F16" t="s">
        <v>51</v>
      </c>
      <c r="G16">
        <v>8134</v>
      </c>
      <c r="H16">
        <v>6226</v>
      </c>
      <c r="I16">
        <v>480.9731769997</v>
      </c>
      <c r="J16">
        <v>193</v>
      </c>
      <c r="K16">
        <v>759.02590673580005</v>
      </c>
      <c r="L16">
        <v>1506</v>
      </c>
      <c r="M16">
        <v>905.9110225764</v>
      </c>
      <c r="N16">
        <v>400</v>
      </c>
      <c r="O16">
        <v>637.15750000000003</v>
      </c>
      <c r="R16">
        <v>2</v>
      </c>
      <c r="S16">
        <v>162.5</v>
      </c>
      <c r="V16" t="s">
        <v>429</v>
      </c>
      <c r="W16">
        <v>394</v>
      </c>
      <c r="X16">
        <v>289</v>
      </c>
      <c r="Y16">
        <v>229.55017301039999</v>
      </c>
      <c r="Z16">
        <v>24</v>
      </c>
      <c r="AA16">
        <v>510.5</v>
      </c>
      <c r="AB16">
        <v>66</v>
      </c>
      <c r="AC16">
        <v>193.7727272727</v>
      </c>
      <c r="AD16">
        <v>13</v>
      </c>
      <c r="AE16">
        <v>229.92307692310001</v>
      </c>
      <c r="AF16">
        <v>26</v>
      </c>
      <c r="AG16">
        <v>135.42307692310001</v>
      </c>
      <c r="AL16" t="s">
        <v>429</v>
      </c>
      <c r="AM16">
        <v>5</v>
      </c>
      <c r="AN16">
        <v>3</v>
      </c>
      <c r="AO16">
        <v>39</v>
      </c>
      <c r="AP16">
        <v>3</v>
      </c>
      <c r="AQ16">
        <v>315.6666666667</v>
      </c>
      <c r="AR16">
        <v>1</v>
      </c>
      <c r="AS16">
        <v>18</v>
      </c>
      <c r="AT16">
        <v>1</v>
      </c>
      <c r="AU16">
        <v>107</v>
      </c>
    </row>
    <row r="17" spans="6:49" x14ac:dyDescent="0.2">
      <c r="F17" t="s">
        <v>400</v>
      </c>
      <c r="G17">
        <v>51170</v>
      </c>
      <c r="H17">
        <v>37396</v>
      </c>
      <c r="I17">
        <v>437.6136752594</v>
      </c>
      <c r="J17">
        <v>3390</v>
      </c>
      <c r="K17">
        <v>495.03864306780002</v>
      </c>
      <c r="L17">
        <v>10092</v>
      </c>
      <c r="M17">
        <v>729.91627031309997</v>
      </c>
      <c r="N17">
        <v>3597</v>
      </c>
      <c r="O17">
        <v>537.04781762580001</v>
      </c>
      <c r="R17">
        <v>85</v>
      </c>
      <c r="S17">
        <v>479.42352941180002</v>
      </c>
      <c r="V17" t="s">
        <v>430</v>
      </c>
      <c r="W17">
        <v>197</v>
      </c>
      <c r="X17">
        <v>42</v>
      </c>
      <c r="Y17">
        <v>317.8333333333</v>
      </c>
      <c r="Z17">
        <v>19</v>
      </c>
      <c r="AA17">
        <v>296.89473684209997</v>
      </c>
      <c r="AB17">
        <v>51</v>
      </c>
      <c r="AC17">
        <v>332.45098039219999</v>
      </c>
      <c r="AD17">
        <v>48</v>
      </c>
      <c r="AE17">
        <v>256.0208333333</v>
      </c>
      <c r="AF17">
        <v>54</v>
      </c>
      <c r="AG17">
        <v>175.44444444440001</v>
      </c>
      <c r="AH17">
        <v>2</v>
      </c>
      <c r="AI17">
        <v>261.5</v>
      </c>
      <c r="AL17" t="s">
        <v>430</v>
      </c>
      <c r="AM17">
        <v>9</v>
      </c>
      <c r="AN17">
        <v>6</v>
      </c>
      <c r="AO17">
        <v>119.1666666667</v>
      </c>
      <c r="AP17">
        <v>7</v>
      </c>
      <c r="AQ17">
        <v>203.8571428571</v>
      </c>
      <c r="AR17">
        <v>2</v>
      </c>
      <c r="AS17">
        <v>109</v>
      </c>
      <c r="AT17">
        <v>1</v>
      </c>
      <c r="AU17">
        <v>145</v>
      </c>
    </row>
    <row r="18" spans="6:49" x14ac:dyDescent="0.2">
      <c r="F18" t="s">
        <v>71</v>
      </c>
      <c r="G18">
        <v>2741</v>
      </c>
      <c r="H18">
        <v>2201</v>
      </c>
      <c r="I18">
        <v>258.96001817360002</v>
      </c>
      <c r="J18">
        <v>165</v>
      </c>
      <c r="K18">
        <v>636.49696969700005</v>
      </c>
      <c r="L18">
        <v>318</v>
      </c>
      <c r="M18">
        <v>271.71383647800002</v>
      </c>
      <c r="N18">
        <v>217</v>
      </c>
      <c r="O18">
        <v>494.38709677420002</v>
      </c>
      <c r="R18">
        <v>5</v>
      </c>
      <c r="S18">
        <v>695.8</v>
      </c>
      <c r="V18" t="s">
        <v>400</v>
      </c>
      <c r="W18">
        <v>53033</v>
      </c>
      <c r="X18">
        <v>37038</v>
      </c>
      <c r="Y18">
        <v>437.1673956477</v>
      </c>
      <c r="Z18">
        <v>3323</v>
      </c>
      <c r="AA18">
        <v>499.4342461631</v>
      </c>
      <c r="AB18">
        <v>10032</v>
      </c>
      <c r="AC18">
        <v>729.8167862839</v>
      </c>
      <c r="AD18">
        <v>3629</v>
      </c>
      <c r="AE18">
        <v>534.07825847339996</v>
      </c>
      <c r="AF18">
        <v>2245</v>
      </c>
      <c r="AG18">
        <v>187.22360801779999</v>
      </c>
      <c r="AH18">
        <v>89</v>
      </c>
      <c r="AI18">
        <v>463.5280898876</v>
      </c>
      <c r="AL18" t="s">
        <v>400</v>
      </c>
      <c r="AM18">
        <v>1215</v>
      </c>
      <c r="AN18">
        <v>978</v>
      </c>
      <c r="AO18">
        <v>277.82822085890001</v>
      </c>
      <c r="AP18">
        <v>229</v>
      </c>
      <c r="AQ18">
        <v>461.19650655020001</v>
      </c>
      <c r="AR18">
        <v>199</v>
      </c>
      <c r="AS18">
        <v>313.42713567840002</v>
      </c>
      <c r="AT18">
        <v>33</v>
      </c>
      <c r="AU18">
        <v>154.93939393939999</v>
      </c>
      <c r="AV18">
        <v>5</v>
      </c>
      <c r="AW18">
        <v>139.19999999999999</v>
      </c>
    </row>
    <row r="19" spans="6:49" x14ac:dyDescent="0.2">
      <c r="F19" t="s">
        <v>37</v>
      </c>
      <c r="G19">
        <v>967</v>
      </c>
      <c r="H19">
        <v>559</v>
      </c>
      <c r="I19">
        <v>247.45974955279999</v>
      </c>
      <c r="J19">
        <v>91</v>
      </c>
      <c r="K19">
        <v>444.43956043959997</v>
      </c>
      <c r="L19">
        <v>227</v>
      </c>
      <c r="M19">
        <v>211.57268722469999</v>
      </c>
      <c r="N19">
        <v>175</v>
      </c>
      <c r="O19">
        <v>528.16</v>
      </c>
      <c r="R19">
        <v>6</v>
      </c>
      <c r="S19">
        <v>279</v>
      </c>
      <c r="V19" t="s">
        <v>418</v>
      </c>
      <c r="W19">
        <v>1045</v>
      </c>
      <c r="X19">
        <v>582</v>
      </c>
      <c r="Y19">
        <v>263.27147766320002</v>
      </c>
      <c r="Z19">
        <v>96</v>
      </c>
      <c r="AA19">
        <v>439.3958333333</v>
      </c>
      <c r="AB19">
        <v>228</v>
      </c>
      <c r="AC19">
        <v>222.4385964912</v>
      </c>
      <c r="AD19">
        <v>164</v>
      </c>
      <c r="AE19">
        <v>526.53658536590001</v>
      </c>
      <c r="AF19">
        <v>67</v>
      </c>
      <c r="AG19">
        <v>200.776119403</v>
      </c>
      <c r="AH19">
        <v>4</v>
      </c>
      <c r="AI19">
        <v>308.75</v>
      </c>
      <c r="AL19" t="s">
        <v>418</v>
      </c>
      <c r="AM19">
        <v>8</v>
      </c>
      <c r="AN19">
        <v>5</v>
      </c>
      <c r="AO19">
        <v>171.4</v>
      </c>
      <c r="AP19">
        <v>11</v>
      </c>
      <c r="AQ19">
        <v>195.1818181818</v>
      </c>
      <c r="AR19">
        <v>3</v>
      </c>
      <c r="AS19">
        <v>214.6666666667</v>
      </c>
    </row>
    <row r="20" spans="6:49" x14ac:dyDescent="0.2">
      <c r="F20" t="s">
        <v>58</v>
      </c>
      <c r="G20">
        <v>1049</v>
      </c>
      <c r="H20">
        <v>431</v>
      </c>
      <c r="I20">
        <v>182.53364269139999</v>
      </c>
      <c r="J20">
        <v>164</v>
      </c>
      <c r="K20">
        <v>321.62804878050002</v>
      </c>
      <c r="L20">
        <v>264</v>
      </c>
      <c r="M20">
        <v>315.89393939389998</v>
      </c>
      <c r="N20">
        <v>352</v>
      </c>
      <c r="O20">
        <v>535.69034090909997</v>
      </c>
      <c r="R20">
        <v>2</v>
      </c>
      <c r="S20">
        <v>682</v>
      </c>
      <c r="V20" t="s">
        <v>434</v>
      </c>
      <c r="W20">
        <v>313</v>
      </c>
      <c r="X20">
        <v>184</v>
      </c>
      <c r="Y20">
        <v>195.2336956522</v>
      </c>
      <c r="Z20">
        <v>109</v>
      </c>
      <c r="AA20">
        <v>308.34862385320002</v>
      </c>
      <c r="AB20">
        <v>40</v>
      </c>
      <c r="AC20">
        <v>303.17500000000001</v>
      </c>
      <c r="AD20">
        <v>51</v>
      </c>
      <c r="AE20">
        <v>546.1960784314</v>
      </c>
      <c r="AF20">
        <v>37</v>
      </c>
      <c r="AG20">
        <v>118.8918918919</v>
      </c>
      <c r="AH20">
        <v>1</v>
      </c>
      <c r="AI20">
        <v>603</v>
      </c>
      <c r="AL20" t="s">
        <v>434</v>
      </c>
      <c r="AM20">
        <v>5</v>
      </c>
      <c r="AN20">
        <v>5</v>
      </c>
      <c r="AO20">
        <v>154.80000000000001</v>
      </c>
      <c r="AP20">
        <v>1</v>
      </c>
      <c r="AQ20">
        <v>316</v>
      </c>
    </row>
    <row r="21" spans="6:49" x14ac:dyDescent="0.2">
      <c r="F21" t="s">
        <v>65</v>
      </c>
      <c r="G21">
        <v>8733</v>
      </c>
      <c r="H21">
        <v>6916</v>
      </c>
      <c r="I21">
        <v>389.8436957779</v>
      </c>
      <c r="J21">
        <v>509</v>
      </c>
      <c r="K21">
        <v>721.33791748529995</v>
      </c>
      <c r="L21">
        <v>1412</v>
      </c>
      <c r="M21">
        <v>708.6919263456</v>
      </c>
      <c r="N21">
        <v>394</v>
      </c>
      <c r="O21">
        <v>650.69035532989994</v>
      </c>
      <c r="R21">
        <v>11</v>
      </c>
      <c r="S21">
        <v>604.63636363640001</v>
      </c>
      <c r="V21" t="s">
        <v>438</v>
      </c>
      <c r="W21">
        <v>1021</v>
      </c>
      <c r="X21">
        <v>776</v>
      </c>
      <c r="Y21">
        <v>297.33634020620002</v>
      </c>
      <c r="Z21">
        <v>68</v>
      </c>
      <c r="AA21">
        <v>531.79411764710005</v>
      </c>
      <c r="AB21">
        <v>139</v>
      </c>
      <c r="AC21">
        <v>348.6474820144</v>
      </c>
      <c r="AD21">
        <v>50</v>
      </c>
      <c r="AE21">
        <v>509.14</v>
      </c>
      <c r="AF21">
        <v>53</v>
      </c>
      <c r="AG21">
        <v>154.62264150940001</v>
      </c>
      <c r="AH21">
        <v>3</v>
      </c>
      <c r="AI21">
        <v>223.6666666667</v>
      </c>
      <c r="AL21" t="s">
        <v>438</v>
      </c>
      <c r="AM21">
        <v>11</v>
      </c>
      <c r="AN21">
        <v>8</v>
      </c>
      <c r="AO21">
        <v>124.75</v>
      </c>
      <c r="AP21">
        <v>2</v>
      </c>
      <c r="AQ21">
        <v>263.5</v>
      </c>
      <c r="AR21">
        <v>2</v>
      </c>
      <c r="AS21">
        <v>272.5</v>
      </c>
      <c r="AT21">
        <v>1</v>
      </c>
      <c r="AU21">
        <v>109</v>
      </c>
    </row>
    <row r="22" spans="6:49" x14ac:dyDescent="0.2">
      <c r="F22" t="s">
        <v>67</v>
      </c>
      <c r="G22">
        <v>7012</v>
      </c>
      <c r="H22">
        <v>4955</v>
      </c>
      <c r="I22">
        <v>341.23410696270003</v>
      </c>
      <c r="J22">
        <v>409</v>
      </c>
      <c r="K22">
        <v>693.81662591689997</v>
      </c>
      <c r="L22">
        <v>1705</v>
      </c>
      <c r="M22">
        <v>709.96422287389998</v>
      </c>
      <c r="N22">
        <v>335</v>
      </c>
      <c r="O22">
        <v>607.8388059701</v>
      </c>
      <c r="R22">
        <v>17</v>
      </c>
      <c r="S22">
        <v>595.41176470590005</v>
      </c>
      <c r="V22" t="s">
        <v>423</v>
      </c>
      <c r="W22">
        <v>2843</v>
      </c>
      <c r="X22">
        <v>2164</v>
      </c>
      <c r="Y22">
        <v>263.94731977819998</v>
      </c>
      <c r="Z22">
        <v>158</v>
      </c>
      <c r="AA22">
        <v>615.94936708859996</v>
      </c>
      <c r="AB22">
        <v>325</v>
      </c>
      <c r="AC22">
        <v>306.56307692310003</v>
      </c>
      <c r="AD22">
        <v>221</v>
      </c>
      <c r="AE22">
        <v>475.55203619909997</v>
      </c>
      <c r="AF22">
        <v>128</v>
      </c>
      <c r="AG22">
        <v>225.3046875</v>
      </c>
      <c r="AH22">
        <v>5</v>
      </c>
      <c r="AI22">
        <v>695.8</v>
      </c>
      <c r="AL22" t="s">
        <v>423</v>
      </c>
      <c r="AM22">
        <v>43</v>
      </c>
      <c r="AN22">
        <v>27</v>
      </c>
      <c r="AO22">
        <v>147.8888888889</v>
      </c>
      <c r="AP22">
        <v>23</v>
      </c>
      <c r="AQ22">
        <v>276.86956521740001</v>
      </c>
      <c r="AR22">
        <v>10</v>
      </c>
      <c r="AS22">
        <v>206.4</v>
      </c>
      <c r="AT22">
        <v>5</v>
      </c>
      <c r="AU22">
        <v>147.19999999999999</v>
      </c>
      <c r="AV22">
        <v>1</v>
      </c>
      <c r="AW22">
        <v>31</v>
      </c>
    </row>
    <row r="23" spans="6:49" x14ac:dyDescent="0.2">
      <c r="F23" t="s">
        <v>76</v>
      </c>
      <c r="G23">
        <v>4656</v>
      </c>
      <c r="H23">
        <v>3633</v>
      </c>
      <c r="I23">
        <v>266.34654555460003</v>
      </c>
      <c r="J23">
        <v>336</v>
      </c>
      <c r="K23">
        <v>567.87797619050002</v>
      </c>
      <c r="L23">
        <v>775</v>
      </c>
      <c r="M23">
        <v>423.1419354839</v>
      </c>
      <c r="N23">
        <v>242</v>
      </c>
      <c r="O23">
        <v>522.18595041319998</v>
      </c>
      <c r="R23">
        <v>6</v>
      </c>
      <c r="S23">
        <v>382</v>
      </c>
      <c r="V23" t="s">
        <v>419</v>
      </c>
      <c r="W23">
        <v>5462</v>
      </c>
      <c r="X23">
        <v>3566</v>
      </c>
      <c r="Y23">
        <v>364.41699383060001</v>
      </c>
      <c r="Z23">
        <v>274</v>
      </c>
      <c r="AA23">
        <v>605.9854014599</v>
      </c>
      <c r="AB23">
        <v>1535</v>
      </c>
      <c r="AC23">
        <v>528.65537459279994</v>
      </c>
      <c r="AD23">
        <v>203</v>
      </c>
      <c r="AE23">
        <v>482.92610837439997</v>
      </c>
      <c r="AF23">
        <v>152</v>
      </c>
      <c r="AG23">
        <v>175.4144736842</v>
      </c>
      <c r="AH23">
        <v>6</v>
      </c>
      <c r="AI23">
        <v>297</v>
      </c>
      <c r="AL23" t="s">
        <v>419</v>
      </c>
      <c r="AM23">
        <v>43</v>
      </c>
      <c r="AN23">
        <v>28</v>
      </c>
      <c r="AO23">
        <v>108.2142857143</v>
      </c>
      <c r="AP23">
        <v>25</v>
      </c>
      <c r="AQ23">
        <v>277.68</v>
      </c>
      <c r="AR23">
        <v>15</v>
      </c>
      <c r="AS23">
        <v>187.3333333333</v>
      </c>
    </row>
    <row r="24" spans="6:49" x14ac:dyDescent="0.2">
      <c r="F24" t="s">
        <v>48</v>
      </c>
      <c r="G24">
        <v>1225</v>
      </c>
      <c r="H24">
        <v>957</v>
      </c>
      <c r="I24">
        <v>295.06896551720001</v>
      </c>
      <c r="J24">
        <v>86</v>
      </c>
      <c r="K24">
        <v>541.77906976739996</v>
      </c>
      <c r="L24">
        <v>201</v>
      </c>
      <c r="M24">
        <v>409.31840796019998</v>
      </c>
      <c r="N24">
        <v>62</v>
      </c>
      <c r="O24">
        <v>527.9838709677</v>
      </c>
      <c r="R24">
        <v>5</v>
      </c>
      <c r="S24">
        <v>177.6</v>
      </c>
      <c r="V24" t="s">
        <v>436</v>
      </c>
      <c r="W24">
        <v>7090</v>
      </c>
      <c r="X24">
        <v>4936</v>
      </c>
      <c r="Y24">
        <v>343.0674635332</v>
      </c>
      <c r="Z24">
        <v>404</v>
      </c>
      <c r="AA24">
        <v>685.86138613859998</v>
      </c>
      <c r="AB24">
        <v>1645</v>
      </c>
      <c r="AC24">
        <v>690.20972644380004</v>
      </c>
      <c r="AD24">
        <v>336</v>
      </c>
      <c r="AE24">
        <v>592.36904761899996</v>
      </c>
      <c r="AF24">
        <v>155</v>
      </c>
      <c r="AG24">
        <v>235.38709677419999</v>
      </c>
      <c r="AH24">
        <v>18</v>
      </c>
      <c r="AI24">
        <v>596.2777777778</v>
      </c>
      <c r="AL24" t="s">
        <v>436</v>
      </c>
      <c r="AM24">
        <v>64</v>
      </c>
      <c r="AN24">
        <v>47</v>
      </c>
      <c r="AO24">
        <v>122.5957446809</v>
      </c>
      <c r="AP24">
        <v>36</v>
      </c>
      <c r="AQ24">
        <v>229.3611111111</v>
      </c>
      <c r="AR24">
        <v>14</v>
      </c>
      <c r="AS24">
        <v>223.78571428570001</v>
      </c>
      <c r="AT24">
        <v>2</v>
      </c>
      <c r="AU24">
        <v>70</v>
      </c>
      <c r="AV24">
        <v>1</v>
      </c>
      <c r="AW24">
        <v>26</v>
      </c>
    </row>
    <row r="25" spans="6:49" x14ac:dyDescent="0.2">
      <c r="F25" t="s">
        <v>69</v>
      </c>
      <c r="G25">
        <v>5391</v>
      </c>
      <c r="H25">
        <v>3610</v>
      </c>
      <c r="I25">
        <v>368.27977839340002</v>
      </c>
      <c r="J25">
        <v>277</v>
      </c>
      <c r="K25">
        <v>612.70397111909995</v>
      </c>
      <c r="L25">
        <v>1576</v>
      </c>
      <c r="M25">
        <v>536.60342639589999</v>
      </c>
      <c r="N25">
        <v>199</v>
      </c>
      <c r="O25">
        <v>486.49748743719999</v>
      </c>
      <c r="R25">
        <v>6</v>
      </c>
      <c r="S25">
        <v>297</v>
      </c>
      <c r="V25" t="s">
        <v>417</v>
      </c>
      <c r="W25">
        <v>18078</v>
      </c>
      <c r="X25">
        <v>13738</v>
      </c>
      <c r="Y25">
        <v>332.42138593679999</v>
      </c>
      <c r="Z25">
        <v>1843</v>
      </c>
      <c r="AA25">
        <v>523.28214867060001</v>
      </c>
      <c r="AB25">
        <v>2773</v>
      </c>
      <c r="AC25">
        <v>491.15182113229997</v>
      </c>
      <c r="AD25">
        <v>850</v>
      </c>
      <c r="AE25">
        <v>484.89411764710002</v>
      </c>
      <c r="AF25">
        <v>687</v>
      </c>
      <c r="AG25">
        <v>180.6841339156</v>
      </c>
      <c r="AH25">
        <v>30</v>
      </c>
      <c r="AI25">
        <v>435.3333333333</v>
      </c>
      <c r="AL25" t="s">
        <v>417</v>
      </c>
      <c r="AM25">
        <v>266</v>
      </c>
      <c r="AN25">
        <v>184</v>
      </c>
      <c r="AO25">
        <v>161.7934782609</v>
      </c>
      <c r="AP25">
        <v>187</v>
      </c>
      <c r="AQ25">
        <v>264.75401069520001</v>
      </c>
      <c r="AR25">
        <v>61</v>
      </c>
      <c r="AS25">
        <v>170</v>
      </c>
      <c r="AT25">
        <v>15</v>
      </c>
      <c r="AU25">
        <v>174.46666666670001</v>
      </c>
      <c r="AV25">
        <v>6</v>
      </c>
      <c r="AW25">
        <v>30</v>
      </c>
    </row>
    <row r="26" spans="6:49" x14ac:dyDescent="0.2">
      <c r="F26" t="s">
        <v>35</v>
      </c>
      <c r="G26">
        <v>238</v>
      </c>
      <c r="H26">
        <v>146</v>
      </c>
      <c r="I26">
        <v>139.92465753420001</v>
      </c>
      <c r="J26">
        <v>108</v>
      </c>
      <c r="K26">
        <v>282.6296296296</v>
      </c>
      <c r="L26">
        <v>35</v>
      </c>
      <c r="M26">
        <v>194.8571428571</v>
      </c>
      <c r="N26">
        <v>56</v>
      </c>
      <c r="O26">
        <v>524.23214285710003</v>
      </c>
      <c r="R26">
        <v>1</v>
      </c>
      <c r="S26">
        <v>603</v>
      </c>
      <c r="V26" t="s">
        <v>415</v>
      </c>
      <c r="W26">
        <v>1966</v>
      </c>
      <c r="X26">
        <v>1458</v>
      </c>
      <c r="Y26">
        <v>313.86145404659999</v>
      </c>
      <c r="Z26">
        <v>228</v>
      </c>
      <c r="AA26">
        <v>511.06578947370002</v>
      </c>
      <c r="AB26">
        <v>304</v>
      </c>
      <c r="AC26">
        <v>252.21710526320001</v>
      </c>
      <c r="AD26">
        <v>114</v>
      </c>
      <c r="AE26">
        <v>388.798245614</v>
      </c>
      <c r="AF26">
        <v>90</v>
      </c>
      <c r="AG26">
        <v>139.34444444440001</v>
      </c>
      <c r="AL26" t="s">
        <v>415</v>
      </c>
      <c r="AM26">
        <v>26</v>
      </c>
      <c r="AN26">
        <v>19</v>
      </c>
      <c r="AO26">
        <v>155.73684210530001</v>
      </c>
      <c r="AP26">
        <v>19</v>
      </c>
      <c r="AQ26">
        <v>203</v>
      </c>
      <c r="AR26">
        <v>7</v>
      </c>
      <c r="AS26">
        <v>155.1428571429</v>
      </c>
    </row>
    <row r="27" spans="6:49" x14ac:dyDescent="0.2">
      <c r="F27" t="s">
        <v>74</v>
      </c>
      <c r="G27">
        <v>4120</v>
      </c>
      <c r="H27">
        <v>3343</v>
      </c>
      <c r="I27">
        <v>195.44600658089999</v>
      </c>
      <c r="J27">
        <v>755</v>
      </c>
      <c r="K27">
        <v>343.14437086089998</v>
      </c>
      <c r="L27">
        <v>590</v>
      </c>
      <c r="M27">
        <v>151.0305084746</v>
      </c>
      <c r="N27">
        <v>173</v>
      </c>
      <c r="O27">
        <v>179.32947976880001</v>
      </c>
      <c r="R27">
        <v>14</v>
      </c>
      <c r="S27">
        <v>291.71428571429999</v>
      </c>
      <c r="V27" t="s">
        <v>83</v>
      </c>
      <c r="W27">
        <v>4896</v>
      </c>
      <c r="X27">
        <v>3653</v>
      </c>
      <c r="Y27">
        <v>272.52942786749998</v>
      </c>
      <c r="Z27">
        <v>332</v>
      </c>
      <c r="AA27">
        <v>555.45180722889995</v>
      </c>
      <c r="AB27">
        <v>803</v>
      </c>
      <c r="AC27">
        <v>455.06351183060002</v>
      </c>
      <c r="AD27">
        <v>249</v>
      </c>
      <c r="AE27">
        <v>508.29317269080002</v>
      </c>
      <c r="AF27">
        <v>186</v>
      </c>
      <c r="AG27">
        <v>157.54838709680001</v>
      </c>
      <c r="AH27">
        <v>5</v>
      </c>
      <c r="AI27">
        <v>336.2</v>
      </c>
      <c r="AL27" t="s">
        <v>83</v>
      </c>
      <c r="AM27">
        <v>78</v>
      </c>
      <c r="AN27">
        <v>55</v>
      </c>
      <c r="AO27">
        <v>101.8909090909</v>
      </c>
      <c r="AP27">
        <v>37</v>
      </c>
      <c r="AQ27">
        <v>215.43243243239999</v>
      </c>
      <c r="AR27">
        <v>20</v>
      </c>
      <c r="AS27">
        <v>204.75</v>
      </c>
      <c r="AT27">
        <v>1</v>
      </c>
      <c r="AU27">
        <v>158</v>
      </c>
      <c r="AV27">
        <v>2</v>
      </c>
      <c r="AW27">
        <v>164</v>
      </c>
    </row>
    <row r="28" spans="6:49" x14ac:dyDescent="0.2">
      <c r="F28" t="s">
        <v>34</v>
      </c>
      <c r="G28">
        <v>1827</v>
      </c>
      <c r="H28">
        <v>1407</v>
      </c>
      <c r="I28">
        <v>317.24733475480002</v>
      </c>
      <c r="J28">
        <v>232</v>
      </c>
      <c r="K28">
        <v>511.50862068970002</v>
      </c>
      <c r="L28">
        <v>309</v>
      </c>
      <c r="M28">
        <v>254.82524271840001</v>
      </c>
      <c r="N28">
        <v>111</v>
      </c>
      <c r="O28">
        <v>357.52252252250003</v>
      </c>
      <c r="V28" t="s">
        <v>414</v>
      </c>
      <c r="W28">
        <v>42714</v>
      </c>
      <c r="X28">
        <v>31057</v>
      </c>
      <c r="Y28">
        <v>322.11478893650002</v>
      </c>
      <c r="Z28">
        <v>3512</v>
      </c>
      <c r="AA28">
        <v>546.0546697039</v>
      </c>
      <c r="AB28">
        <v>7792</v>
      </c>
      <c r="AC28">
        <v>508.45392710470003</v>
      </c>
      <c r="AD28">
        <v>2238</v>
      </c>
      <c r="AE28">
        <v>502.62734584449998</v>
      </c>
      <c r="AF28">
        <v>1555</v>
      </c>
      <c r="AG28">
        <v>182.6418006431</v>
      </c>
      <c r="AH28">
        <v>72</v>
      </c>
      <c r="AI28">
        <v>461.7222222222</v>
      </c>
      <c r="AL28" t="s">
        <v>414</v>
      </c>
      <c r="AM28">
        <v>544</v>
      </c>
      <c r="AN28">
        <v>378</v>
      </c>
      <c r="AO28">
        <v>142.18783068779999</v>
      </c>
      <c r="AP28">
        <v>341</v>
      </c>
      <c r="AQ28">
        <v>251.8885630499</v>
      </c>
      <c r="AR28">
        <v>132</v>
      </c>
      <c r="AS28">
        <v>187.4772727273</v>
      </c>
      <c r="AT28">
        <v>24</v>
      </c>
      <c r="AU28">
        <v>156.6666666667</v>
      </c>
      <c r="AV28">
        <v>10</v>
      </c>
      <c r="AW28">
        <v>56.5</v>
      </c>
    </row>
    <row r="29" spans="6:49" x14ac:dyDescent="0.2">
      <c r="F29" t="s">
        <v>55</v>
      </c>
      <c r="G29">
        <v>4531</v>
      </c>
      <c r="H29">
        <v>3568</v>
      </c>
      <c r="I29">
        <v>336.46020179369998</v>
      </c>
      <c r="J29">
        <v>576</v>
      </c>
      <c r="K29">
        <v>579.49479166670005</v>
      </c>
      <c r="L29">
        <v>753</v>
      </c>
      <c r="M29">
        <v>342.85524568390002</v>
      </c>
      <c r="N29">
        <v>205</v>
      </c>
      <c r="O29">
        <v>373.22439024390002</v>
      </c>
      <c r="R29">
        <v>5</v>
      </c>
      <c r="S29">
        <v>474.8</v>
      </c>
      <c r="V29" t="s">
        <v>398</v>
      </c>
      <c r="W29">
        <v>10794</v>
      </c>
      <c r="X29">
        <v>5523</v>
      </c>
      <c r="Y29">
        <v>304.88393988770002</v>
      </c>
      <c r="Z29">
        <v>681</v>
      </c>
      <c r="AA29">
        <v>659.02055800289997</v>
      </c>
      <c r="AB29">
        <v>3642</v>
      </c>
      <c r="AC29">
        <v>860.51537616689996</v>
      </c>
      <c r="AD29">
        <v>1116</v>
      </c>
      <c r="AE29">
        <v>533.83602150540003</v>
      </c>
      <c r="AF29">
        <v>491</v>
      </c>
      <c r="AG29">
        <v>214.49898167009999</v>
      </c>
      <c r="AH29">
        <v>22</v>
      </c>
      <c r="AI29">
        <v>538.04545454549998</v>
      </c>
      <c r="AL29" t="s">
        <v>398</v>
      </c>
      <c r="AM29">
        <v>182</v>
      </c>
      <c r="AN29">
        <v>140</v>
      </c>
      <c r="AO29">
        <v>258.82857142860001</v>
      </c>
      <c r="AP29">
        <v>18</v>
      </c>
      <c r="AQ29">
        <v>398.1111111111</v>
      </c>
      <c r="AR29">
        <v>36</v>
      </c>
      <c r="AS29">
        <v>379.19444444440001</v>
      </c>
      <c r="AT29">
        <v>6</v>
      </c>
      <c r="AU29">
        <v>66.666666666699996</v>
      </c>
    </row>
    <row r="30" spans="6:49" x14ac:dyDescent="0.2">
      <c r="F30" t="s">
        <v>414</v>
      </c>
      <c r="G30">
        <v>42490</v>
      </c>
      <c r="H30">
        <v>31726</v>
      </c>
      <c r="I30">
        <v>317.53505011660002</v>
      </c>
      <c r="J30">
        <v>3708</v>
      </c>
      <c r="K30">
        <v>538.92152103559999</v>
      </c>
      <c r="L30">
        <v>8165</v>
      </c>
      <c r="M30">
        <v>504.31402327009999</v>
      </c>
      <c r="N30">
        <v>2521</v>
      </c>
      <c r="O30">
        <v>508.03847679490002</v>
      </c>
      <c r="R30">
        <v>78</v>
      </c>
      <c r="S30">
        <v>452.73076923079998</v>
      </c>
      <c r="V30" t="s">
        <v>435</v>
      </c>
      <c r="W30">
        <v>28489</v>
      </c>
      <c r="X30">
        <v>24029</v>
      </c>
      <c r="Y30">
        <v>449.49107328640002</v>
      </c>
      <c r="Z30">
        <v>1566</v>
      </c>
      <c r="AA30">
        <v>776.75223499360004</v>
      </c>
      <c r="AB30">
        <v>1503</v>
      </c>
      <c r="AC30">
        <v>342.47504990020002</v>
      </c>
      <c r="AD30">
        <v>1829</v>
      </c>
      <c r="AE30">
        <v>341.36413340619998</v>
      </c>
      <c r="AF30">
        <v>1118</v>
      </c>
      <c r="AG30">
        <v>166.8962432916</v>
      </c>
      <c r="AH30">
        <v>10</v>
      </c>
      <c r="AI30">
        <v>269</v>
      </c>
      <c r="AL30" t="s">
        <v>435</v>
      </c>
      <c r="AM30">
        <v>481</v>
      </c>
      <c r="AN30">
        <v>408</v>
      </c>
      <c r="AO30">
        <v>268.73529411760001</v>
      </c>
      <c r="AP30">
        <v>89</v>
      </c>
      <c r="AQ30">
        <v>394.89887640450002</v>
      </c>
      <c r="AR30">
        <v>60</v>
      </c>
      <c r="AS30">
        <v>244.63333333329999</v>
      </c>
      <c r="AT30">
        <v>12</v>
      </c>
      <c r="AU30">
        <v>224.0833333333</v>
      </c>
      <c r="AV30">
        <v>1</v>
      </c>
      <c r="AW30">
        <v>134</v>
      </c>
    </row>
    <row r="31" spans="6:49" x14ac:dyDescent="0.2">
      <c r="F31" t="s">
        <v>25</v>
      </c>
      <c r="G31">
        <v>16018</v>
      </c>
      <c r="H31">
        <v>13322</v>
      </c>
      <c r="I31">
        <v>564.95758895059998</v>
      </c>
      <c r="J31">
        <v>550</v>
      </c>
      <c r="K31">
        <v>929.46363636360002</v>
      </c>
      <c r="L31">
        <v>1897</v>
      </c>
      <c r="M31">
        <v>524.63415919869999</v>
      </c>
      <c r="N31">
        <v>788</v>
      </c>
      <c r="O31">
        <v>366.63451776649998</v>
      </c>
      <c r="R31">
        <v>11</v>
      </c>
      <c r="S31">
        <v>543.81818181819995</v>
      </c>
      <c r="V31" t="s">
        <v>391</v>
      </c>
      <c r="W31">
        <v>16587</v>
      </c>
      <c r="X31">
        <v>13230</v>
      </c>
      <c r="Y31">
        <v>561.82267573700005</v>
      </c>
      <c r="Z31">
        <v>573</v>
      </c>
      <c r="AA31">
        <v>896.77312390919997</v>
      </c>
      <c r="AB31">
        <v>1977</v>
      </c>
      <c r="AC31">
        <v>541.31967627719996</v>
      </c>
      <c r="AD31">
        <v>824</v>
      </c>
      <c r="AE31">
        <v>377.95873786409999</v>
      </c>
      <c r="AF31">
        <v>545</v>
      </c>
      <c r="AG31">
        <v>166.54862385320001</v>
      </c>
      <c r="AH31">
        <v>11</v>
      </c>
      <c r="AI31">
        <v>543.81818181819995</v>
      </c>
      <c r="AL31" t="s">
        <v>391</v>
      </c>
      <c r="AM31">
        <v>323</v>
      </c>
      <c r="AN31">
        <v>270</v>
      </c>
      <c r="AO31">
        <v>295.3</v>
      </c>
      <c r="AP31">
        <v>75</v>
      </c>
      <c r="AQ31">
        <v>394.24</v>
      </c>
      <c r="AR31">
        <v>38</v>
      </c>
      <c r="AS31">
        <v>294.42105263159999</v>
      </c>
      <c r="AT31">
        <v>13</v>
      </c>
      <c r="AU31">
        <v>165.8461538462</v>
      </c>
      <c r="AV31">
        <v>2</v>
      </c>
      <c r="AW31">
        <v>31.5</v>
      </c>
    </row>
    <row r="32" spans="6:49" x14ac:dyDescent="0.2">
      <c r="F32" t="s">
        <v>42</v>
      </c>
      <c r="G32">
        <v>11813</v>
      </c>
      <c r="H32">
        <v>9003</v>
      </c>
      <c r="I32">
        <v>323.14106408970002</v>
      </c>
      <c r="J32">
        <v>351</v>
      </c>
      <c r="K32">
        <v>730.66666666670005</v>
      </c>
      <c r="L32">
        <v>1964</v>
      </c>
      <c r="M32">
        <v>546.40325865579996</v>
      </c>
      <c r="N32">
        <v>821</v>
      </c>
      <c r="O32">
        <v>573.01583434839995</v>
      </c>
      <c r="R32">
        <v>25</v>
      </c>
      <c r="S32">
        <v>570.6</v>
      </c>
      <c r="V32" t="s">
        <v>403</v>
      </c>
      <c r="W32">
        <v>3310</v>
      </c>
      <c r="X32">
        <v>2191</v>
      </c>
      <c r="Y32">
        <v>479.392971246</v>
      </c>
      <c r="Z32">
        <v>322</v>
      </c>
      <c r="AA32">
        <v>441.28571428570001</v>
      </c>
      <c r="AB32">
        <v>485</v>
      </c>
      <c r="AC32">
        <v>668.70309278349998</v>
      </c>
      <c r="AD32">
        <v>460</v>
      </c>
      <c r="AE32">
        <v>534.65434782609998</v>
      </c>
      <c r="AF32">
        <v>169</v>
      </c>
      <c r="AG32">
        <v>188.42011834319999</v>
      </c>
      <c r="AH32">
        <v>5</v>
      </c>
      <c r="AI32">
        <v>587.6</v>
      </c>
      <c r="AL32" t="s">
        <v>403</v>
      </c>
      <c r="AM32">
        <v>106</v>
      </c>
      <c r="AN32">
        <v>90</v>
      </c>
      <c r="AO32">
        <v>421.21111111110002</v>
      </c>
      <c r="AP32">
        <v>12</v>
      </c>
      <c r="AQ32">
        <v>484.1666666667</v>
      </c>
      <c r="AR32">
        <v>13</v>
      </c>
      <c r="AS32">
        <v>347.30769230769999</v>
      </c>
      <c r="AT32">
        <v>2</v>
      </c>
      <c r="AU32">
        <v>103</v>
      </c>
      <c r="AV32">
        <v>1</v>
      </c>
      <c r="AW32">
        <v>486</v>
      </c>
    </row>
    <row r="33" spans="6:49" x14ac:dyDescent="0.2">
      <c r="F33" t="s">
        <v>75</v>
      </c>
      <c r="G33">
        <v>6054</v>
      </c>
      <c r="H33">
        <v>2775</v>
      </c>
      <c r="I33">
        <v>379.461981982</v>
      </c>
      <c r="J33">
        <v>262</v>
      </c>
      <c r="K33">
        <v>533.56870229009996</v>
      </c>
      <c r="L33">
        <v>2287</v>
      </c>
      <c r="M33">
        <v>676.66768692610003</v>
      </c>
      <c r="N33">
        <v>991</v>
      </c>
      <c r="O33">
        <v>944.41876892029995</v>
      </c>
      <c r="R33">
        <v>1</v>
      </c>
      <c r="S33">
        <v>1426</v>
      </c>
      <c r="V33" t="s">
        <v>394</v>
      </c>
      <c r="W33">
        <v>7073</v>
      </c>
      <c r="X33">
        <v>4223</v>
      </c>
      <c r="Y33">
        <v>272.57328913089998</v>
      </c>
      <c r="Z33">
        <v>608</v>
      </c>
      <c r="AA33">
        <v>565.94901315790003</v>
      </c>
      <c r="AB33">
        <v>1543</v>
      </c>
      <c r="AC33">
        <v>388.66947504860002</v>
      </c>
      <c r="AD33">
        <v>810</v>
      </c>
      <c r="AE33">
        <v>465.0283950617</v>
      </c>
      <c r="AF33">
        <v>484</v>
      </c>
      <c r="AG33">
        <v>184.61570247930001</v>
      </c>
      <c r="AH33">
        <v>13</v>
      </c>
      <c r="AI33">
        <v>453</v>
      </c>
      <c r="AL33" t="s">
        <v>394</v>
      </c>
      <c r="AM33">
        <v>215</v>
      </c>
      <c r="AN33">
        <v>178</v>
      </c>
      <c r="AO33">
        <v>237.39325842700001</v>
      </c>
      <c r="AP33">
        <v>23</v>
      </c>
      <c r="AQ33">
        <v>452.91304347829998</v>
      </c>
      <c r="AR33">
        <v>33</v>
      </c>
      <c r="AS33">
        <v>370.03030303029999</v>
      </c>
      <c r="AT33">
        <v>3</v>
      </c>
      <c r="AU33">
        <v>245.3333333333</v>
      </c>
      <c r="AV33">
        <v>1</v>
      </c>
      <c r="AW33">
        <v>30</v>
      </c>
    </row>
    <row r="34" spans="6:49" x14ac:dyDescent="0.2">
      <c r="F34" t="s">
        <v>61</v>
      </c>
      <c r="G34">
        <v>6428</v>
      </c>
      <c r="H34">
        <v>4110</v>
      </c>
      <c r="I34">
        <v>253.78442822380001</v>
      </c>
      <c r="J34">
        <v>595</v>
      </c>
      <c r="K34">
        <v>543.47058823530006</v>
      </c>
      <c r="L34">
        <v>1490</v>
      </c>
      <c r="M34">
        <v>361.76644295300002</v>
      </c>
      <c r="N34">
        <v>814</v>
      </c>
      <c r="O34">
        <v>454.71253071249998</v>
      </c>
      <c r="R34">
        <v>14</v>
      </c>
      <c r="S34">
        <v>428.35714285709997</v>
      </c>
      <c r="V34" t="s">
        <v>437</v>
      </c>
      <c r="W34">
        <v>6137</v>
      </c>
      <c r="X34">
        <v>2691</v>
      </c>
      <c r="Y34">
        <v>379.18914901519997</v>
      </c>
      <c r="Z34">
        <v>255</v>
      </c>
      <c r="AA34">
        <v>533.20000000000005</v>
      </c>
      <c r="AB34">
        <v>2220</v>
      </c>
      <c r="AC34">
        <v>676.163963964</v>
      </c>
      <c r="AD34">
        <v>965</v>
      </c>
      <c r="AE34">
        <v>941.25803108809998</v>
      </c>
      <c r="AF34">
        <v>260</v>
      </c>
      <c r="AG34">
        <v>197.2884615385</v>
      </c>
      <c r="AH34">
        <v>1</v>
      </c>
      <c r="AI34">
        <v>1426</v>
      </c>
      <c r="AL34" t="s">
        <v>437</v>
      </c>
      <c r="AM34">
        <v>120</v>
      </c>
      <c r="AN34">
        <v>91</v>
      </c>
      <c r="AO34">
        <v>227.1978021978</v>
      </c>
      <c r="AP34">
        <v>14</v>
      </c>
      <c r="AQ34">
        <v>313.35714285709997</v>
      </c>
      <c r="AR34">
        <v>18</v>
      </c>
      <c r="AS34">
        <v>260.1111111111</v>
      </c>
      <c r="AT34">
        <v>10</v>
      </c>
      <c r="AU34">
        <v>115.7</v>
      </c>
      <c r="AV34">
        <v>1</v>
      </c>
      <c r="AW34">
        <v>122</v>
      </c>
    </row>
    <row r="35" spans="6:49" x14ac:dyDescent="0.2">
      <c r="F35" t="s">
        <v>56</v>
      </c>
      <c r="G35">
        <v>4545</v>
      </c>
      <c r="H35">
        <v>3141</v>
      </c>
      <c r="I35">
        <v>498.200254696</v>
      </c>
      <c r="J35">
        <v>495</v>
      </c>
      <c r="K35">
        <v>437.64242424240001</v>
      </c>
      <c r="L35">
        <v>756</v>
      </c>
      <c r="M35">
        <v>640.32804232800004</v>
      </c>
      <c r="N35">
        <v>640</v>
      </c>
      <c r="O35">
        <v>571.3203125</v>
      </c>
      <c r="R35">
        <v>8</v>
      </c>
      <c r="S35">
        <v>540.875</v>
      </c>
      <c r="V35" t="s">
        <v>393</v>
      </c>
      <c r="W35">
        <v>12133</v>
      </c>
      <c r="X35">
        <v>8919</v>
      </c>
      <c r="Y35">
        <v>328.33120304969998</v>
      </c>
      <c r="Z35">
        <v>356</v>
      </c>
      <c r="AA35">
        <v>723.25</v>
      </c>
      <c r="AB35">
        <v>1958</v>
      </c>
      <c r="AC35">
        <v>544.17415730339997</v>
      </c>
      <c r="AD35">
        <v>813</v>
      </c>
      <c r="AE35">
        <v>570.14145141450001</v>
      </c>
      <c r="AF35">
        <v>417</v>
      </c>
      <c r="AG35">
        <v>179.52997601920001</v>
      </c>
      <c r="AH35">
        <v>26</v>
      </c>
      <c r="AI35">
        <v>593.19230769230001</v>
      </c>
      <c r="AL35" t="s">
        <v>393</v>
      </c>
      <c r="AM35">
        <v>145</v>
      </c>
      <c r="AN35">
        <v>122</v>
      </c>
      <c r="AO35">
        <v>252.50819672130001</v>
      </c>
      <c r="AP35">
        <v>37</v>
      </c>
      <c r="AQ35">
        <v>298.48648648649998</v>
      </c>
      <c r="AR35">
        <v>17</v>
      </c>
      <c r="AS35">
        <v>266.4705882353</v>
      </c>
      <c r="AT35">
        <v>4</v>
      </c>
      <c r="AU35">
        <v>135.5</v>
      </c>
      <c r="AV35">
        <v>2</v>
      </c>
      <c r="AW35">
        <v>463</v>
      </c>
    </row>
    <row r="36" spans="6:49" x14ac:dyDescent="0.2">
      <c r="F36" t="s">
        <v>60</v>
      </c>
      <c r="G36">
        <v>10378</v>
      </c>
      <c r="H36">
        <v>5519</v>
      </c>
      <c r="I36">
        <v>297.6747599203</v>
      </c>
      <c r="J36">
        <v>702</v>
      </c>
      <c r="K36">
        <v>657.71794871789996</v>
      </c>
      <c r="L36">
        <v>3715</v>
      </c>
      <c r="M36">
        <v>864.09017496640001</v>
      </c>
      <c r="N36">
        <v>1122</v>
      </c>
      <c r="O36">
        <v>528.12566844920002</v>
      </c>
      <c r="R36">
        <v>22</v>
      </c>
      <c r="S36">
        <v>538.04545454549998</v>
      </c>
      <c r="V36" t="s">
        <v>390</v>
      </c>
      <c r="W36">
        <v>84523</v>
      </c>
      <c r="X36">
        <v>60806</v>
      </c>
      <c r="Y36">
        <v>428.70473308560003</v>
      </c>
      <c r="Z36">
        <v>4361</v>
      </c>
      <c r="AA36">
        <v>701.36941068559997</v>
      </c>
      <c r="AB36">
        <v>13328</v>
      </c>
      <c r="AC36">
        <v>615.96195978390006</v>
      </c>
      <c r="AD36">
        <v>6817</v>
      </c>
      <c r="AE36">
        <v>517.23734780699999</v>
      </c>
      <c r="AF36">
        <v>3484</v>
      </c>
      <c r="AG36">
        <v>180.83639494830001</v>
      </c>
      <c r="AH36">
        <v>88</v>
      </c>
      <c r="AI36">
        <v>524.82954545450002</v>
      </c>
      <c r="AL36" t="s">
        <v>390</v>
      </c>
      <c r="AM36">
        <v>1572</v>
      </c>
      <c r="AN36">
        <v>1299</v>
      </c>
      <c r="AO36">
        <v>275.02463433410003</v>
      </c>
      <c r="AP36">
        <v>268</v>
      </c>
      <c r="AQ36">
        <v>386.33582089549998</v>
      </c>
      <c r="AR36">
        <v>215</v>
      </c>
      <c r="AS36">
        <v>304.44186046509998</v>
      </c>
      <c r="AT36">
        <v>50</v>
      </c>
      <c r="AU36">
        <v>157.72</v>
      </c>
      <c r="AV36">
        <v>8</v>
      </c>
      <c r="AW36">
        <v>220.125</v>
      </c>
    </row>
    <row r="37" spans="6:49" x14ac:dyDescent="0.2">
      <c r="F37" t="s">
        <v>80</v>
      </c>
      <c r="G37">
        <v>27512</v>
      </c>
      <c r="H37">
        <v>24414</v>
      </c>
      <c r="I37">
        <v>448.7419922995</v>
      </c>
      <c r="J37">
        <v>1531</v>
      </c>
      <c r="K37">
        <v>774.01632919660005</v>
      </c>
      <c r="L37">
        <v>1340</v>
      </c>
      <c r="M37">
        <v>282.70298507460001</v>
      </c>
      <c r="N37">
        <v>1752</v>
      </c>
      <c r="O37">
        <v>318.95776255710001</v>
      </c>
      <c r="R37">
        <v>6</v>
      </c>
      <c r="S37">
        <v>303.3333333333</v>
      </c>
      <c r="V37" t="s">
        <v>416</v>
      </c>
      <c r="W37">
        <v>514</v>
      </c>
      <c r="X37">
        <v>254</v>
      </c>
      <c r="Y37">
        <v>155.2755905512</v>
      </c>
      <c r="Z37">
        <v>234</v>
      </c>
      <c r="AA37">
        <v>241.2905982906</v>
      </c>
      <c r="AB37">
        <v>90</v>
      </c>
      <c r="AC37">
        <v>218.92222222219999</v>
      </c>
      <c r="AD37">
        <v>97</v>
      </c>
      <c r="AE37">
        <v>233.3608247423</v>
      </c>
      <c r="AF37">
        <v>61</v>
      </c>
      <c r="AG37">
        <v>185.49180327869999</v>
      </c>
      <c r="AH37">
        <v>12</v>
      </c>
      <c r="AI37">
        <v>296.6666666667</v>
      </c>
      <c r="AL37" t="s">
        <v>416</v>
      </c>
      <c r="AM37">
        <v>17</v>
      </c>
      <c r="AN37">
        <v>12</v>
      </c>
      <c r="AO37">
        <v>68.916666666699996</v>
      </c>
      <c r="AP37">
        <v>15</v>
      </c>
      <c r="AQ37">
        <v>251.9333333333</v>
      </c>
      <c r="AR37">
        <v>4</v>
      </c>
      <c r="AS37">
        <v>95.5</v>
      </c>
      <c r="AT37">
        <v>1</v>
      </c>
      <c r="AU37">
        <v>102</v>
      </c>
    </row>
    <row r="38" spans="6:49" x14ac:dyDescent="0.2">
      <c r="F38" t="s">
        <v>390</v>
      </c>
      <c r="G38">
        <v>82748</v>
      </c>
      <c r="H38">
        <v>62284</v>
      </c>
      <c r="I38">
        <v>428.60070001930001</v>
      </c>
      <c r="J38">
        <v>4486</v>
      </c>
      <c r="K38">
        <v>689.74565314309996</v>
      </c>
      <c r="L38">
        <v>13449</v>
      </c>
      <c r="M38">
        <v>611.78846010860002</v>
      </c>
      <c r="N38">
        <v>6928</v>
      </c>
      <c r="O38">
        <v>517.09367782909999</v>
      </c>
      <c r="R38">
        <v>87</v>
      </c>
      <c r="S38">
        <v>524.75862068970002</v>
      </c>
      <c r="V38" t="s">
        <v>420</v>
      </c>
      <c r="W38">
        <v>39521</v>
      </c>
      <c r="X38">
        <v>27658</v>
      </c>
      <c r="Y38">
        <v>459.84640971869999</v>
      </c>
      <c r="Z38">
        <v>2025</v>
      </c>
      <c r="AA38">
        <v>694.91259259260005</v>
      </c>
      <c r="AB38">
        <v>8119</v>
      </c>
      <c r="AC38">
        <v>751.56915876339997</v>
      </c>
      <c r="AD38">
        <v>2389</v>
      </c>
      <c r="AE38">
        <v>579.95018836329996</v>
      </c>
      <c r="AF38">
        <v>1305</v>
      </c>
      <c r="AG38">
        <v>205.0383141762</v>
      </c>
      <c r="AH38">
        <v>50</v>
      </c>
      <c r="AI38">
        <v>440</v>
      </c>
      <c r="AL38" t="s">
        <v>420</v>
      </c>
      <c r="AM38">
        <v>276</v>
      </c>
      <c r="AN38">
        <v>180</v>
      </c>
      <c r="AO38">
        <v>178.99444444439999</v>
      </c>
      <c r="AP38">
        <v>215</v>
      </c>
      <c r="AQ38">
        <v>260.311627907</v>
      </c>
      <c r="AR38">
        <v>79</v>
      </c>
      <c r="AS38">
        <v>222.46835443040001</v>
      </c>
      <c r="AT38">
        <v>15</v>
      </c>
      <c r="AU38">
        <v>284.13333333330002</v>
      </c>
      <c r="AV38">
        <v>2</v>
      </c>
      <c r="AW38">
        <v>1069.5</v>
      </c>
    </row>
    <row r="39" spans="6:49" x14ac:dyDescent="0.2">
      <c r="F39" t="s">
        <v>82</v>
      </c>
      <c r="G39">
        <v>19170</v>
      </c>
      <c r="H39">
        <v>14118</v>
      </c>
      <c r="I39">
        <v>403.11729706760002</v>
      </c>
      <c r="J39">
        <v>1087</v>
      </c>
      <c r="K39">
        <v>684.54369825209994</v>
      </c>
      <c r="L39">
        <v>3770</v>
      </c>
      <c r="M39">
        <v>816.40557029180002</v>
      </c>
      <c r="N39">
        <v>1250</v>
      </c>
      <c r="O39">
        <v>609.5752</v>
      </c>
      <c r="R39">
        <v>32</v>
      </c>
      <c r="S39">
        <v>520.53125</v>
      </c>
      <c r="V39" t="s">
        <v>428</v>
      </c>
      <c r="W39">
        <v>321</v>
      </c>
      <c r="X39">
        <v>124</v>
      </c>
      <c r="Y39">
        <v>212.45967741940001</v>
      </c>
      <c r="Z39">
        <v>136</v>
      </c>
      <c r="AA39">
        <v>259.0735294118</v>
      </c>
      <c r="AB39">
        <v>102</v>
      </c>
      <c r="AC39">
        <v>307.6764705882</v>
      </c>
      <c r="AD39">
        <v>63</v>
      </c>
      <c r="AE39">
        <v>374.47619047619997</v>
      </c>
      <c r="AF39">
        <v>32</v>
      </c>
      <c r="AG39">
        <v>198.59375</v>
      </c>
      <c r="AL39" t="s">
        <v>428</v>
      </c>
      <c r="AM39">
        <v>3</v>
      </c>
      <c r="AN39">
        <v>3</v>
      </c>
      <c r="AO39">
        <v>213</v>
      </c>
      <c r="AP39">
        <v>5</v>
      </c>
      <c r="AQ39">
        <v>209.6</v>
      </c>
    </row>
    <row r="40" spans="6:49" x14ac:dyDescent="0.2">
      <c r="F40" t="s">
        <v>43</v>
      </c>
      <c r="G40">
        <v>5720</v>
      </c>
      <c r="H40">
        <v>2975</v>
      </c>
      <c r="I40">
        <v>238.22924369750001</v>
      </c>
      <c r="J40">
        <v>257</v>
      </c>
      <c r="K40">
        <v>560.36575875489996</v>
      </c>
      <c r="L40">
        <v>2370</v>
      </c>
      <c r="M40">
        <v>680.11350210969999</v>
      </c>
      <c r="N40">
        <v>367</v>
      </c>
      <c r="O40">
        <v>398.23433242509998</v>
      </c>
      <c r="R40">
        <v>8</v>
      </c>
      <c r="S40">
        <v>200</v>
      </c>
      <c r="V40" t="s">
        <v>431</v>
      </c>
      <c r="W40">
        <v>360</v>
      </c>
      <c r="X40">
        <v>253</v>
      </c>
      <c r="Y40">
        <v>290.65612648220002</v>
      </c>
      <c r="Z40">
        <v>24</v>
      </c>
      <c r="AA40">
        <v>565.75</v>
      </c>
      <c r="AB40">
        <v>24</v>
      </c>
      <c r="AC40">
        <v>533.20833333329995</v>
      </c>
      <c r="AD40">
        <v>43</v>
      </c>
      <c r="AE40">
        <v>353.93023255809999</v>
      </c>
      <c r="AF40">
        <v>39</v>
      </c>
      <c r="AG40">
        <v>205.10256410260001</v>
      </c>
      <c r="AH40">
        <v>1</v>
      </c>
      <c r="AI40">
        <v>318</v>
      </c>
      <c r="AL40" t="s">
        <v>431</v>
      </c>
      <c r="AM40">
        <v>6</v>
      </c>
      <c r="AN40">
        <v>4</v>
      </c>
      <c r="AO40">
        <v>207.75</v>
      </c>
      <c r="AP40">
        <v>2</v>
      </c>
      <c r="AQ40">
        <v>305.5</v>
      </c>
      <c r="AR40">
        <v>1</v>
      </c>
      <c r="AS40">
        <v>96</v>
      </c>
      <c r="AV40">
        <v>1</v>
      </c>
      <c r="AW40">
        <v>17</v>
      </c>
    </row>
    <row r="41" spans="6:49" x14ac:dyDescent="0.2">
      <c r="F41" t="s">
        <v>49</v>
      </c>
      <c r="G41">
        <v>19256</v>
      </c>
      <c r="H41">
        <v>13751</v>
      </c>
      <c r="I41">
        <v>520.73907352189997</v>
      </c>
      <c r="J41">
        <v>941</v>
      </c>
      <c r="K41">
        <v>713.25079702439996</v>
      </c>
      <c r="L41">
        <v>4369</v>
      </c>
      <c r="M41">
        <v>699.95262073699996</v>
      </c>
      <c r="N41">
        <v>1116</v>
      </c>
      <c r="O41">
        <v>559.45071684590005</v>
      </c>
      <c r="R41">
        <v>20</v>
      </c>
      <c r="S41">
        <v>373.75</v>
      </c>
      <c r="V41" t="s">
        <v>421</v>
      </c>
      <c r="W41">
        <v>5311</v>
      </c>
      <c r="X41">
        <v>4041</v>
      </c>
      <c r="Y41">
        <v>480.3221974759</v>
      </c>
      <c r="Z41">
        <v>182</v>
      </c>
      <c r="AA41">
        <v>918.2032967033</v>
      </c>
      <c r="AB41">
        <v>543</v>
      </c>
      <c r="AC41">
        <v>322.09392265190002</v>
      </c>
      <c r="AD41">
        <v>449</v>
      </c>
      <c r="AE41">
        <v>622.63919821829995</v>
      </c>
      <c r="AF41">
        <v>272</v>
      </c>
      <c r="AG41">
        <v>178.7132352941</v>
      </c>
      <c r="AH41">
        <v>6</v>
      </c>
      <c r="AI41">
        <v>738.66666666670005</v>
      </c>
      <c r="AL41" t="s">
        <v>421</v>
      </c>
      <c r="AM41">
        <v>121</v>
      </c>
      <c r="AN41">
        <v>102</v>
      </c>
      <c r="AO41">
        <v>250.3529411765</v>
      </c>
      <c r="AP41">
        <v>16</v>
      </c>
      <c r="AQ41">
        <v>534.4375</v>
      </c>
      <c r="AR41">
        <v>18</v>
      </c>
      <c r="AS41">
        <v>293.3333333333</v>
      </c>
      <c r="AT41">
        <v>1</v>
      </c>
      <c r="AU41">
        <v>61</v>
      </c>
    </row>
    <row r="42" spans="6:49" x14ac:dyDescent="0.2">
      <c r="F42" t="s">
        <v>52</v>
      </c>
      <c r="G42">
        <v>4267</v>
      </c>
      <c r="H42">
        <v>2699</v>
      </c>
      <c r="I42">
        <v>317.39829566510002</v>
      </c>
      <c r="J42">
        <v>276</v>
      </c>
      <c r="K42">
        <v>616.51811594200001</v>
      </c>
      <c r="L42">
        <v>1009</v>
      </c>
      <c r="M42">
        <v>403.91476709609998</v>
      </c>
      <c r="N42">
        <v>549</v>
      </c>
      <c r="O42">
        <v>617.70673952640004</v>
      </c>
      <c r="R42">
        <v>10</v>
      </c>
      <c r="S42">
        <v>782.6</v>
      </c>
      <c r="V42" t="s">
        <v>413</v>
      </c>
      <c r="W42">
        <v>5964</v>
      </c>
      <c r="X42">
        <v>3000</v>
      </c>
      <c r="Y42">
        <v>247.98400000000001</v>
      </c>
      <c r="Z42">
        <v>246</v>
      </c>
      <c r="AA42">
        <v>563.75203252029996</v>
      </c>
      <c r="AB42">
        <v>2283</v>
      </c>
      <c r="AC42">
        <v>673.71747700389994</v>
      </c>
      <c r="AD42">
        <v>368</v>
      </c>
      <c r="AE42">
        <v>413.36413043480002</v>
      </c>
      <c r="AF42">
        <v>305</v>
      </c>
      <c r="AG42">
        <v>174.3868852459</v>
      </c>
      <c r="AH42">
        <v>8</v>
      </c>
      <c r="AI42">
        <v>200</v>
      </c>
      <c r="AL42" t="s">
        <v>413</v>
      </c>
      <c r="AM42">
        <v>40</v>
      </c>
      <c r="AN42">
        <v>29</v>
      </c>
      <c r="AO42">
        <v>98.862068965500001</v>
      </c>
      <c r="AP42">
        <v>25</v>
      </c>
      <c r="AQ42">
        <v>242.36</v>
      </c>
      <c r="AR42">
        <v>8</v>
      </c>
      <c r="AS42">
        <v>260</v>
      </c>
      <c r="AT42">
        <v>3</v>
      </c>
      <c r="AU42">
        <v>96.666666666699996</v>
      </c>
    </row>
    <row r="43" spans="6:49" x14ac:dyDescent="0.2">
      <c r="F43" t="s">
        <v>39</v>
      </c>
      <c r="G43">
        <v>317</v>
      </c>
      <c r="H43">
        <v>256</v>
      </c>
      <c r="I43">
        <v>288.21875</v>
      </c>
      <c r="J43">
        <v>24</v>
      </c>
      <c r="K43">
        <v>567.20833333329995</v>
      </c>
      <c r="L43">
        <v>18</v>
      </c>
      <c r="M43">
        <v>484.6111111111</v>
      </c>
      <c r="N43">
        <v>43</v>
      </c>
      <c r="O43">
        <v>361.37209302330001</v>
      </c>
      <c r="V43" t="s">
        <v>422</v>
      </c>
      <c r="W43">
        <v>4315</v>
      </c>
      <c r="X43">
        <v>2325</v>
      </c>
      <c r="Y43">
        <v>184.4959139785</v>
      </c>
      <c r="Z43">
        <v>596</v>
      </c>
      <c r="AA43">
        <v>304.55201342279997</v>
      </c>
      <c r="AB43">
        <v>1069</v>
      </c>
      <c r="AC43">
        <v>280.52666043030001</v>
      </c>
      <c r="AD43">
        <v>555</v>
      </c>
      <c r="AE43">
        <v>278.50090090089998</v>
      </c>
      <c r="AF43">
        <v>355</v>
      </c>
      <c r="AG43">
        <v>184.0845070423</v>
      </c>
      <c r="AH43">
        <v>11</v>
      </c>
      <c r="AI43">
        <v>217.36363636359999</v>
      </c>
      <c r="AL43" t="s">
        <v>422</v>
      </c>
      <c r="AM43">
        <v>74</v>
      </c>
      <c r="AN43">
        <v>54</v>
      </c>
      <c r="AO43">
        <v>153.9074074074</v>
      </c>
      <c r="AP43">
        <v>45</v>
      </c>
      <c r="AQ43">
        <v>224.6</v>
      </c>
      <c r="AR43">
        <v>19</v>
      </c>
      <c r="AS43">
        <v>97.263157894700001</v>
      </c>
      <c r="AV43">
        <v>1</v>
      </c>
      <c r="AW43">
        <v>17</v>
      </c>
    </row>
    <row r="44" spans="6:49" x14ac:dyDescent="0.2">
      <c r="F44" t="s">
        <v>27</v>
      </c>
      <c r="G44">
        <v>3902</v>
      </c>
      <c r="H44">
        <v>2260</v>
      </c>
      <c r="I44">
        <v>172.63053097349999</v>
      </c>
      <c r="J44">
        <v>600</v>
      </c>
      <c r="K44">
        <v>294.4583333333</v>
      </c>
      <c r="L44">
        <v>1065</v>
      </c>
      <c r="M44">
        <v>278.39436619719999</v>
      </c>
      <c r="N44">
        <v>566</v>
      </c>
      <c r="O44">
        <v>271.95229681979998</v>
      </c>
      <c r="R44">
        <v>11</v>
      </c>
      <c r="S44">
        <v>217.36363636359999</v>
      </c>
      <c r="V44" t="s">
        <v>397</v>
      </c>
      <c r="W44">
        <v>5977</v>
      </c>
      <c r="X44">
        <v>4831</v>
      </c>
      <c r="Y44">
        <v>422.00683088390002</v>
      </c>
      <c r="Z44">
        <v>389</v>
      </c>
      <c r="AA44">
        <v>792.69408740359995</v>
      </c>
      <c r="AB44">
        <v>550</v>
      </c>
      <c r="AC44">
        <v>507.36909090910001</v>
      </c>
      <c r="AD44">
        <v>350</v>
      </c>
      <c r="AE44">
        <v>418.82857142860001</v>
      </c>
      <c r="AF44">
        <v>229</v>
      </c>
      <c r="AG44">
        <v>177.9737991266</v>
      </c>
      <c r="AH44">
        <v>17</v>
      </c>
      <c r="AI44">
        <v>337.8823529412</v>
      </c>
      <c r="AL44" t="s">
        <v>397</v>
      </c>
      <c r="AM44">
        <v>141</v>
      </c>
      <c r="AN44">
        <v>121</v>
      </c>
      <c r="AO44">
        <v>328.08264462810001</v>
      </c>
      <c r="AP44">
        <v>28</v>
      </c>
      <c r="AQ44">
        <v>675.64285714289997</v>
      </c>
      <c r="AR44">
        <v>20</v>
      </c>
      <c r="AS44">
        <v>205.35</v>
      </c>
    </row>
    <row r="45" spans="6:49" x14ac:dyDescent="0.2">
      <c r="F45" t="s">
        <v>54</v>
      </c>
      <c r="G45">
        <v>5190</v>
      </c>
      <c r="H45">
        <v>4174</v>
      </c>
      <c r="I45">
        <v>480.16890273119998</v>
      </c>
      <c r="J45">
        <v>176</v>
      </c>
      <c r="K45">
        <v>942.50568181819995</v>
      </c>
      <c r="L45">
        <v>548</v>
      </c>
      <c r="M45">
        <v>307.42335766420001</v>
      </c>
      <c r="N45">
        <v>462</v>
      </c>
      <c r="O45">
        <v>637.2337662338</v>
      </c>
      <c r="R45">
        <v>6</v>
      </c>
      <c r="S45">
        <v>738.66666666670005</v>
      </c>
      <c r="V45" t="s">
        <v>399</v>
      </c>
      <c r="W45">
        <v>4557</v>
      </c>
      <c r="X45">
        <v>2766</v>
      </c>
      <c r="Y45">
        <v>325.62942877799998</v>
      </c>
      <c r="Z45">
        <v>280</v>
      </c>
      <c r="AA45">
        <v>616.64642857139995</v>
      </c>
      <c r="AB45">
        <v>1013</v>
      </c>
      <c r="AC45">
        <v>416.1026653504</v>
      </c>
      <c r="AD45">
        <v>554</v>
      </c>
      <c r="AE45">
        <v>619.8357400722</v>
      </c>
      <c r="AF45">
        <v>214</v>
      </c>
      <c r="AG45">
        <v>193.84579439250001</v>
      </c>
      <c r="AH45">
        <v>10</v>
      </c>
      <c r="AI45">
        <v>782.6</v>
      </c>
      <c r="AL45" t="s">
        <v>399</v>
      </c>
      <c r="AM45">
        <v>115</v>
      </c>
      <c r="AN45">
        <v>95</v>
      </c>
      <c r="AO45">
        <v>273.1473684211</v>
      </c>
      <c r="AP45">
        <v>15</v>
      </c>
      <c r="AQ45">
        <v>500.13333333330002</v>
      </c>
      <c r="AR45">
        <v>19</v>
      </c>
      <c r="AS45">
        <v>365.52631578950002</v>
      </c>
      <c r="AT45">
        <v>1</v>
      </c>
      <c r="AU45">
        <v>379</v>
      </c>
    </row>
    <row r="46" spans="6:49" x14ac:dyDescent="0.2">
      <c r="F46" t="s">
        <v>62</v>
      </c>
      <c r="G46">
        <v>5780</v>
      </c>
      <c r="H46">
        <v>4863</v>
      </c>
      <c r="I46">
        <v>422.47008019740002</v>
      </c>
      <c r="J46">
        <v>388</v>
      </c>
      <c r="K46">
        <v>800.53350515459999</v>
      </c>
      <c r="L46">
        <v>542</v>
      </c>
      <c r="M46">
        <v>491.61254612549999</v>
      </c>
      <c r="N46">
        <v>360</v>
      </c>
      <c r="O46">
        <v>419.21111111110002</v>
      </c>
      <c r="R46">
        <v>15</v>
      </c>
      <c r="S46">
        <v>240.8</v>
      </c>
      <c r="V46" t="s">
        <v>395</v>
      </c>
      <c r="W46">
        <v>66840</v>
      </c>
      <c r="X46">
        <v>45252</v>
      </c>
      <c r="Y46">
        <v>417.9051975603</v>
      </c>
      <c r="Z46">
        <v>4112</v>
      </c>
      <c r="AA46">
        <v>603.30739299610002</v>
      </c>
      <c r="AB46">
        <v>13793</v>
      </c>
      <c r="AC46">
        <v>643.75516566370004</v>
      </c>
      <c r="AD46">
        <v>4868</v>
      </c>
      <c r="AE46">
        <v>518.31922760889995</v>
      </c>
      <c r="AF46">
        <v>2812</v>
      </c>
      <c r="AG46">
        <v>192.969772404</v>
      </c>
      <c r="AH46">
        <v>115</v>
      </c>
      <c r="AI46">
        <v>416.26956521739999</v>
      </c>
      <c r="AL46" t="s">
        <v>395</v>
      </c>
      <c r="AM46">
        <v>793</v>
      </c>
      <c r="AN46">
        <v>600</v>
      </c>
      <c r="AO46">
        <v>228.12833333329999</v>
      </c>
      <c r="AP46">
        <v>366</v>
      </c>
      <c r="AQ46">
        <v>307.49180327869999</v>
      </c>
      <c r="AR46">
        <v>168</v>
      </c>
      <c r="AS46">
        <v>228.05357142860001</v>
      </c>
      <c r="AT46">
        <v>21</v>
      </c>
      <c r="AU46">
        <v>242.57142857139999</v>
      </c>
      <c r="AV46">
        <v>4</v>
      </c>
      <c r="AW46">
        <v>543.25</v>
      </c>
    </row>
    <row r="47" spans="6:49" x14ac:dyDescent="0.2">
      <c r="F47" t="s">
        <v>187</v>
      </c>
      <c r="G47">
        <v>249</v>
      </c>
      <c r="H47">
        <v>96</v>
      </c>
      <c r="I47">
        <v>157.9895833333</v>
      </c>
      <c r="J47">
        <v>131</v>
      </c>
      <c r="K47">
        <v>231.38931297709999</v>
      </c>
      <c r="L47">
        <v>94</v>
      </c>
      <c r="M47">
        <v>297.8723404255</v>
      </c>
      <c r="N47">
        <v>59</v>
      </c>
      <c r="O47">
        <v>359.08474576269998</v>
      </c>
      <c r="V47" t="s">
        <v>426</v>
      </c>
      <c r="W47">
        <v>428</v>
      </c>
      <c r="X47">
        <v>265</v>
      </c>
      <c r="Y47">
        <v>282.0528301887</v>
      </c>
      <c r="Z47">
        <v>60</v>
      </c>
      <c r="AA47">
        <v>435.46666666670001</v>
      </c>
      <c r="AB47">
        <v>60</v>
      </c>
      <c r="AC47">
        <v>468.18333333330003</v>
      </c>
      <c r="AD47">
        <v>69</v>
      </c>
      <c r="AE47">
        <v>315.49275362319997</v>
      </c>
      <c r="AF47">
        <v>33</v>
      </c>
      <c r="AG47">
        <v>163.36363636359999</v>
      </c>
      <c r="AH47">
        <v>1</v>
      </c>
      <c r="AI47">
        <v>192</v>
      </c>
      <c r="AL47" t="s">
        <v>426</v>
      </c>
      <c r="AM47">
        <v>24</v>
      </c>
      <c r="AN47">
        <v>21</v>
      </c>
      <c r="AO47">
        <v>216.19047619049999</v>
      </c>
      <c r="AP47">
        <v>8</v>
      </c>
      <c r="AQ47">
        <v>288.375</v>
      </c>
      <c r="AR47">
        <v>1</v>
      </c>
      <c r="AS47">
        <v>80</v>
      </c>
      <c r="AT47">
        <v>2</v>
      </c>
      <c r="AU47">
        <v>146</v>
      </c>
    </row>
    <row r="48" spans="6:49" x14ac:dyDescent="0.2">
      <c r="F48" t="s">
        <v>73</v>
      </c>
      <c r="G48">
        <v>413</v>
      </c>
      <c r="H48">
        <v>229</v>
      </c>
      <c r="I48">
        <v>116.0698689956</v>
      </c>
      <c r="J48">
        <v>233</v>
      </c>
      <c r="K48">
        <v>221.6223175966</v>
      </c>
      <c r="L48">
        <v>79</v>
      </c>
      <c r="M48">
        <v>153.53164556959999</v>
      </c>
      <c r="N48">
        <v>94</v>
      </c>
      <c r="O48">
        <v>186.42553191490001</v>
      </c>
      <c r="R48">
        <v>11</v>
      </c>
      <c r="S48">
        <v>267.8181818182</v>
      </c>
      <c r="V48" t="s">
        <v>427</v>
      </c>
      <c r="W48">
        <v>203</v>
      </c>
      <c r="X48">
        <v>120</v>
      </c>
      <c r="Y48">
        <v>210.74166666670001</v>
      </c>
      <c r="Z48">
        <v>24</v>
      </c>
      <c r="AA48">
        <v>271.0416666667</v>
      </c>
      <c r="AB48">
        <v>27</v>
      </c>
      <c r="AC48">
        <v>318.44444444440001</v>
      </c>
      <c r="AD48">
        <v>30</v>
      </c>
      <c r="AE48">
        <v>345.36666666669998</v>
      </c>
      <c r="AF48">
        <v>26</v>
      </c>
      <c r="AG48">
        <v>142.3461538462</v>
      </c>
      <c r="AL48" t="s">
        <v>427</v>
      </c>
      <c r="AM48">
        <v>6</v>
      </c>
      <c r="AN48">
        <v>5</v>
      </c>
      <c r="AO48">
        <v>188.4</v>
      </c>
      <c r="AT48">
        <v>1</v>
      </c>
      <c r="AU48">
        <v>443</v>
      </c>
    </row>
    <row r="49" spans="6:51" x14ac:dyDescent="0.2">
      <c r="F49" t="s">
        <v>395</v>
      </c>
      <c r="G49">
        <v>64264</v>
      </c>
      <c r="H49">
        <v>45421</v>
      </c>
      <c r="I49">
        <v>417.90484577619998</v>
      </c>
      <c r="J49">
        <v>4113</v>
      </c>
      <c r="K49">
        <v>602.5205446146</v>
      </c>
      <c r="L49">
        <v>13864</v>
      </c>
      <c r="M49">
        <v>644.51997980379997</v>
      </c>
      <c r="N49">
        <v>4866</v>
      </c>
      <c r="O49">
        <v>518.92334566379998</v>
      </c>
      <c r="R49">
        <v>113</v>
      </c>
      <c r="S49">
        <v>415.38938053099997</v>
      </c>
      <c r="V49" t="s">
        <v>433</v>
      </c>
      <c r="W49">
        <v>499</v>
      </c>
      <c r="X49">
        <v>295</v>
      </c>
      <c r="Y49">
        <v>397.41016949150003</v>
      </c>
      <c r="Z49">
        <v>57</v>
      </c>
      <c r="AA49">
        <v>601.42105263159999</v>
      </c>
      <c r="AB49">
        <v>116</v>
      </c>
      <c r="AC49">
        <v>461.57758620689998</v>
      </c>
      <c r="AD49">
        <v>61</v>
      </c>
      <c r="AE49">
        <v>573.63934426230003</v>
      </c>
      <c r="AF49">
        <v>26</v>
      </c>
      <c r="AG49">
        <v>122.69230769230001</v>
      </c>
      <c r="AH49">
        <v>1</v>
      </c>
      <c r="AI49">
        <v>81</v>
      </c>
      <c r="AL49" t="s">
        <v>433</v>
      </c>
      <c r="AM49">
        <v>19</v>
      </c>
      <c r="AN49">
        <v>14</v>
      </c>
      <c r="AO49">
        <v>242.6428571429</v>
      </c>
      <c r="AP49">
        <v>5</v>
      </c>
      <c r="AQ49">
        <v>293.2</v>
      </c>
      <c r="AR49">
        <v>1</v>
      </c>
      <c r="AS49">
        <v>135</v>
      </c>
      <c r="AT49">
        <v>3</v>
      </c>
      <c r="AU49">
        <v>369.6666666667</v>
      </c>
      <c r="AX49">
        <v>1</v>
      </c>
      <c r="AY49">
        <v>257</v>
      </c>
    </row>
    <row r="50" spans="6:51" x14ac:dyDescent="0.2">
      <c r="F50" t="s">
        <v>220</v>
      </c>
      <c r="G50">
        <v>1075</v>
      </c>
      <c r="H50">
        <v>741</v>
      </c>
      <c r="I50">
        <v>140.86909581649999</v>
      </c>
      <c r="J50">
        <v>744</v>
      </c>
      <c r="K50">
        <v>252.73655913979999</v>
      </c>
      <c r="L50">
        <v>271</v>
      </c>
      <c r="M50">
        <v>186.6346863469</v>
      </c>
      <c r="N50">
        <v>63</v>
      </c>
      <c r="O50">
        <v>180.71428571429999</v>
      </c>
      <c r="V50" t="s">
        <v>386</v>
      </c>
      <c r="W50">
        <v>5277</v>
      </c>
      <c r="X50">
        <v>3915</v>
      </c>
      <c r="Y50">
        <v>553.66641123880004</v>
      </c>
      <c r="Z50">
        <v>280</v>
      </c>
      <c r="AA50">
        <v>1096.5535714286</v>
      </c>
      <c r="AB50">
        <v>1039</v>
      </c>
      <c r="AC50">
        <v>824.36188642929994</v>
      </c>
      <c r="AD50">
        <v>232</v>
      </c>
      <c r="AE50">
        <v>638.52586206900003</v>
      </c>
      <c r="AF50">
        <v>88</v>
      </c>
      <c r="AG50">
        <v>175.9318181818</v>
      </c>
      <c r="AH50">
        <v>3</v>
      </c>
      <c r="AI50">
        <v>540</v>
      </c>
      <c r="AL50" t="s">
        <v>386</v>
      </c>
      <c r="AM50">
        <v>80</v>
      </c>
      <c r="AN50">
        <v>61</v>
      </c>
      <c r="AO50">
        <v>203.5245901639</v>
      </c>
      <c r="AP50">
        <v>16</v>
      </c>
      <c r="AQ50">
        <v>466.75</v>
      </c>
      <c r="AR50">
        <v>16</v>
      </c>
      <c r="AS50">
        <v>366.25</v>
      </c>
      <c r="AT50">
        <v>3</v>
      </c>
      <c r="AU50">
        <v>129.6666666667</v>
      </c>
    </row>
    <row r="51" spans="6:51" x14ac:dyDescent="0.2">
      <c r="F51" t="s">
        <v>217</v>
      </c>
      <c r="G51">
        <v>1969</v>
      </c>
      <c r="H51">
        <v>1621</v>
      </c>
      <c r="I51">
        <v>291.78716841459999</v>
      </c>
      <c r="J51">
        <v>256</v>
      </c>
      <c r="K51">
        <v>564.57421875</v>
      </c>
      <c r="L51">
        <v>318</v>
      </c>
      <c r="M51">
        <v>338.18238993710003</v>
      </c>
      <c r="N51">
        <v>30</v>
      </c>
      <c r="O51">
        <v>156.19999999999999</v>
      </c>
      <c r="V51" t="s">
        <v>63</v>
      </c>
      <c r="W51">
        <v>5472</v>
      </c>
      <c r="X51">
        <v>3639</v>
      </c>
      <c r="Y51">
        <v>279.42676559490002</v>
      </c>
      <c r="Z51">
        <v>709</v>
      </c>
      <c r="AA51">
        <v>463.44146685470002</v>
      </c>
      <c r="AB51">
        <v>932</v>
      </c>
      <c r="AC51">
        <v>299.37875536479999</v>
      </c>
      <c r="AD51">
        <v>584</v>
      </c>
      <c r="AE51">
        <v>596.51541095890002</v>
      </c>
      <c r="AF51">
        <v>282</v>
      </c>
      <c r="AG51">
        <v>193.95390070920001</v>
      </c>
      <c r="AH51">
        <v>35</v>
      </c>
      <c r="AI51">
        <v>586.48571428570006</v>
      </c>
      <c r="AL51" t="s">
        <v>63</v>
      </c>
      <c r="AM51">
        <v>257</v>
      </c>
      <c r="AN51">
        <v>212</v>
      </c>
      <c r="AO51">
        <v>278.33490566040001</v>
      </c>
      <c r="AP51">
        <v>49</v>
      </c>
      <c r="AQ51">
        <v>327.18367346939999</v>
      </c>
      <c r="AR51">
        <v>39</v>
      </c>
      <c r="AS51">
        <v>254.58974358969999</v>
      </c>
      <c r="AT51">
        <v>5</v>
      </c>
      <c r="AU51">
        <v>164</v>
      </c>
      <c r="AV51">
        <v>1</v>
      </c>
      <c r="AW51">
        <v>1657</v>
      </c>
    </row>
    <row r="52" spans="6:51" x14ac:dyDescent="0.2">
      <c r="F52" t="s">
        <v>218</v>
      </c>
      <c r="G52">
        <v>2592</v>
      </c>
      <c r="H52">
        <v>2170</v>
      </c>
      <c r="I52">
        <v>254.01981566820001</v>
      </c>
      <c r="J52">
        <v>478</v>
      </c>
      <c r="K52">
        <v>347.80753138080001</v>
      </c>
      <c r="L52">
        <v>319</v>
      </c>
      <c r="M52">
        <v>255.31347962379999</v>
      </c>
      <c r="N52">
        <v>102</v>
      </c>
      <c r="O52">
        <v>189.3137254902</v>
      </c>
      <c r="R52">
        <v>1</v>
      </c>
      <c r="S52">
        <v>257</v>
      </c>
      <c r="V52" t="s">
        <v>388</v>
      </c>
      <c r="W52">
        <v>13940</v>
      </c>
      <c r="X52">
        <v>9090</v>
      </c>
      <c r="Y52">
        <v>350.799559956</v>
      </c>
      <c r="Z52">
        <v>476</v>
      </c>
      <c r="AA52">
        <v>756.29411764710005</v>
      </c>
      <c r="AB52">
        <v>3789</v>
      </c>
      <c r="AC52">
        <v>774.178939034</v>
      </c>
      <c r="AD52">
        <v>715</v>
      </c>
      <c r="AE52">
        <v>528.2825174825</v>
      </c>
      <c r="AF52">
        <v>341</v>
      </c>
      <c r="AG52">
        <v>172.00293255130001</v>
      </c>
      <c r="AH52">
        <v>5</v>
      </c>
      <c r="AI52">
        <v>81.400000000000006</v>
      </c>
      <c r="AL52" t="s">
        <v>388</v>
      </c>
      <c r="AM52">
        <v>169</v>
      </c>
      <c r="AN52">
        <v>135</v>
      </c>
      <c r="AO52">
        <v>235.86666666670001</v>
      </c>
      <c r="AP52">
        <v>28</v>
      </c>
      <c r="AQ52">
        <v>274.60714285709997</v>
      </c>
      <c r="AR52">
        <v>26</v>
      </c>
      <c r="AS52">
        <v>273.30769230769999</v>
      </c>
      <c r="AT52">
        <v>8</v>
      </c>
      <c r="AU52">
        <v>187.25</v>
      </c>
    </row>
    <row r="53" spans="6:51" x14ac:dyDescent="0.2">
      <c r="F53" t="s">
        <v>472</v>
      </c>
      <c r="G53">
        <v>5636</v>
      </c>
      <c r="H53">
        <v>4532</v>
      </c>
      <c r="I53">
        <v>249.02780229480001</v>
      </c>
      <c r="J53">
        <v>1478</v>
      </c>
      <c r="K53">
        <v>337.49594046009997</v>
      </c>
      <c r="L53">
        <v>908</v>
      </c>
      <c r="M53">
        <v>263.83810572689998</v>
      </c>
      <c r="N53">
        <v>195</v>
      </c>
      <c r="O53">
        <v>181.44102564100001</v>
      </c>
      <c r="R53">
        <v>1</v>
      </c>
      <c r="S53">
        <v>257</v>
      </c>
      <c r="V53" t="s">
        <v>384</v>
      </c>
      <c r="W53">
        <v>4060</v>
      </c>
      <c r="X53">
        <v>2832</v>
      </c>
      <c r="Y53">
        <v>344.40254237289997</v>
      </c>
      <c r="Z53">
        <v>330</v>
      </c>
      <c r="AA53">
        <v>488.65151515150001</v>
      </c>
      <c r="AB53">
        <v>526</v>
      </c>
      <c r="AC53">
        <v>340.26615969580001</v>
      </c>
      <c r="AD53">
        <v>496</v>
      </c>
      <c r="AE53">
        <v>453.71774193549999</v>
      </c>
      <c r="AF53">
        <v>201</v>
      </c>
      <c r="AG53">
        <v>200.74129353230001</v>
      </c>
      <c r="AH53">
        <v>5</v>
      </c>
      <c r="AI53">
        <v>436.2</v>
      </c>
      <c r="AL53" t="s">
        <v>384</v>
      </c>
      <c r="AM53">
        <v>173</v>
      </c>
      <c r="AN53">
        <v>140</v>
      </c>
      <c r="AO53">
        <v>221.05714285709999</v>
      </c>
      <c r="AP53">
        <v>30</v>
      </c>
      <c r="AQ53">
        <v>265.46666666670001</v>
      </c>
      <c r="AR53">
        <v>24</v>
      </c>
      <c r="AS53">
        <v>201.7916666667</v>
      </c>
      <c r="AT53">
        <v>7</v>
      </c>
      <c r="AU53">
        <v>196.71428571429999</v>
      </c>
      <c r="AV53">
        <v>2</v>
      </c>
      <c r="AW53">
        <v>993.5</v>
      </c>
    </row>
    <row r="54" spans="6:51" x14ac:dyDescent="0.2">
      <c r="F54" t="s">
        <v>81</v>
      </c>
      <c r="G54">
        <v>352</v>
      </c>
      <c r="H54">
        <v>247</v>
      </c>
      <c r="I54">
        <v>220.51012145749999</v>
      </c>
      <c r="J54">
        <v>56</v>
      </c>
      <c r="K54">
        <v>401.94642857140002</v>
      </c>
      <c r="L54">
        <v>43</v>
      </c>
      <c r="M54">
        <v>372.18604651160001</v>
      </c>
      <c r="N54">
        <v>61</v>
      </c>
      <c r="O54">
        <v>261.1639344262</v>
      </c>
      <c r="R54">
        <v>1</v>
      </c>
      <c r="S54">
        <v>192</v>
      </c>
      <c r="V54" t="s">
        <v>383</v>
      </c>
      <c r="W54">
        <v>958</v>
      </c>
      <c r="X54">
        <v>494</v>
      </c>
      <c r="Y54">
        <v>199.36032388660001</v>
      </c>
      <c r="Z54">
        <v>229</v>
      </c>
      <c r="AA54">
        <v>337.69868995629997</v>
      </c>
      <c r="AB54">
        <v>209</v>
      </c>
      <c r="AC54">
        <v>266.04784689000002</v>
      </c>
      <c r="AD54">
        <v>145</v>
      </c>
      <c r="AE54">
        <v>293.86206896549999</v>
      </c>
      <c r="AF54">
        <v>109</v>
      </c>
      <c r="AG54">
        <v>200.55963302750001</v>
      </c>
      <c r="AH54">
        <v>1</v>
      </c>
      <c r="AI54">
        <v>85</v>
      </c>
      <c r="AL54" t="s">
        <v>383</v>
      </c>
      <c r="AM54">
        <v>57</v>
      </c>
      <c r="AN54">
        <v>53</v>
      </c>
      <c r="AO54">
        <v>223.77358490570001</v>
      </c>
      <c r="AP54">
        <v>3</v>
      </c>
      <c r="AQ54">
        <v>274.6666666667</v>
      </c>
      <c r="AR54">
        <v>4</v>
      </c>
      <c r="AS54">
        <v>153.25</v>
      </c>
    </row>
    <row r="55" spans="6:51" x14ac:dyDescent="0.2">
      <c r="F55" t="s">
        <v>38</v>
      </c>
      <c r="G55">
        <v>3394</v>
      </c>
      <c r="H55">
        <v>2273</v>
      </c>
      <c r="I55">
        <v>474.95116586009999</v>
      </c>
      <c r="J55">
        <v>349</v>
      </c>
      <c r="K55">
        <v>790.57306590259998</v>
      </c>
      <c r="L55">
        <v>807</v>
      </c>
      <c r="M55">
        <v>683.1325898389</v>
      </c>
      <c r="N55">
        <v>303</v>
      </c>
      <c r="O55">
        <v>697.32673267329994</v>
      </c>
      <c r="R55">
        <v>11</v>
      </c>
      <c r="S55">
        <v>95.181818181799997</v>
      </c>
      <c r="V55" t="s">
        <v>385</v>
      </c>
      <c r="W55">
        <v>6520</v>
      </c>
      <c r="X55">
        <v>4321</v>
      </c>
      <c r="Y55">
        <v>379.57741263600002</v>
      </c>
      <c r="Z55">
        <v>449</v>
      </c>
      <c r="AA55">
        <v>533.91982182629999</v>
      </c>
      <c r="AB55">
        <v>959</v>
      </c>
      <c r="AC55">
        <v>540.60479666319998</v>
      </c>
      <c r="AD55">
        <v>907</v>
      </c>
      <c r="AE55">
        <v>633.54355016540001</v>
      </c>
      <c r="AF55">
        <v>326</v>
      </c>
      <c r="AG55">
        <v>176.46319018400001</v>
      </c>
      <c r="AH55">
        <v>7</v>
      </c>
      <c r="AI55">
        <v>485.42857142859998</v>
      </c>
      <c r="AL55" t="s">
        <v>385</v>
      </c>
      <c r="AM55">
        <v>282</v>
      </c>
      <c r="AN55">
        <v>236</v>
      </c>
      <c r="AO55">
        <v>240.69915254239999</v>
      </c>
      <c r="AP55">
        <v>50</v>
      </c>
      <c r="AQ55">
        <v>338.62</v>
      </c>
      <c r="AR55">
        <v>29</v>
      </c>
      <c r="AS55">
        <v>295.62068965520001</v>
      </c>
      <c r="AT55">
        <v>15</v>
      </c>
      <c r="AU55">
        <v>232.13333333329999</v>
      </c>
      <c r="AV55">
        <v>2</v>
      </c>
      <c r="AW55">
        <v>288</v>
      </c>
    </row>
    <row r="56" spans="6:51" x14ac:dyDescent="0.2">
      <c r="F56" t="s">
        <v>64</v>
      </c>
      <c r="G56">
        <v>2661</v>
      </c>
      <c r="H56">
        <v>2093</v>
      </c>
      <c r="I56">
        <v>365.0205446727</v>
      </c>
      <c r="J56">
        <v>198</v>
      </c>
      <c r="K56">
        <v>547.37373737370001</v>
      </c>
      <c r="L56">
        <v>221</v>
      </c>
      <c r="M56">
        <v>103.82805429859999</v>
      </c>
      <c r="N56">
        <v>346</v>
      </c>
      <c r="O56">
        <v>380.7080924855</v>
      </c>
      <c r="R56">
        <v>1</v>
      </c>
      <c r="S56">
        <v>788</v>
      </c>
      <c r="V56" t="s">
        <v>382</v>
      </c>
      <c r="W56">
        <v>326</v>
      </c>
      <c r="X56">
        <v>129</v>
      </c>
      <c r="Y56">
        <v>131.1937984496</v>
      </c>
      <c r="Z56">
        <v>78</v>
      </c>
      <c r="AA56">
        <v>237.60256410260001</v>
      </c>
      <c r="AB56">
        <v>88</v>
      </c>
      <c r="AC56">
        <v>147.2272727273</v>
      </c>
      <c r="AD56">
        <v>41</v>
      </c>
      <c r="AE56">
        <v>204.65853658539999</v>
      </c>
      <c r="AF56">
        <v>63</v>
      </c>
      <c r="AG56">
        <v>145.57142857139999</v>
      </c>
      <c r="AH56">
        <v>5</v>
      </c>
      <c r="AI56">
        <v>129.4</v>
      </c>
      <c r="AL56" t="s">
        <v>382</v>
      </c>
      <c r="AM56">
        <v>22</v>
      </c>
      <c r="AN56">
        <v>16</v>
      </c>
      <c r="AO56">
        <v>261.75</v>
      </c>
      <c r="AP56">
        <v>3</v>
      </c>
      <c r="AQ56">
        <v>225</v>
      </c>
      <c r="AR56">
        <v>4</v>
      </c>
      <c r="AS56">
        <v>276.5</v>
      </c>
      <c r="AT56">
        <v>2</v>
      </c>
      <c r="AU56">
        <v>62.5</v>
      </c>
    </row>
    <row r="57" spans="6:51" x14ac:dyDescent="0.2">
      <c r="F57" t="s">
        <v>24</v>
      </c>
      <c r="G57">
        <v>1754</v>
      </c>
      <c r="H57">
        <v>1066</v>
      </c>
      <c r="I57">
        <v>226.6238273921</v>
      </c>
      <c r="J57">
        <v>350</v>
      </c>
      <c r="K57">
        <v>287.85142857139999</v>
      </c>
      <c r="L57">
        <v>496</v>
      </c>
      <c r="M57">
        <v>297.57258064519999</v>
      </c>
      <c r="N57">
        <v>179</v>
      </c>
      <c r="O57">
        <v>503.83798882679997</v>
      </c>
      <c r="R57">
        <v>13</v>
      </c>
      <c r="S57">
        <v>548.76923076920002</v>
      </c>
      <c r="V57" t="s">
        <v>381</v>
      </c>
      <c r="W57">
        <v>3489</v>
      </c>
      <c r="X57">
        <v>2112</v>
      </c>
      <c r="Y57">
        <v>473.2911931818</v>
      </c>
      <c r="Z57">
        <v>419</v>
      </c>
      <c r="AA57">
        <v>666.95226730310003</v>
      </c>
      <c r="AB57">
        <v>862</v>
      </c>
      <c r="AC57">
        <v>596.53944315549995</v>
      </c>
      <c r="AD57">
        <v>342</v>
      </c>
      <c r="AE57">
        <v>628.49415204679997</v>
      </c>
      <c r="AF57">
        <v>164</v>
      </c>
      <c r="AG57">
        <v>196.7256097561</v>
      </c>
      <c r="AH57">
        <v>9</v>
      </c>
      <c r="AI57">
        <v>98.666666666699996</v>
      </c>
      <c r="AL57" t="s">
        <v>381</v>
      </c>
      <c r="AM57">
        <v>121</v>
      </c>
      <c r="AN57">
        <v>102</v>
      </c>
      <c r="AO57">
        <v>288.42156862749999</v>
      </c>
      <c r="AP57">
        <v>25</v>
      </c>
      <c r="AQ57">
        <v>440.96</v>
      </c>
      <c r="AR57">
        <v>13</v>
      </c>
      <c r="AS57">
        <v>280.07692307690002</v>
      </c>
      <c r="AT57">
        <v>6</v>
      </c>
      <c r="AU57">
        <v>215</v>
      </c>
    </row>
    <row r="58" spans="6:51" x14ac:dyDescent="0.2">
      <c r="F58" t="s">
        <v>72</v>
      </c>
      <c r="G58">
        <v>14012</v>
      </c>
      <c r="H58">
        <v>9268</v>
      </c>
      <c r="I58">
        <v>342.8765645231</v>
      </c>
      <c r="J58">
        <v>486</v>
      </c>
      <c r="K58">
        <v>776.83539094649996</v>
      </c>
      <c r="L58">
        <v>4025</v>
      </c>
      <c r="M58">
        <v>786.59925465840001</v>
      </c>
      <c r="N58">
        <v>714</v>
      </c>
      <c r="O58">
        <v>524.637254902</v>
      </c>
      <c r="R58">
        <v>5</v>
      </c>
      <c r="S58">
        <v>81.400000000000006</v>
      </c>
      <c r="V58" t="s">
        <v>425</v>
      </c>
      <c r="W58">
        <v>709</v>
      </c>
      <c r="X58">
        <v>571</v>
      </c>
      <c r="Y58">
        <v>332.33274956219998</v>
      </c>
      <c r="Z58">
        <v>108</v>
      </c>
      <c r="AA58">
        <v>722.6296296296</v>
      </c>
      <c r="AB58">
        <v>56</v>
      </c>
      <c r="AC58">
        <v>215.5</v>
      </c>
      <c r="AD58">
        <v>43</v>
      </c>
      <c r="AE58">
        <v>399.76744186050001</v>
      </c>
      <c r="AF58">
        <v>39</v>
      </c>
      <c r="AG58">
        <v>225.56410256410001</v>
      </c>
      <c r="AL58" t="s">
        <v>425</v>
      </c>
      <c r="AM58">
        <v>18</v>
      </c>
      <c r="AN58">
        <v>16</v>
      </c>
      <c r="AO58">
        <v>297.5</v>
      </c>
      <c r="AP58">
        <v>4</v>
      </c>
      <c r="AQ58">
        <v>192.25</v>
      </c>
      <c r="AR58">
        <v>2</v>
      </c>
      <c r="AS58">
        <v>169.5</v>
      </c>
    </row>
    <row r="59" spans="6:51" x14ac:dyDescent="0.2">
      <c r="F59" t="s">
        <v>47</v>
      </c>
      <c r="G59">
        <v>787</v>
      </c>
      <c r="H59">
        <v>462</v>
      </c>
      <c r="I59">
        <v>170.96753246750001</v>
      </c>
      <c r="J59">
        <v>220</v>
      </c>
      <c r="K59">
        <v>328.35909090910002</v>
      </c>
      <c r="L59">
        <v>192</v>
      </c>
      <c r="M59">
        <v>228.578125</v>
      </c>
      <c r="N59">
        <v>132</v>
      </c>
      <c r="O59">
        <v>267.5</v>
      </c>
      <c r="R59">
        <v>1</v>
      </c>
      <c r="S59">
        <v>85</v>
      </c>
      <c r="V59" t="s">
        <v>389</v>
      </c>
      <c r="W59">
        <v>2364</v>
      </c>
      <c r="X59">
        <v>1524</v>
      </c>
      <c r="Y59">
        <v>353.44160104989999</v>
      </c>
      <c r="Z59">
        <v>333</v>
      </c>
      <c r="AA59">
        <v>468.15315315319998</v>
      </c>
      <c r="AB59">
        <v>205</v>
      </c>
      <c r="AC59">
        <v>262.86829268290001</v>
      </c>
      <c r="AD59">
        <v>479</v>
      </c>
      <c r="AE59">
        <v>454.17118997910001</v>
      </c>
      <c r="AF59">
        <v>153</v>
      </c>
      <c r="AG59">
        <v>177.614379085</v>
      </c>
      <c r="AH59">
        <v>3</v>
      </c>
      <c r="AI59">
        <v>511.6666666667</v>
      </c>
      <c r="AL59" t="s">
        <v>389</v>
      </c>
      <c r="AM59">
        <v>42</v>
      </c>
      <c r="AN59">
        <v>32</v>
      </c>
      <c r="AO59">
        <v>196.03125</v>
      </c>
      <c r="AP59">
        <v>9</v>
      </c>
      <c r="AQ59">
        <v>479.2222222222</v>
      </c>
      <c r="AR59">
        <v>7</v>
      </c>
      <c r="AS59">
        <v>168</v>
      </c>
      <c r="AT59">
        <v>3</v>
      </c>
      <c r="AU59">
        <v>118</v>
      </c>
    </row>
    <row r="60" spans="6:51" x14ac:dyDescent="0.2">
      <c r="F60" t="s">
        <v>63</v>
      </c>
      <c r="G60">
        <v>3385</v>
      </c>
      <c r="H60">
        <v>2517</v>
      </c>
      <c r="I60">
        <v>289.5935637664</v>
      </c>
      <c r="J60">
        <v>374</v>
      </c>
      <c r="K60">
        <v>638.81283422460001</v>
      </c>
      <c r="L60">
        <v>417</v>
      </c>
      <c r="M60">
        <v>278.60431654680002</v>
      </c>
      <c r="N60">
        <v>427</v>
      </c>
      <c r="O60">
        <v>630.05386416859994</v>
      </c>
      <c r="R60">
        <v>24</v>
      </c>
      <c r="S60">
        <v>587.41666666670005</v>
      </c>
      <c r="V60" t="s">
        <v>392</v>
      </c>
      <c r="W60">
        <v>10324</v>
      </c>
      <c r="X60">
        <v>7386</v>
      </c>
      <c r="Y60">
        <v>265.43392905500002</v>
      </c>
      <c r="Z60">
        <v>883</v>
      </c>
      <c r="AA60">
        <v>496.84937712340002</v>
      </c>
      <c r="AB60">
        <v>1349</v>
      </c>
      <c r="AC60">
        <v>231.47071905109999</v>
      </c>
      <c r="AD60">
        <v>959</v>
      </c>
      <c r="AE60">
        <v>377.98644421270001</v>
      </c>
      <c r="AF60">
        <v>617</v>
      </c>
      <c r="AG60">
        <v>160.66288492710001</v>
      </c>
      <c r="AH60">
        <v>13</v>
      </c>
      <c r="AI60">
        <v>284.07692307690002</v>
      </c>
      <c r="AL60" t="s">
        <v>392</v>
      </c>
      <c r="AM60">
        <v>224</v>
      </c>
      <c r="AN60">
        <v>194</v>
      </c>
      <c r="AO60">
        <v>226.84536082470001</v>
      </c>
      <c r="AP60">
        <v>29</v>
      </c>
      <c r="AQ60">
        <v>295.75862068970002</v>
      </c>
      <c r="AR60">
        <v>18</v>
      </c>
      <c r="AS60">
        <v>218.1666666667</v>
      </c>
      <c r="AT60">
        <v>10</v>
      </c>
      <c r="AU60">
        <v>216.1</v>
      </c>
      <c r="AV60">
        <v>2</v>
      </c>
      <c r="AW60">
        <v>216</v>
      </c>
    </row>
    <row r="61" spans="6:51" x14ac:dyDescent="0.2">
      <c r="F61" t="s">
        <v>36</v>
      </c>
      <c r="G61">
        <v>5403</v>
      </c>
      <c r="H61">
        <v>4067</v>
      </c>
      <c r="I61">
        <v>573.4209491025</v>
      </c>
      <c r="J61">
        <v>296</v>
      </c>
      <c r="K61">
        <v>1136.1824324324</v>
      </c>
      <c r="L61">
        <v>1084</v>
      </c>
      <c r="M61">
        <v>835.37453874539995</v>
      </c>
      <c r="N61">
        <v>248</v>
      </c>
      <c r="O61">
        <v>679.6088709677</v>
      </c>
      <c r="R61">
        <v>4</v>
      </c>
      <c r="S61">
        <v>602.75</v>
      </c>
      <c r="V61" t="s">
        <v>424</v>
      </c>
      <c r="W61">
        <v>562</v>
      </c>
      <c r="X61">
        <v>342</v>
      </c>
      <c r="Y61">
        <v>356.20467836260002</v>
      </c>
      <c r="Z61">
        <v>22</v>
      </c>
      <c r="AA61">
        <v>1098.3636363636001</v>
      </c>
      <c r="AB61">
        <v>171</v>
      </c>
      <c r="AC61">
        <v>894.01169590639995</v>
      </c>
      <c r="AD61">
        <v>35</v>
      </c>
      <c r="AE61">
        <v>544.08571428569996</v>
      </c>
      <c r="AF61">
        <v>14</v>
      </c>
      <c r="AG61">
        <v>186.07142857139999</v>
      </c>
      <c r="AL61" t="s">
        <v>424</v>
      </c>
      <c r="AM61">
        <v>10</v>
      </c>
      <c r="AN61">
        <v>10</v>
      </c>
      <c r="AO61">
        <v>172.7</v>
      </c>
      <c r="AP61">
        <v>1</v>
      </c>
      <c r="AQ61">
        <v>164</v>
      </c>
    </row>
    <row r="62" spans="6:51" x14ac:dyDescent="0.2">
      <c r="F62" t="s">
        <v>50</v>
      </c>
      <c r="G62">
        <v>2008</v>
      </c>
      <c r="H62">
        <v>1378</v>
      </c>
      <c r="I62">
        <v>330.37010159649998</v>
      </c>
      <c r="J62">
        <v>337</v>
      </c>
      <c r="K62">
        <v>472.46290801190003</v>
      </c>
      <c r="L62">
        <v>175</v>
      </c>
      <c r="M62">
        <v>159.44571428570001</v>
      </c>
      <c r="N62">
        <v>452</v>
      </c>
      <c r="O62">
        <v>421.94026548670001</v>
      </c>
      <c r="R62">
        <v>3</v>
      </c>
      <c r="S62">
        <v>511.6666666667</v>
      </c>
      <c r="V62" t="s">
        <v>379</v>
      </c>
      <c r="W62">
        <v>55131</v>
      </c>
      <c r="X62">
        <v>37035</v>
      </c>
      <c r="Y62">
        <v>354.57540164710002</v>
      </c>
      <c r="Z62">
        <v>4457</v>
      </c>
      <c r="AA62">
        <v>568.91406775860003</v>
      </c>
      <c r="AB62">
        <v>10388</v>
      </c>
      <c r="AC62">
        <v>574.74123989220004</v>
      </c>
      <c r="AD62">
        <v>5138</v>
      </c>
      <c r="AE62">
        <v>510.55488516930001</v>
      </c>
      <c r="AF62">
        <v>2482</v>
      </c>
      <c r="AG62">
        <v>177.27195809829999</v>
      </c>
      <c r="AH62">
        <v>88</v>
      </c>
      <c r="AI62">
        <v>400.61363636359999</v>
      </c>
      <c r="AL62" t="s">
        <v>379</v>
      </c>
      <c r="AM62">
        <v>1504</v>
      </c>
      <c r="AN62">
        <v>1247</v>
      </c>
      <c r="AO62">
        <v>242.28628708900001</v>
      </c>
      <c r="AP62">
        <v>260</v>
      </c>
      <c r="AQ62">
        <v>331.55</v>
      </c>
      <c r="AR62">
        <v>184</v>
      </c>
      <c r="AS62">
        <v>257.21739130430001</v>
      </c>
      <c r="AT62">
        <v>65</v>
      </c>
      <c r="AU62">
        <v>205.23076923080001</v>
      </c>
      <c r="AV62">
        <v>7</v>
      </c>
      <c r="AW62">
        <v>664.57142857140002</v>
      </c>
      <c r="AX62">
        <v>1</v>
      </c>
      <c r="AY62">
        <v>257</v>
      </c>
    </row>
    <row r="63" spans="6:51" x14ac:dyDescent="0.2">
      <c r="F63" t="s">
        <v>57</v>
      </c>
      <c r="G63">
        <v>638</v>
      </c>
      <c r="H63">
        <v>542</v>
      </c>
      <c r="I63">
        <v>326.00184501849998</v>
      </c>
      <c r="J63">
        <v>104</v>
      </c>
      <c r="K63">
        <v>743.90384615380003</v>
      </c>
      <c r="L63">
        <v>51</v>
      </c>
      <c r="M63">
        <v>85.176470588200004</v>
      </c>
      <c r="N63">
        <v>45</v>
      </c>
      <c r="O63">
        <v>366.17777777779997</v>
      </c>
      <c r="V63" t="s">
        <v>708</v>
      </c>
      <c r="W63">
        <v>307667</v>
      </c>
      <c r="X63">
        <v>215135</v>
      </c>
      <c r="Y63">
        <v>399.2684082088</v>
      </c>
      <c r="Z63">
        <v>20195</v>
      </c>
      <c r="AA63">
        <v>586.8189155732</v>
      </c>
      <c r="AB63">
        <v>55994</v>
      </c>
      <c r="AC63">
        <v>619.35116262459997</v>
      </c>
      <c r="AD63">
        <v>23420</v>
      </c>
      <c r="AE63">
        <v>526.44013663539999</v>
      </c>
      <c r="AF63">
        <v>12662</v>
      </c>
      <c r="AG63">
        <v>184.36329173909999</v>
      </c>
      <c r="AH63">
        <v>456</v>
      </c>
      <c r="AI63">
        <v>450.4144736842</v>
      </c>
      <c r="AL63" t="s">
        <v>708</v>
      </c>
      <c r="AM63">
        <v>5671</v>
      </c>
      <c r="AN63">
        <v>4532</v>
      </c>
      <c r="AO63">
        <v>249.02780229480001</v>
      </c>
      <c r="AP63">
        <v>1478</v>
      </c>
      <c r="AQ63">
        <v>337.49594046009997</v>
      </c>
      <c r="AR63">
        <v>908</v>
      </c>
      <c r="AS63">
        <v>263.83810572689998</v>
      </c>
      <c r="AT63">
        <v>195</v>
      </c>
      <c r="AU63">
        <v>181.44102564100001</v>
      </c>
      <c r="AV63">
        <v>35</v>
      </c>
      <c r="AW63">
        <v>281.42857142859998</v>
      </c>
      <c r="AX63">
        <v>1</v>
      </c>
      <c r="AY63">
        <v>257</v>
      </c>
    </row>
    <row r="64" spans="6:51" x14ac:dyDescent="0.2">
      <c r="F64" t="s">
        <v>68</v>
      </c>
      <c r="G64">
        <v>4800</v>
      </c>
      <c r="H64">
        <v>3651</v>
      </c>
      <c r="I64">
        <v>546.12681457140002</v>
      </c>
      <c r="J64">
        <v>126</v>
      </c>
      <c r="K64">
        <v>981.61111111109994</v>
      </c>
      <c r="L64">
        <v>271</v>
      </c>
      <c r="M64">
        <v>620.55350553510004</v>
      </c>
      <c r="N64">
        <v>876</v>
      </c>
      <c r="O64">
        <v>850.91780821919997</v>
      </c>
      <c r="R64">
        <v>2</v>
      </c>
      <c r="S64">
        <v>688.5</v>
      </c>
    </row>
    <row r="65" spans="6:19" x14ac:dyDescent="0.2">
      <c r="F65" t="s">
        <v>70</v>
      </c>
      <c r="G65">
        <v>479</v>
      </c>
      <c r="H65">
        <v>221</v>
      </c>
      <c r="I65">
        <v>117.1583710407</v>
      </c>
      <c r="J65">
        <v>158</v>
      </c>
      <c r="K65">
        <v>204.31645569619999</v>
      </c>
      <c r="L65">
        <v>173</v>
      </c>
      <c r="M65">
        <v>111.7687861272</v>
      </c>
      <c r="N65">
        <v>80</v>
      </c>
      <c r="O65">
        <v>190.8125</v>
      </c>
      <c r="R65">
        <v>5</v>
      </c>
      <c r="S65">
        <v>129.4</v>
      </c>
    </row>
    <row r="66" spans="6:19" x14ac:dyDescent="0.2">
      <c r="F66" t="s">
        <v>85</v>
      </c>
      <c r="G66">
        <v>185</v>
      </c>
      <c r="H66">
        <v>57</v>
      </c>
      <c r="I66">
        <v>1041.6491228069999</v>
      </c>
      <c r="J66">
        <v>21</v>
      </c>
      <c r="K66">
        <v>1046.4285714286</v>
      </c>
      <c r="L66">
        <v>73</v>
      </c>
      <c r="M66">
        <v>586.87671232879995</v>
      </c>
      <c r="N66">
        <v>55</v>
      </c>
      <c r="O66">
        <v>616.30909090909995</v>
      </c>
    </row>
    <row r="67" spans="6:19" x14ac:dyDescent="0.2">
      <c r="F67" t="s">
        <v>66</v>
      </c>
      <c r="G67">
        <v>4891</v>
      </c>
      <c r="H67">
        <v>3186</v>
      </c>
      <c r="I67">
        <v>241.42623979909999</v>
      </c>
      <c r="J67">
        <v>535</v>
      </c>
      <c r="K67">
        <v>416.82990654209999</v>
      </c>
      <c r="L67">
        <v>1089</v>
      </c>
      <c r="M67">
        <v>495.59687786960001</v>
      </c>
      <c r="N67">
        <v>607</v>
      </c>
      <c r="O67">
        <v>581.12026359139998</v>
      </c>
      <c r="R67">
        <v>9</v>
      </c>
      <c r="S67">
        <v>345</v>
      </c>
    </row>
    <row r="68" spans="6:19" x14ac:dyDescent="0.2">
      <c r="F68" t="s">
        <v>440</v>
      </c>
      <c r="G68">
        <v>8</v>
      </c>
      <c r="H68">
        <v>2</v>
      </c>
      <c r="I68">
        <v>472</v>
      </c>
      <c r="L68">
        <v>2</v>
      </c>
      <c r="M68">
        <v>1156.5</v>
      </c>
      <c r="N68">
        <v>3</v>
      </c>
      <c r="O68">
        <v>45.333333333299997</v>
      </c>
      <c r="R68">
        <v>1</v>
      </c>
      <c r="S68">
        <v>213</v>
      </c>
    </row>
    <row r="69" spans="6:19" x14ac:dyDescent="0.2">
      <c r="F69" t="s">
        <v>86</v>
      </c>
      <c r="G69">
        <v>9378</v>
      </c>
      <c r="H69">
        <v>7165</v>
      </c>
      <c r="I69">
        <v>254.1267271458</v>
      </c>
      <c r="J69">
        <v>862</v>
      </c>
      <c r="K69">
        <v>492.5487238979</v>
      </c>
      <c r="L69">
        <v>1264</v>
      </c>
      <c r="M69">
        <v>188.18354430380001</v>
      </c>
      <c r="N69">
        <v>936</v>
      </c>
      <c r="O69">
        <v>360.85576923079998</v>
      </c>
      <c r="R69">
        <v>13</v>
      </c>
      <c r="S69">
        <v>284.07692307690002</v>
      </c>
    </row>
    <row r="70" spans="6:19" x14ac:dyDescent="0.2">
      <c r="F70" t="s">
        <v>141</v>
      </c>
      <c r="G70">
        <v>198</v>
      </c>
      <c r="H70">
        <v>113</v>
      </c>
      <c r="I70">
        <v>189.6371681416</v>
      </c>
      <c r="J70">
        <v>26</v>
      </c>
      <c r="K70">
        <v>279.96153846150003</v>
      </c>
      <c r="L70">
        <v>41</v>
      </c>
      <c r="M70">
        <v>496.53658536590001</v>
      </c>
      <c r="N70">
        <v>44</v>
      </c>
      <c r="O70">
        <v>458.8181818182</v>
      </c>
    </row>
    <row r="71" spans="6:19" x14ac:dyDescent="0.2">
      <c r="F71" t="s">
        <v>379</v>
      </c>
      <c r="G71">
        <v>54333</v>
      </c>
      <c r="H71">
        <v>38308</v>
      </c>
      <c r="I71">
        <v>359.73867077369999</v>
      </c>
      <c r="J71">
        <v>4498</v>
      </c>
      <c r="K71">
        <v>578.46598488220002</v>
      </c>
      <c r="L71">
        <v>10424</v>
      </c>
      <c r="M71">
        <v>578.69742900999995</v>
      </c>
      <c r="N71">
        <v>5508</v>
      </c>
      <c r="O71">
        <v>546.33188090049998</v>
      </c>
      <c r="R71">
        <v>93</v>
      </c>
      <c r="S71">
        <v>394.96774193549999</v>
      </c>
    </row>
    <row r="72" spans="6:19" x14ac:dyDescent="0.2">
      <c r="F72" t="s">
        <v>708</v>
      </c>
      <c r="G72">
        <v>313338</v>
      </c>
      <c r="H72">
        <v>219667</v>
      </c>
      <c r="I72">
        <v>396.16875998670002</v>
      </c>
      <c r="J72">
        <v>21673</v>
      </c>
      <c r="K72">
        <v>569.81622295019997</v>
      </c>
      <c r="L72">
        <v>56902</v>
      </c>
      <c r="M72">
        <v>613.67814839549999</v>
      </c>
      <c r="N72">
        <v>23615</v>
      </c>
      <c r="O72">
        <v>523.59131907690005</v>
      </c>
      <c r="P72">
        <v>12697</v>
      </c>
      <c r="Q72">
        <v>184.6308576829</v>
      </c>
      <c r="R72">
        <v>457</v>
      </c>
      <c r="S72">
        <v>449.99124726479999</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688</v>
      </c>
    </row>
    <row r="2" spans="1:18" x14ac:dyDescent="0.2">
      <c r="A2">
        <v>1</v>
      </c>
      <c r="B2">
        <v>-99</v>
      </c>
      <c r="C2" t="s">
        <v>447</v>
      </c>
      <c r="D2" t="s">
        <v>6</v>
      </c>
      <c r="E2" t="s">
        <v>447</v>
      </c>
      <c r="F2" t="s">
        <v>708</v>
      </c>
      <c r="G2" t="s">
        <v>447</v>
      </c>
      <c r="H2" t="s">
        <v>6</v>
      </c>
      <c r="I2">
        <v>-99</v>
      </c>
      <c r="J2">
        <v>1</v>
      </c>
      <c r="K2" t="s">
        <v>6</v>
      </c>
      <c r="L2">
        <v>-99</v>
      </c>
      <c r="M2" t="s">
        <v>664</v>
      </c>
      <c r="N2" t="s">
        <v>664</v>
      </c>
      <c r="O2">
        <v>-99</v>
      </c>
      <c r="P2">
        <v>-99</v>
      </c>
      <c r="Q2">
        <v>1</v>
      </c>
      <c r="R2" t="s">
        <v>664</v>
      </c>
    </row>
    <row r="3" spans="1:18" x14ac:dyDescent="0.2">
      <c r="A3">
        <v>2</v>
      </c>
      <c r="B3">
        <v>-99</v>
      </c>
      <c r="C3" t="s">
        <v>448</v>
      </c>
      <c r="D3" t="s">
        <v>6</v>
      </c>
      <c r="E3" t="s">
        <v>448</v>
      </c>
      <c r="F3" t="s">
        <v>1048</v>
      </c>
      <c r="G3" t="s">
        <v>447</v>
      </c>
      <c r="H3" t="s">
        <v>6</v>
      </c>
      <c r="I3">
        <v>-99</v>
      </c>
      <c r="J3">
        <v>1</v>
      </c>
      <c r="K3" t="s">
        <v>6</v>
      </c>
      <c r="L3">
        <v>-99</v>
      </c>
      <c r="M3" t="s">
        <v>664</v>
      </c>
      <c r="N3" t="s">
        <v>664</v>
      </c>
      <c r="O3">
        <v>-99</v>
      </c>
      <c r="P3">
        <v>-99</v>
      </c>
      <c r="Q3">
        <v>1</v>
      </c>
      <c r="R3" t="s">
        <v>664</v>
      </c>
    </row>
    <row r="4" spans="1:18" x14ac:dyDescent="0.2">
      <c r="A4">
        <v>3</v>
      </c>
      <c r="B4">
        <v>-99</v>
      </c>
      <c r="C4" t="s">
        <v>665</v>
      </c>
      <c r="D4" t="s">
        <v>6</v>
      </c>
      <c r="E4" t="s">
        <v>665</v>
      </c>
      <c r="F4" t="s">
        <v>1050</v>
      </c>
      <c r="G4" t="s">
        <v>447</v>
      </c>
      <c r="H4" t="s">
        <v>6</v>
      </c>
      <c r="I4">
        <v>-99</v>
      </c>
      <c r="J4">
        <v>1</v>
      </c>
      <c r="K4" t="s">
        <v>6</v>
      </c>
      <c r="L4">
        <v>-99</v>
      </c>
      <c r="M4" t="s">
        <v>664</v>
      </c>
      <c r="N4" t="s">
        <v>664</v>
      </c>
      <c r="O4">
        <v>-99</v>
      </c>
      <c r="P4">
        <v>-99</v>
      </c>
      <c r="Q4">
        <v>1</v>
      </c>
      <c r="R4" t="s">
        <v>216</v>
      </c>
    </row>
    <row r="5" spans="1:18" x14ac:dyDescent="0.2">
      <c r="A5">
        <v>4</v>
      </c>
      <c r="B5">
        <v>-99</v>
      </c>
      <c r="C5" t="s">
        <v>449</v>
      </c>
      <c r="D5" t="s">
        <v>6</v>
      </c>
      <c r="E5" t="s">
        <v>449</v>
      </c>
      <c r="F5" t="s">
        <v>1056</v>
      </c>
      <c r="G5" t="s">
        <v>447</v>
      </c>
      <c r="H5" t="s">
        <v>6</v>
      </c>
      <c r="I5">
        <v>-99</v>
      </c>
      <c r="J5">
        <v>1</v>
      </c>
      <c r="K5" t="s">
        <v>6</v>
      </c>
      <c r="L5">
        <v>-99</v>
      </c>
      <c r="M5" t="s">
        <v>664</v>
      </c>
      <c r="N5" t="s">
        <v>664</v>
      </c>
      <c r="O5">
        <v>-99</v>
      </c>
      <c r="P5">
        <v>-99</v>
      </c>
      <c r="Q5">
        <v>1</v>
      </c>
      <c r="R5" t="s">
        <v>693</v>
      </c>
    </row>
    <row r="6" spans="1:18" x14ac:dyDescent="0.2">
      <c r="A6">
        <v>5</v>
      </c>
      <c r="B6">
        <v>-99</v>
      </c>
      <c r="C6" t="s">
        <v>450</v>
      </c>
      <c r="D6" t="s">
        <v>6</v>
      </c>
      <c r="E6" t="s">
        <v>450</v>
      </c>
      <c r="F6" t="s">
        <v>705</v>
      </c>
      <c r="G6" t="s">
        <v>447</v>
      </c>
      <c r="H6" t="s">
        <v>6</v>
      </c>
      <c r="I6">
        <v>-99</v>
      </c>
      <c r="J6">
        <v>1</v>
      </c>
      <c r="K6" t="s">
        <v>6</v>
      </c>
      <c r="L6">
        <v>-99</v>
      </c>
      <c r="M6" t="s">
        <v>664</v>
      </c>
      <c r="N6" t="s">
        <v>664</v>
      </c>
      <c r="O6">
        <v>-99</v>
      </c>
      <c r="P6">
        <v>-99</v>
      </c>
      <c r="Q6">
        <v>1</v>
      </c>
      <c r="R6" t="s">
        <v>689</v>
      </c>
    </row>
    <row r="7" spans="1:18" x14ac:dyDescent="0.2">
      <c r="A7">
        <v>6</v>
      </c>
      <c r="B7">
        <v>-99</v>
      </c>
      <c r="C7" t="s">
        <v>451</v>
      </c>
      <c r="D7" t="s">
        <v>6</v>
      </c>
      <c r="E7" t="s">
        <v>451</v>
      </c>
      <c r="F7" t="s">
        <v>1051</v>
      </c>
      <c r="G7" t="s">
        <v>447</v>
      </c>
      <c r="H7" t="s">
        <v>6</v>
      </c>
      <c r="I7">
        <v>-99</v>
      </c>
      <c r="J7">
        <v>1</v>
      </c>
      <c r="K7" t="s">
        <v>6</v>
      </c>
      <c r="L7">
        <v>-99</v>
      </c>
      <c r="M7" t="s">
        <v>664</v>
      </c>
      <c r="N7" t="s">
        <v>664</v>
      </c>
      <c r="O7">
        <v>-99</v>
      </c>
      <c r="P7">
        <v>-99</v>
      </c>
      <c r="Q7">
        <v>1</v>
      </c>
      <c r="R7" t="s">
        <v>690</v>
      </c>
    </row>
    <row r="8" spans="1:18" x14ac:dyDescent="0.2">
      <c r="A8">
        <v>7</v>
      </c>
      <c r="B8">
        <v>-99</v>
      </c>
      <c r="C8" t="s">
        <v>452</v>
      </c>
      <c r="D8" t="s">
        <v>6</v>
      </c>
      <c r="E8" t="s">
        <v>452</v>
      </c>
      <c r="F8" t="s">
        <v>1057</v>
      </c>
      <c r="G8" t="s">
        <v>447</v>
      </c>
      <c r="H8" t="s">
        <v>6</v>
      </c>
      <c r="I8">
        <v>-99</v>
      </c>
      <c r="J8">
        <v>1</v>
      </c>
      <c r="K8" t="s">
        <v>6</v>
      </c>
      <c r="L8">
        <v>-99</v>
      </c>
      <c r="M8" t="s">
        <v>664</v>
      </c>
      <c r="N8" t="s">
        <v>664</v>
      </c>
      <c r="O8">
        <v>-99</v>
      </c>
      <c r="P8">
        <v>-99</v>
      </c>
      <c r="Q8">
        <v>1</v>
      </c>
      <c r="R8" t="s">
        <v>691</v>
      </c>
    </row>
    <row r="9" spans="1:18" x14ac:dyDescent="0.2">
      <c r="A9">
        <v>8</v>
      </c>
      <c r="B9">
        <v>-99</v>
      </c>
      <c r="C9" t="s">
        <v>453</v>
      </c>
      <c r="D9" t="s">
        <v>6</v>
      </c>
      <c r="E9" t="s">
        <v>453</v>
      </c>
      <c r="F9" t="s">
        <v>1058</v>
      </c>
      <c r="G9" t="s">
        <v>447</v>
      </c>
      <c r="H9" t="s">
        <v>6</v>
      </c>
      <c r="I9">
        <v>-99</v>
      </c>
      <c r="J9">
        <v>1</v>
      </c>
      <c r="K9" t="s">
        <v>6</v>
      </c>
      <c r="L9">
        <v>-99</v>
      </c>
      <c r="M9" t="s">
        <v>664</v>
      </c>
      <c r="N9" t="s">
        <v>664</v>
      </c>
      <c r="O9">
        <v>-99</v>
      </c>
      <c r="P9">
        <v>-99</v>
      </c>
      <c r="Q9">
        <v>1</v>
      </c>
      <c r="R9" t="s">
        <v>408</v>
      </c>
    </row>
    <row r="10" spans="1:18" x14ac:dyDescent="0.2">
      <c r="A10">
        <v>9</v>
      </c>
      <c r="B10">
        <v>-99</v>
      </c>
      <c r="C10" t="s">
        <v>454</v>
      </c>
      <c r="D10" t="s">
        <v>6</v>
      </c>
      <c r="E10" t="s">
        <v>454</v>
      </c>
      <c r="F10" t="s">
        <v>1059</v>
      </c>
      <c r="G10" t="s">
        <v>447</v>
      </c>
      <c r="H10" t="s">
        <v>6</v>
      </c>
      <c r="I10">
        <v>-99</v>
      </c>
      <c r="J10">
        <v>1</v>
      </c>
      <c r="K10" t="s">
        <v>6</v>
      </c>
      <c r="L10">
        <v>-99</v>
      </c>
      <c r="M10" t="s">
        <v>664</v>
      </c>
      <c r="N10" t="s">
        <v>664</v>
      </c>
      <c r="O10">
        <v>-99</v>
      </c>
      <c r="P10">
        <v>-99</v>
      </c>
      <c r="Q10">
        <v>1</v>
      </c>
      <c r="R10" t="s">
        <v>694</v>
      </c>
    </row>
    <row r="11" spans="1:18" x14ac:dyDescent="0.2">
      <c r="A11">
        <v>10</v>
      </c>
      <c r="B11">
        <v>-99</v>
      </c>
      <c r="C11" t="s">
        <v>455</v>
      </c>
      <c r="D11" t="s">
        <v>6</v>
      </c>
      <c r="E11" t="s">
        <v>455</v>
      </c>
      <c r="F11" t="s">
        <v>1060</v>
      </c>
      <c r="G11" t="s">
        <v>447</v>
      </c>
      <c r="H11" t="s">
        <v>6</v>
      </c>
      <c r="I11">
        <v>-99</v>
      </c>
      <c r="J11">
        <v>1</v>
      </c>
      <c r="K11" t="s">
        <v>6</v>
      </c>
      <c r="L11">
        <v>-99</v>
      </c>
      <c r="M11" t="s">
        <v>664</v>
      </c>
      <c r="N11" t="s">
        <v>664</v>
      </c>
      <c r="O11">
        <v>-99</v>
      </c>
      <c r="P11">
        <v>-99</v>
      </c>
      <c r="Q11">
        <v>1</v>
      </c>
      <c r="R11" t="s">
        <v>664</v>
      </c>
    </row>
    <row r="12" spans="1:18" x14ac:dyDescent="0.2">
      <c r="A12">
        <v>11</v>
      </c>
      <c r="B12">
        <v>-99</v>
      </c>
      <c r="C12" t="s">
        <v>457</v>
      </c>
      <c r="D12" t="s">
        <v>518</v>
      </c>
      <c r="E12" t="s">
        <v>666</v>
      </c>
      <c r="F12" t="s">
        <v>135</v>
      </c>
      <c r="G12" t="s">
        <v>666</v>
      </c>
      <c r="H12" t="s">
        <v>380</v>
      </c>
      <c r="I12">
        <v>-99</v>
      </c>
      <c r="J12">
        <v>-99</v>
      </c>
      <c r="K12" t="s">
        <v>664</v>
      </c>
      <c r="L12">
        <v>-99</v>
      </c>
      <c r="M12" t="s">
        <v>664</v>
      </c>
      <c r="N12" t="s">
        <v>664</v>
      </c>
      <c r="O12">
        <v>-99</v>
      </c>
      <c r="P12">
        <v>-99</v>
      </c>
      <c r="Q12">
        <v>2</v>
      </c>
      <c r="R12" t="s">
        <v>664</v>
      </c>
    </row>
    <row r="13" spans="1:18" x14ac:dyDescent="0.2">
      <c r="A13">
        <v>12</v>
      </c>
      <c r="B13">
        <v>-99</v>
      </c>
      <c r="C13" t="s">
        <v>459</v>
      </c>
      <c r="D13" t="s">
        <v>518</v>
      </c>
      <c r="E13" t="s">
        <v>667</v>
      </c>
      <c r="F13" t="s">
        <v>136</v>
      </c>
      <c r="G13" t="s">
        <v>667</v>
      </c>
      <c r="H13" t="s">
        <v>387</v>
      </c>
      <c r="I13">
        <v>-99</v>
      </c>
      <c r="J13">
        <v>-99</v>
      </c>
      <c r="K13" t="s">
        <v>664</v>
      </c>
      <c r="L13">
        <v>-99</v>
      </c>
      <c r="M13" t="s">
        <v>664</v>
      </c>
      <c r="N13" t="s">
        <v>664</v>
      </c>
      <c r="O13">
        <v>-99</v>
      </c>
      <c r="P13">
        <v>-99</v>
      </c>
      <c r="Q13">
        <v>2</v>
      </c>
      <c r="R13" t="s">
        <v>664</v>
      </c>
    </row>
    <row r="14" spans="1:18" x14ac:dyDescent="0.2">
      <c r="A14">
        <v>13</v>
      </c>
      <c r="B14">
        <v>-99</v>
      </c>
      <c r="C14" t="s">
        <v>462</v>
      </c>
      <c r="D14" t="s">
        <v>518</v>
      </c>
      <c r="E14" t="s">
        <v>668</v>
      </c>
      <c r="F14" t="s">
        <v>137</v>
      </c>
      <c r="G14" t="s">
        <v>668</v>
      </c>
      <c r="H14" t="s">
        <v>396</v>
      </c>
      <c r="I14">
        <v>-99</v>
      </c>
      <c r="J14">
        <v>-99</v>
      </c>
      <c r="K14" t="s">
        <v>664</v>
      </c>
      <c r="L14">
        <v>-99</v>
      </c>
      <c r="M14" t="s">
        <v>664</v>
      </c>
      <c r="N14" t="s">
        <v>664</v>
      </c>
      <c r="O14">
        <v>-99</v>
      </c>
      <c r="P14">
        <v>-99</v>
      </c>
      <c r="Q14">
        <v>2</v>
      </c>
      <c r="R14" t="s">
        <v>664</v>
      </c>
    </row>
    <row r="15" spans="1:18" x14ac:dyDescent="0.2">
      <c r="A15">
        <v>14</v>
      </c>
      <c r="B15">
        <v>-99</v>
      </c>
      <c r="C15" t="s">
        <v>669</v>
      </c>
      <c r="D15" t="s">
        <v>518</v>
      </c>
      <c r="E15" t="s">
        <v>670</v>
      </c>
      <c r="F15" t="s">
        <v>138</v>
      </c>
      <c r="G15" t="s">
        <v>670</v>
      </c>
      <c r="H15" t="s">
        <v>412</v>
      </c>
      <c r="I15">
        <v>-99</v>
      </c>
      <c r="J15">
        <v>-99</v>
      </c>
      <c r="K15" t="s">
        <v>664</v>
      </c>
      <c r="L15">
        <v>-99</v>
      </c>
      <c r="M15" t="s">
        <v>664</v>
      </c>
      <c r="N15" t="s">
        <v>664</v>
      </c>
      <c r="O15">
        <v>-99</v>
      </c>
      <c r="P15">
        <v>-99</v>
      </c>
      <c r="Q15">
        <v>2</v>
      </c>
      <c r="R15" t="s">
        <v>664</v>
      </c>
    </row>
    <row r="16" spans="1:18" x14ac:dyDescent="0.2">
      <c r="A16">
        <v>15</v>
      </c>
      <c r="B16">
        <v>-99</v>
      </c>
      <c r="C16" t="s">
        <v>671</v>
      </c>
      <c r="D16" t="s">
        <v>446</v>
      </c>
      <c r="E16" t="s">
        <v>672</v>
      </c>
      <c r="F16" t="s">
        <v>439</v>
      </c>
      <c r="G16" t="s">
        <v>664</v>
      </c>
      <c r="H16" t="s">
        <v>664</v>
      </c>
      <c r="I16">
        <v>-99</v>
      </c>
      <c r="J16">
        <v>30</v>
      </c>
      <c r="K16" t="s">
        <v>379</v>
      </c>
      <c r="L16">
        <v>-99</v>
      </c>
      <c r="M16" t="s">
        <v>664</v>
      </c>
      <c r="N16" t="s">
        <v>664</v>
      </c>
      <c r="O16">
        <v>-99</v>
      </c>
      <c r="P16">
        <v>-99</v>
      </c>
      <c r="Q16">
        <v>3</v>
      </c>
      <c r="R16" t="s">
        <v>664</v>
      </c>
    </row>
    <row r="17" spans="1:18" x14ac:dyDescent="0.2">
      <c r="A17">
        <v>16</v>
      </c>
      <c r="B17">
        <v>-99</v>
      </c>
      <c r="C17" t="s">
        <v>673</v>
      </c>
      <c r="D17" t="s">
        <v>446</v>
      </c>
      <c r="E17" t="s">
        <v>671</v>
      </c>
      <c r="F17" t="s">
        <v>445</v>
      </c>
      <c r="G17" t="s">
        <v>664</v>
      </c>
      <c r="H17" t="s">
        <v>664</v>
      </c>
      <c r="I17">
        <v>-99</v>
      </c>
      <c r="J17">
        <v>31</v>
      </c>
      <c r="K17" t="s">
        <v>390</v>
      </c>
      <c r="L17">
        <v>-99</v>
      </c>
      <c r="M17" t="s">
        <v>664</v>
      </c>
      <c r="N17" t="s">
        <v>664</v>
      </c>
      <c r="O17">
        <v>-99</v>
      </c>
      <c r="P17">
        <v>-99</v>
      </c>
      <c r="Q17">
        <v>3</v>
      </c>
      <c r="R17" t="s">
        <v>664</v>
      </c>
    </row>
    <row r="18" spans="1:18" x14ac:dyDescent="0.2">
      <c r="A18">
        <v>17</v>
      </c>
      <c r="B18">
        <v>-99</v>
      </c>
      <c r="C18" t="s">
        <v>674</v>
      </c>
      <c r="D18" t="s">
        <v>446</v>
      </c>
      <c r="E18" t="s">
        <v>673</v>
      </c>
      <c r="F18" t="s">
        <v>443</v>
      </c>
      <c r="G18" t="s">
        <v>664</v>
      </c>
      <c r="H18" t="s">
        <v>664</v>
      </c>
      <c r="I18">
        <v>-99</v>
      </c>
      <c r="J18">
        <v>32</v>
      </c>
      <c r="K18" t="s">
        <v>400</v>
      </c>
      <c r="L18">
        <v>-99</v>
      </c>
      <c r="M18" t="s">
        <v>664</v>
      </c>
      <c r="N18" t="s">
        <v>664</v>
      </c>
      <c r="O18">
        <v>-99</v>
      </c>
      <c r="P18">
        <v>-99</v>
      </c>
      <c r="Q18">
        <v>3</v>
      </c>
      <c r="R18" t="s">
        <v>664</v>
      </c>
    </row>
    <row r="19" spans="1:18" x14ac:dyDescent="0.2">
      <c r="A19">
        <v>18</v>
      </c>
      <c r="B19">
        <v>-99</v>
      </c>
      <c r="C19" t="s">
        <v>675</v>
      </c>
      <c r="D19" t="s">
        <v>446</v>
      </c>
      <c r="E19" t="s">
        <v>674</v>
      </c>
      <c r="F19" t="s">
        <v>442</v>
      </c>
      <c r="G19" t="s">
        <v>664</v>
      </c>
      <c r="H19" t="s">
        <v>664</v>
      </c>
      <c r="I19">
        <v>-99</v>
      </c>
      <c r="J19">
        <v>33</v>
      </c>
      <c r="K19" t="s">
        <v>395</v>
      </c>
      <c r="L19">
        <v>-99</v>
      </c>
      <c r="M19" t="s">
        <v>664</v>
      </c>
      <c r="N19" t="s">
        <v>664</v>
      </c>
      <c r="O19">
        <v>-99</v>
      </c>
      <c r="P19">
        <v>-99</v>
      </c>
      <c r="Q19">
        <v>3</v>
      </c>
      <c r="R19" t="s">
        <v>664</v>
      </c>
    </row>
    <row r="20" spans="1:18" x14ac:dyDescent="0.2">
      <c r="A20">
        <v>19</v>
      </c>
      <c r="B20">
        <v>-99</v>
      </c>
      <c r="C20" t="s">
        <v>676</v>
      </c>
      <c r="D20" t="s">
        <v>446</v>
      </c>
      <c r="E20" t="s">
        <v>675</v>
      </c>
      <c r="F20" t="s">
        <v>444</v>
      </c>
      <c r="G20" t="s">
        <v>664</v>
      </c>
      <c r="H20" t="s">
        <v>664</v>
      </c>
      <c r="I20">
        <v>-99</v>
      </c>
      <c r="J20">
        <v>34</v>
      </c>
      <c r="K20" t="s">
        <v>414</v>
      </c>
      <c r="L20">
        <v>-99</v>
      </c>
      <c r="M20" t="s">
        <v>664</v>
      </c>
      <c r="N20" t="s">
        <v>664</v>
      </c>
      <c r="O20">
        <v>-99</v>
      </c>
      <c r="P20">
        <v>-99</v>
      </c>
      <c r="Q20">
        <v>3</v>
      </c>
      <c r="R20" t="s">
        <v>664</v>
      </c>
    </row>
    <row r="21" spans="1:18" x14ac:dyDescent="0.2">
      <c r="A21">
        <v>20</v>
      </c>
      <c r="B21">
        <v>1</v>
      </c>
      <c r="C21" t="s">
        <v>677</v>
      </c>
      <c r="D21" t="s">
        <v>378</v>
      </c>
      <c r="E21" t="s">
        <v>677</v>
      </c>
      <c r="F21" t="s">
        <v>519</v>
      </c>
      <c r="G21" t="s">
        <v>678</v>
      </c>
      <c r="H21" t="s">
        <v>8</v>
      </c>
      <c r="I21">
        <v>-99</v>
      </c>
      <c r="J21">
        <v>35</v>
      </c>
      <c r="K21" t="s">
        <v>8</v>
      </c>
      <c r="L21">
        <v>8240</v>
      </c>
      <c r="M21" t="s">
        <v>520</v>
      </c>
      <c r="N21" t="s">
        <v>664</v>
      </c>
      <c r="O21">
        <v>1</v>
      </c>
      <c r="P21">
        <v>2</v>
      </c>
      <c r="Q21">
        <v>-99</v>
      </c>
      <c r="R21" t="s">
        <v>664</v>
      </c>
    </row>
    <row r="22" spans="1:18" x14ac:dyDescent="0.2">
      <c r="A22">
        <v>21</v>
      </c>
      <c r="B22">
        <v>8</v>
      </c>
      <c r="C22" t="s">
        <v>142</v>
      </c>
      <c r="D22" t="s">
        <v>38</v>
      </c>
      <c r="E22" t="s">
        <v>521</v>
      </c>
      <c r="F22" t="s">
        <v>522</v>
      </c>
      <c r="G22" t="s">
        <v>666</v>
      </c>
      <c r="H22" t="s">
        <v>380</v>
      </c>
      <c r="I22">
        <v>380</v>
      </c>
      <c r="J22">
        <v>30</v>
      </c>
      <c r="K22" t="s">
        <v>379</v>
      </c>
      <c r="L22">
        <v>8233</v>
      </c>
      <c r="M22" t="s">
        <v>335</v>
      </c>
      <c r="N22" t="s">
        <v>381</v>
      </c>
      <c r="O22">
        <v>1</v>
      </c>
      <c r="P22">
        <v>2</v>
      </c>
      <c r="Q22">
        <v>-99</v>
      </c>
      <c r="R22" t="s">
        <v>692</v>
      </c>
    </row>
    <row r="23" spans="1:18" x14ac:dyDescent="0.2">
      <c r="A23">
        <v>22</v>
      </c>
      <c r="B23">
        <v>9</v>
      </c>
      <c r="C23" t="s">
        <v>143</v>
      </c>
      <c r="D23" t="s">
        <v>70</v>
      </c>
      <c r="E23" t="s">
        <v>523</v>
      </c>
      <c r="F23" t="s">
        <v>524</v>
      </c>
      <c r="G23" t="s">
        <v>666</v>
      </c>
      <c r="H23" t="s">
        <v>380</v>
      </c>
      <c r="I23">
        <v>380</v>
      </c>
      <c r="J23">
        <v>30</v>
      </c>
      <c r="K23" t="s">
        <v>379</v>
      </c>
      <c r="L23">
        <v>8235</v>
      </c>
      <c r="M23" t="s">
        <v>370</v>
      </c>
      <c r="N23" t="s">
        <v>382</v>
      </c>
      <c r="O23">
        <v>1</v>
      </c>
      <c r="P23">
        <v>1</v>
      </c>
      <c r="Q23">
        <v>-99</v>
      </c>
      <c r="R23" t="s">
        <v>692</v>
      </c>
    </row>
    <row r="24" spans="1:18" x14ac:dyDescent="0.2">
      <c r="A24">
        <v>23</v>
      </c>
      <c r="B24">
        <v>-99</v>
      </c>
      <c r="C24" t="s">
        <v>143</v>
      </c>
      <c r="D24" t="s">
        <v>70</v>
      </c>
      <c r="E24" t="s">
        <v>525</v>
      </c>
      <c r="F24" t="s">
        <v>526</v>
      </c>
      <c r="G24" t="s">
        <v>666</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527</v>
      </c>
      <c r="F25" t="s">
        <v>528</v>
      </c>
      <c r="G25" t="s">
        <v>666</v>
      </c>
      <c r="H25" t="s">
        <v>380</v>
      </c>
      <c r="I25">
        <v>380</v>
      </c>
      <c r="J25">
        <v>30</v>
      </c>
      <c r="K25" t="s">
        <v>379</v>
      </c>
      <c r="L25">
        <v>8237</v>
      </c>
      <c r="M25" t="s">
        <v>345</v>
      </c>
      <c r="N25" t="s">
        <v>63</v>
      </c>
      <c r="O25">
        <v>1</v>
      </c>
      <c r="P25">
        <v>2</v>
      </c>
      <c r="Q25">
        <v>-99</v>
      </c>
      <c r="R25" t="s">
        <v>692</v>
      </c>
    </row>
    <row r="26" spans="1:18" x14ac:dyDescent="0.2">
      <c r="A26">
        <v>25</v>
      </c>
      <c r="B26">
        <v>11</v>
      </c>
      <c r="C26" t="s">
        <v>145</v>
      </c>
      <c r="D26" t="s">
        <v>24</v>
      </c>
      <c r="E26" t="s">
        <v>529</v>
      </c>
      <c r="F26" t="s">
        <v>530</v>
      </c>
      <c r="G26" t="s">
        <v>666</v>
      </c>
      <c r="H26" t="s">
        <v>380</v>
      </c>
      <c r="I26">
        <v>380</v>
      </c>
      <c r="J26">
        <v>30</v>
      </c>
      <c r="K26" t="s">
        <v>379</v>
      </c>
      <c r="L26">
        <v>8238</v>
      </c>
      <c r="M26" t="s">
        <v>345</v>
      </c>
      <c r="N26" t="s">
        <v>63</v>
      </c>
      <c r="O26">
        <v>1</v>
      </c>
      <c r="P26">
        <v>2</v>
      </c>
      <c r="Q26">
        <v>-99</v>
      </c>
      <c r="R26" t="s">
        <v>692</v>
      </c>
    </row>
    <row r="27" spans="1:18" x14ac:dyDescent="0.2">
      <c r="A27">
        <v>26</v>
      </c>
      <c r="B27">
        <v>12</v>
      </c>
      <c r="C27" t="s">
        <v>146</v>
      </c>
      <c r="D27" t="s">
        <v>47</v>
      </c>
      <c r="E27" t="s">
        <v>531</v>
      </c>
      <c r="F27" t="s">
        <v>532</v>
      </c>
      <c r="G27" t="s">
        <v>666</v>
      </c>
      <c r="H27" t="s">
        <v>380</v>
      </c>
      <c r="I27">
        <v>380</v>
      </c>
      <c r="J27">
        <v>30</v>
      </c>
      <c r="K27" t="s">
        <v>379</v>
      </c>
      <c r="L27">
        <v>8239</v>
      </c>
      <c r="M27" t="s">
        <v>363</v>
      </c>
      <c r="N27" t="s">
        <v>383</v>
      </c>
      <c r="O27">
        <v>1</v>
      </c>
      <c r="P27">
        <v>2</v>
      </c>
      <c r="Q27">
        <v>-99</v>
      </c>
      <c r="R27" t="s">
        <v>692</v>
      </c>
    </row>
    <row r="28" spans="1:18" x14ac:dyDescent="0.2">
      <c r="A28">
        <v>27</v>
      </c>
      <c r="B28">
        <v>13</v>
      </c>
      <c r="C28" t="s">
        <v>147</v>
      </c>
      <c r="D28" t="s">
        <v>64</v>
      </c>
      <c r="E28" t="s">
        <v>533</v>
      </c>
      <c r="F28" t="s">
        <v>534</v>
      </c>
      <c r="G28" t="s">
        <v>666</v>
      </c>
      <c r="H28" t="s">
        <v>380</v>
      </c>
      <c r="I28">
        <v>380</v>
      </c>
      <c r="J28">
        <v>30</v>
      </c>
      <c r="K28" t="s">
        <v>379</v>
      </c>
      <c r="L28">
        <v>8241</v>
      </c>
      <c r="M28" t="s">
        <v>367</v>
      </c>
      <c r="N28" t="s">
        <v>384</v>
      </c>
      <c r="O28">
        <v>1</v>
      </c>
      <c r="P28">
        <v>2</v>
      </c>
      <c r="Q28">
        <v>-99</v>
      </c>
      <c r="R28" t="s">
        <v>692</v>
      </c>
    </row>
    <row r="29" spans="1:18" x14ac:dyDescent="0.2">
      <c r="A29">
        <v>28</v>
      </c>
      <c r="B29">
        <v>14</v>
      </c>
      <c r="C29" t="s">
        <v>102</v>
      </c>
      <c r="D29" t="s">
        <v>66</v>
      </c>
      <c r="E29" t="s">
        <v>535</v>
      </c>
      <c r="F29" t="s">
        <v>536</v>
      </c>
      <c r="G29" t="s">
        <v>666</v>
      </c>
      <c r="H29" t="s">
        <v>380</v>
      </c>
      <c r="I29">
        <v>380</v>
      </c>
      <c r="J29">
        <v>30</v>
      </c>
      <c r="K29" t="s">
        <v>379</v>
      </c>
      <c r="L29">
        <v>8242</v>
      </c>
      <c r="M29" t="s">
        <v>357</v>
      </c>
      <c r="N29" t="s">
        <v>385</v>
      </c>
      <c r="O29">
        <v>1</v>
      </c>
      <c r="P29">
        <v>1</v>
      </c>
      <c r="Q29">
        <v>-99</v>
      </c>
      <c r="R29" t="s">
        <v>692</v>
      </c>
    </row>
    <row r="30" spans="1:18" x14ac:dyDescent="0.2">
      <c r="A30">
        <v>29</v>
      </c>
      <c r="B30">
        <v>-99</v>
      </c>
      <c r="C30" t="s">
        <v>102</v>
      </c>
      <c r="D30" t="s">
        <v>66</v>
      </c>
      <c r="E30" t="s">
        <v>537</v>
      </c>
      <c r="F30" t="s">
        <v>218</v>
      </c>
      <c r="G30" t="s">
        <v>666</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538</v>
      </c>
      <c r="F31" t="s">
        <v>539</v>
      </c>
      <c r="G31" t="s">
        <v>666</v>
      </c>
      <c r="H31" t="s">
        <v>380</v>
      </c>
      <c r="I31">
        <v>380</v>
      </c>
      <c r="J31">
        <v>30</v>
      </c>
      <c r="K31" t="s">
        <v>379</v>
      </c>
      <c r="L31">
        <v>8243</v>
      </c>
      <c r="M31" t="s">
        <v>357</v>
      </c>
      <c r="N31" t="s">
        <v>385</v>
      </c>
      <c r="O31">
        <v>1</v>
      </c>
      <c r="P31">
        <v>1</v>
      </c>
      <c r="Q31">
        <v>-99</v>
      </c>
      <c r="R31" t="s">
        <v>692</v>
      </c>
    </row>
    <row r="32" spans="1:18" x14ac:dyDescent="0.2">
      <c r="A32">
        <v>31</v>
      </c>
      <c r="B32">
        <v>-99</v>
      </c>
      <c r="C32" t="s">
        <v>148</v>
      </c>
      <c r="D32" t="s">
        <v>68</v>
      </c>
      <c r="E32" t="s">
        <v>540</v>
      </c>
      <c r="F32" t="s">
        <v>541</v>
      </c>
      <c r="G32" t="s">
        <v>666</v>
      </c>
      <c r="H32" t="s">
        <v>380</v>
      </c>
      <c r="I32">
        <v>380</v>
      </c>
      <c r="J32">
        <v>30</v>
      </c>
      <c r="K32" t="s">
        <v>379</v>
      </c>
      <c r="L32">
        <v>8243</v>
      </c>
      <c r="M32" t="s">
        <v>357</v>
      </c>
      <c r="N32" t="s">
        <v>385</v>
      </c>
      <c r="O32">
        <v>-99</v>
      </c>
      <c r="P32">
        <v>1</v>
      </c>
      <c r="Q32">
        <v>-99</v>
      </c>
      <c r="R32" t="s">
        <v>691</v>
      </c>
    </row>
    <row r="33" spans="1:18" x14ac:dyDescent="0.2">
      <c r="A33">
        <v>32</v>
      </c>
      <c r="B33">
        <v>16</v>
      </c>
      <c r="C33" t="s">
        <v>149</v>
      </c>
      <c r="D33" t="s">
        <v>36</v>
      </c>
      <c r="E33" t="s">
        <v>542</v>
      </c>
      <c r="F33" t="s">
        <v>543</v>
      </c>
      <c r="G33" t="s">
        <v>666</v>
      </c>
      <c r="H33" t="s">
        <v>380</v>
      </c>
      <c r="I33">
        <v>380</v>
      </c>
      <c r="J33">
        <v>30</v>
      </c>
      <c r="K33" t="s">
        <v>379</v>
      </c>
      <c r="L33">
        <v>8244</v>
      </c>
      <c r="M33" t="s">
        <v>352</v>
      </c>
      <c r="N33" t="s">
        <v>386</v>
      </c>
      <c r="O33">
        <v>1</v>
      </c>
      <c r="P33">
        <v>2</v>
      </c>
      <c r="Q33">
        <v>-99</v>
      </c>
      <c r="R33" t="s">
        <v>692</v>
      </c>
    </row>
    <row r="34" spans="1:18" x14ac:dyDescent="0.2">
      <c r="A34">
        <v>33</v>
      </c>
      <c r="B34">
        <v>23</v>
      </c>
      <c r="C34" t="s">
        <v>108</v>
      </c>
      <c r="D34" t="s">
        <v>72</v>
      </c>
      <c r="E34" t="s">
        <v>544</v>
      </c>
      <c r="F34" t="s">
        <v>545</v>
      </c>
      <c r="G34" t="s">
        <v>667</v>
      </c>
      <c r="H34" t="s">
        <v>387</v>
      </c>
      <c r="I34">
        <v>381</v>
      </c>
      <c r="J34">
        <v>30</v>
      </c>
      <c r="K34" t="s">
        <v>379</v>
      </c>
      <c r="L34">
        <v>8245</v>
      </c>
      <c r="M34" t="s">
        <v>331</v>
      </c>
      <c r="N34" t="s">
        <v>388</v>
      </c>
      <c r="O34">
        <v>1</v>
      </c>
      <c r="P34">
        <v>2</v>
      </c>
      <c r="Q34">
        <v>-99</v>
      </c>
      <c r="R34" t="s">
        <v>692</v>
      </c>
    </row>
    <row r="35" spans="1:18" x14ac:dyDescent="0.2">
      <c r="A35">
        <v>34</v>
      </c>
      <c r="B35">
        <v>24</v>
      </c>
      <c r="C35" t="s">
        <v>150</v>
      </c>
      <c r="D35" t="s">
        <v>50</v>
      </c>
      <c r="E35" t="s">
        <v>546</v>
      </c>
      <c r="F35" t="s">
        <v>547</v>
      </c>
      <c r="G35" t="s">
        <v>667</v>
      </c>
      <c r="H35" t="s">
        <v>387</v>
      </c>
      <c r="I35">
        <v>381</v>
      </c>
      <c r="J35">
        <v>30</v>
      </c>
      <c r="K35" t="s">
        <v>379</v>
      </c>
      <c r="L35">
        <v>8246</v>
      </c>
      <c r="M35" t="s">
        <v>347</v>
      </c>
      <c r="N35" t="s">
        <v>389</v>
      </c>
      <c r="O35">
        <v>1</v>
      </c>
      <c r="P35">
        <v>2</v>
      </c>
      <c r="Q35">
        <v>-99</v>
      </c>
      <c r="R35" t="s">
        <v>692</v>
      </c>
    </row>
    <row r="36" spans="1:18" x14ac:dyDescent="0.2">
      <c r="A36">
        <v>35</v>
      </c>
      <c r="B36">
        <v>30</v>
      </c>
      <c r="C36" t="s">
        <v>151</v>
      </c>
      <c r="D36" t="s">
        <v>25</v>
      </c>
      <c r="E36" t="s">
        <v>548</v>
      </c>
      <c r="F36" t="s">
        <v>549</v>
      </c>
      <c r="G36" t="s">
        <v>667</v>
      </c>
      <c r="H36" t="s">
        <v>387</v>
      </c>
      <c r="I36">
        <v>381</v>
      </c>
      <c r="J36">
        <v>31</v>
      </c>
      <c r="K36" t="s">
        <v>390</v>
      </c>
      <c r="L36">
        <v>8247</v>
      </c>
      <c r="M36" t="s">
        <v>372</v>
      </c>
      <c r="N36" t="s">
        <v>391</v>
      </c>
      <c r="O36">
        <v>1</v>
      </c>
      <c r="P36">
        <v>2</v>
      </c>
      <c r="Q36">
        <v>-99</v>
      </c>
      <c r="R36" t="s">
        <v>692</v>
      </c>
    </row>
    <row r="37" spans="1:18" x14ac:dyDescent="0.2">
      <c r="A37">
        <v>36</v>
      </c>
      <c r="B37">
        <v>194</v>
      </c>
      <c r="C37" t="s">
        <v>152</v>
      </c>
      <c r="D37" t="s">
        <v>80</v>
      </c>
      <c r="E37" t="s">
        <v>550</v>
      </c>
      <c r="F37" t="s">
        <v>551</v>
      </c>
      <c r="G37" t="s">
        <v>667</v>
      </c>
      <c r="H37" t="s">
        <v>387</v>
      </c>
      <c r="I37">
        <v>381</v>
      </c>
      <c r="J37">
        <v>31</v>
      </c>
      <c r="K37" t="s">
        <v>390</v>
      </c>
      <c r="L37">
        <v>8248</v>
      </c>
      <c r="M37" t="s">
        <v>327</v>
      </c>
      <c r="N37" t="s">
        <v>435</v>
      </c>
      <c r="O37">
        <v>1</v>
      </c>
      <c r="P37">
        <v>2</v>
      </c>
      <c r="Q37">
        <v>-99</v>
      </c>
      <c r="R37" t="s">
        <v>692</v>
      </c>
    </row>
    <row r="38" spans="1:18" x14ac:dyDescent="0.2">
      <c r="A38">
        <v>37</v>
      </c>
      <c r="B38">
        <v>34</v>
      </c>
      <c r="C38" t="s">
        <v>153</v>
      </c>
      <c r="D38" t="s">
        <v>86</v>
      </c>
      <c r="E38" t="s">
        <v>552</v>
      </c>
      <c r="F38" t="s">
        <v>553</v>
      </c>
      <c r="G38" t="s">
        <v>667</v>
      </c>
      <c r="H38" t="s">
        <v>387</v>
      </c>
      <c r="I38">
        <v>381</v>
      </c>
      <c r="J38">
        <v>30</v>
      </c>
      <c r="K38" t="s">
        <v>379</v>
      </c>
      <c r="L38">
        <v>8249</v>
      </c>
      <c r="M38" t="s">
        <v>358</v>
      </c>
      <c r="N38" t="s">
        <v>392</v>
      </c>
      <c r="O38">
        <v>1</v>
      </c>
      <c r="P38">
        <v>1</v>
      </c>
      <c r="Q38">
        <v>-99</v>
      </c>
      <c r="R38" t="s">
        <v>692</v>
      </c>
    </row>
    <row r="39" spans="1:18" x14ac:dyDescent="0.2">
      <c r="A39">
        <v>38</v>
      </c>
      <c r="B39">
        <v>-99</v>
      </c>
      <c r="C39" t="s">
        <v>153</v>
      </c>
      <c r="D39" t="s">
        <v>86</v>
      </c>
      <c r="E39" t="s">
        <v>554</v>
      </c>
      <c r="F39" t="s">
        <v>221</v>
      </c>
      <c r="G39" t="s">
        <v>667</v>
      </c>
      <c r="H39" t="s">
        <v>387</v>
      </c>
      <c r="I39">
        <v>381</v>
      </c>
      <c r="J39">
        <v>30</v>
      </c>
      <c r="K39" t="s">
        <v>379</v>
      </c>
      <c r="L39">
        <v>8249</v>
      </c>
      <c r="M39" t="s">
        <v>358</v>
      </c>
      <c r="N39" t="s">
        <v>392</v>
      </c>
      <c r="O39">
        <v>-99</v>
      </c>
      <c r="P39">
        <v>1</v>
      </c>
      <c r="Q39">
        <v>-99</v>
      </c>
      <c r="R39" t="s">
        <v>689</v>
      </c>
    </row>
    <row r="40" spans="1:18" x14ac:dyDescent="0.2">
      <c r="A40">
        <v>39</v>
      </c>
      <c r="B40">
        <v>-99</v>
      </c>
      <c r="C40" t="s">
        <v>153</v>
      </c>
      <c r="D40" t="s">
        <v>86</v>
      </c>
      <c r="E40" t="s">
        <v>555</v>
      </c>
      <c r="F40" t="s">
        <v>969</v>
      </c>
      <c r="G40" t="s">
        <v>667</v>
      </c>
      <c r="H40" t="s">
        <v>387</v>
      </c>
      <c r="I40">
        <v>381</v>
      </c>
      <c r="J40">
        <v>30</v>
      </c>
      <c r="K40" t="s">
        <v>379</v>
      </c>
      <c r="L40">
        <v>8249</v>
      </c>
      <c r="M40" t="s">
        <v>358</v>
      </c>
      <c r="N40" t="s">
        <v>392</v>
      </c>
      <c r="O40">
        <v>-99</v>
      </c>
      <c r="P40">
        <v>1</v>
      </c>
      <c r="Q40">
        <v>-99</v>
      </c>
      <c r="R40" t="s">
        <v>690</v>
      </c>
    </row>
    <row r="41" spans="1:18" x14ac:dyDescent="0.2">
      <c r="A41">
        <v>40</v>
      </c>
      <c r="B41">
        <v>35</v>
      </c>
      <c r="C41" t="s">
        <v>154</v>
      </c>
      <c r="D41" t="s">
        <v>42</v>
      </c>
      <c r="E41" t="s">
        <v>556</v>
      </c>
      <c r="F41" t="s">
        <v>557</v>
      </c>
      <c r="G41" t="s">
        <v>667</v>
      </c>
      <c r="H41" t="s">
        <v>387</v>
      </c>
      <c r="I41">
        <v>381</v>
      </c>
      <c r="J41">
        <v>31</v>
      </c>
      <c r="K41" t="s">
        <v>390</v>
      </c>
      <c r="L41">
        <v>8250</v>
      </c>
      <c r="M41" t="s">
        <v>350</v>
      </c>
      <c r="N41" t="s">
        <v>393</v>
      </c>
      <c r="O41">
        <v>1</v>
      </c>
      <c r="P41">
        <v>2</v>
      </c>
      <c r="Q41">
        <v>-99</v>
      </c>
      <c r="R41" t="s">
        <v>692</v>
      </c>
    </row>
    <row r="42" spans="1:18" x14ac:dyDescent="0.2">
      <c r="A42">
        <v>41</v>
      </c>
      <c r="B42">
        <v>36</v>
      </c>
      <c r="C42" t="s">
        <v>94</v>
      </c>
      <c r="D42" t="s">
        <v>61</v>
      </c>
      <c r="E42" t="s">
        <v>558</v>
      </c>
      <c r="F42" t="s">
        <v>559</v>
      </c>
      <c r="G42" t="s">
        <v>667</v>
      </c>
      <c r="H42" t="s">
        <v>387</v>
      </c>
      <c r="I42">
        <v>381</v>
      </c>
      <c r="J42">
        <v>31</v>
      </c>
      <c r="K42" t="s">
        <v>390</v>
      </c>
      <c r="L42">
        <v>8251</v>
      </c>
      <c r="M42" t="s">
        <v>353</v>
      </c>
      <c r="N42" t="s">
        <v>394</v>
      </c>
      <c r="O42">
        <v>1</v>
      </c>
      <c r="P42">
        <v>2</v>
      </c>
      <c r="Q42">
        <v>-99</v>
      </c>
      <c r="R42" t="s">
        <v>692</v>
      </c>
    </row>
    <row r="43" spans="1:18" x14ac:dyDescent="0.2">
      <c r="A43">
        <v>42</v>
      </c>
      <c r="B43">
        <v>37</v>
      </c>
      <c r="C43" t="s">
        <v>155</v>
      </c>
      <c r="D43" t="s">
        <v>62</v>
      </c>
      <c r="E43" t="s">
        <v>560</v>
      </c>
      <c r="F43" t="s">
        <v>561</v>
      </c>
      <c r="G43" t="s">
        <v>668</v>
      </c>
      <c r="H43" t="s">
        <v>396</v>
      </c>
      <c r="I43">
        <v>382</v>
      </c>
      <c r="J43">
        <v>33</v>
      </c>
      <c r="K43" t="s">
        <v>395</v>
      </c>
      <c r="L43">
        <v>8252</v>
      </c>
      <c r="M43" t="s">
        <v>330</v>
      </c>
      <c r="N43" t="s">
        <v>397</v>
      </c>
      <c r="O43">
        <v>1</v>
      </c>
      <c r="P43">
        <v>2</v>
      </c>
      <c r="Q43">
        <v>-99</v>
      </c>
      <c r="R43" t="s">
        <v>692</v>
      </c>
    </row>
    <row r="44" spans="1:18" x14ac:dyDescent="0.2">
      <c r="A44">
        <v>43</v>
      </c>
      <c r="B44">
        <v>38</v>
      </c>
      <c r="C44" t="s">
        <v>156</v>
      </c>
      <c r="D44" t="s">
        <v>60</v>
      </c>
      <c r="E44" t="s">
        <v>562</v>
      </c>
      <c r="F44" t="s">
        <v>563</v>
      </c>
      <c r="G44" t="s">
        <v>667</v>
      </c>
      <c r="H44" t="s">
        <v>387</v>
      </c>
      <c r="I44">
        <v>381</v>
      </c>
      <c r="J44">
        <v>31</v>
      </c>
      <c r="K44" t="s">
        <v>390</v>
      </c>
      <c r="L44">
        <v>8253</v>
      </c>
      <c r="M44" t="s">
        <v>364</v>
      </c>
      <c r="N44" t="s">
        <v>398</v>
      </c>
      <c r="O44">
        <v>1</v>
      </c>
      <c r="P44">
        <v>2</v>
      </c>
      <c r="Q44">
        <v>-99</v>
      </c>
      <c r="R44" t="s">
        <v>692</v>
      </c>
    </row>
    <row r="45" spans="1:18" x14ac:dyDescent="0.2">
      <c r="A45">
        <v>44</v>
      </c>
      <c r="B45">
        <v>39</v>
      </c>
      <c r="C45" t="s">
        <v>157</v>
      </c>
      <c r="D45" t="s">
        <v>52</v>
      </c>
      <c r="E45" t="s">
        <v>564</v>
      </c>
      <c r="F45" t="s">
        <v>565</v>
      </c>
      <c r="G45" t="s">
        <v>667</v>
      </c>
      <c r="H45" t="s">
        <v>387</v>
      </c>
      <c r="I45">
        <v>381</v>
      </c>
      <c r="J45">
        <v>33</v>
      </c>
      <c r="K45" t="s">
        <v>395</v>
      </c>
      <c r="L45">
        <v>8254</v>
      </c>
      <c r="M45" t="s">
        <v>365</v>
      </c>
      <c r="N45" t="s">
        <v>399</v>
      </c>
      <c r="O45">
        <v>1</v>
      </c>
      <c r="P45">
        <v>1</v>
      </c>
      <c r="Q45">
        <v>-99</v>
      </c>
      <c r="R45" t="s">
        <v>692</v>
      </c>
    </row>
    <row r="46" spans="1:18" x14ac:dyDescent="0.2">
      <c r="A46">
        <v>45</v>
      </c>
      <c r="B46">
        <v>-99</v>
      </c>
      <c r="C46" t="s">
        <v>157</v>
      </c>
      <c r="D46" t="s">
        <v>52</v>
      </c>
      <c r="E46" t="s">
        <v>566</v>
      </c>
      <c r="F46" t="s">
        <v>567</v>
      </c>
      <c r="G46" t="s">
        <v>667</v>
      </c>
      <c r="H46" t="s">
        <v>387</v>
      </c>
      <c r="I46">
        <v>381</v>
      </c>
      <c r="J46">
        <v>33</v>
      </c>
      <c r="K46" t="s">
        <v>395</v>
      </c>
      <c r="L46">
        <v>8254</v>
      </c>
      <c r="M46" t="s">
        <v>365</v>
      </c>
      <c r="N46" t="s">
        <v>399</v>
      </c>
      <c r="O46">
        <v>-99</v>
      </c>
      <c r="P46">
        <v>1</v>
      </c>
      <c r="Q46">
        <v>-99</v>
      </c>
      <c r="R46" t="s">
        <v>693</v>
      </c>
    </row>
    <row r="47" spans="1:18" x14ac:dyDescent="0.2">
      <c r="A47">
        <v>46</v>
      </c>
      <c r="B47">
        <v>52</v>
      </c>
      <c r="C47" t="s">
        <v>158</v>
      </c>
      <c r="D47" t="s">
        <v>41</v>
      </c>
      <c r="E47" t="s">
        <v>568</v>
      </c>
      <c r="F47" t="s">
        <v>569</v>
      </c>
      <c r="G47" t="s">
        <v>666</v>
      </c>
      <c r="H47" t="s">
        <v>380</v>
      </c>
      <c r="I47">
        <v>380</v>
      </c>
      <c r="J47">
        <v>32</v>
      </c>
      <c r="K47" t="s">
        <v>400</v>
      </c>
      <c r="L47">
        <v>8255</v>
      </c>
      <c r="M47" t="s">
        <v>366</v>
      </c>
      <c r="N47" t="s">
        <v>401</v>
      </c>
      <c r="O47">
        <v>1</v>
      </c>
      <c r="P47">
        <v>2</v>
      </c>
      <c r="Q47">
        <v>-99</v>
      </c>
      <c r="R47" t="s">
        <v>692</v>
      </c>
    </row>
    <row r="48" spans="1:18" x14ac:dyDescent="0.2">
      <c r="A48">
        <v>47</v>
      </c>
      <c r="B48">
        <v>53</v>
      </c>
      <c r="C48" t="s">
        <v>159</v>
      </c>
      <c r="D48" t="s">
        <v>51</v>
      </c>
      <c r="E48" t="s">
        <v>570</v>
      </c>
      <c r="F48" t="s">
        <v>571</v>
      </c>
      <c r="G48" t="s">
        <v>666</v>
      </c>
      <c r="H48" t="s">
        <v>380</v>
      </c>
      <c r="I48">
        <v>380</v>
      </c>
      <c r="J48">
        <v>32</v>
      </c>
      <c r="K48" t="s">
        <v>400</v>
      </c>
      <c r="L48">
        <v>8256</v>
      </c>
      <c r="M48" t="s">
        <v>340</v>
      </c>
      <c r="N48" t="s">
        <v>402</v>
      </c>
      <c r="O48">
        <v>1</v>
      </c>
      <c r="P48">
        <v>2</v>
      </c>
      <c r="Q48">
        <v>-99</v>
      </c>
      <c r="R48" t="s">
        <v>692</v>
      </c>
    </row>
    <row r="49" spans="1:18" x14ac:dyDescent="0.2">
      <c r="A49">
        <v>48</v>
      </c>
      <c r="B49">
        <v>54</v>
      </c>
      <c r="C49" t="s">
        <v>160</v>
      </c>
      <c r="D49" t="s">
        <v>56</v>
      </c>
      <c r="E49" t="s">
        <v>572</v>
      </c>
      <c r="F49" t="s">
        <v>573</v>
      </c>
      <c r="G49" t="s">
        <v>667</v>
      </c>
      <c r="H49" t="s">
        <v>387</v>
      </c>
      <c r="I49">
        <v>381</v>
      </c>
      <c r="J49">
        <v>31</v>
      </c>
      <c r="K49" t="s">
        <v>390</v>
      </c>
      <c r="L49">
        <v>8257</v>
      </c>
      <c r="M49" t="s">
        <v>346</v>
      </c>
      <c r="N49" t="s">
        <v>403</v>
      </c>
      <c r="O49">
        <v>1</v>
      </c>
      <c r="P49">
        <v>1</v>
      </c>
      <c r="Q49">
        <v>-99</v>
      </c>
      <c r="R49" t="s">
        <v>692</v>
      </c>
    </row>
    <row r="50" spans="1:18" x14ac:dyDescent="0.2">
      <c r="A50">
        <v>49</v>
      </c>
      <c r="B50">
        <v>-99</v>
      </c>
      <c r="C50" t="s">
        <v>160</v>
      </c>
      <c r="D50" t="s">
        <v>56</v>
      </c>
      <c r="E50" t="s">
        <v>574</v>
      </c>
      <c r="F50" t="s">
        <v>575</v>
      </c>
      <c r="G50" t="s">
        <v>667</v>
      </c>
      <c r="H50" t="s">
        <v>387</v>
      </c>
      <c r="I50">
        <v>381</v>
      </c>
      <c r="J50">
        <v>31</v>
      </c>
      <c r="K50" t="s">
        <v>390</v>
      </c>
      <c r="L50">
        <v>8257</v>
      </c>
      <c r="M50" t="s">
        <v>346</v>
      </c>
      <c r="N50" t="s">
        <v>403</v>
      </c>
      <c r="O50">
        <v>-99</v>
      </c>
      <c r="P50">
        <v>1</v>
      </c>
      <c r="Q50">
        <v>-99</v>
      </c>
      <c r="R50" t="s">
        <v>694</v>
      </c>
    </row>
    <row r="51" spans="1:18" x14ac:dyDescent="0.2">
      <c r="A51">
        <v>50</v>
      </c>
      <c r="B51">
        <v>55</v>
      </c>
      <c r="C51" t="s">
        <v>161</v>
      </c>
      <c r="D51" t="s">
        <v>40</v>
      </c>
      <c r="E51" t="s">
        <v>576</v>
      </c>
      <c r="F51" t="s">
        <v>577</v>
      </c>
      <c r="G51" t="s">
        <v>668</v>
      </c>
      <c r="H51" t="s">
        <v>396</v>
      </c>
      <c r="I51">
        <v>382</v>
      </c>
      <c r="J51">
        <v>32</v>
      </c>
      <c r="K51" t="s">
        <v>400</v>
      </c>
      <c r="L51">
        <v>8258</v>
      </c>
      <c r="M51" t="s">
        <v>359</v>
      </c>
      <c r="N51" t="s">
        <v>404</v>
      </c>
      <c r="O51">
        <v>1</v>
      </c>
      <c r="P51">
        <v>2</v>
      </c>
      <c r="Q51">
        <v>-99</v>
      </c>
      <c r="R51" t="s">
        <v>692</v>
      </c>
    </row>
    <row r="52" spans="1:18" x14ac:dyDescent="0.2">
      <c r="A52">
        <v>51</v>
      </c>
      <c r="B52">
        <v>56</v>
      </c>
      <c r="C52" t="s">
        <v>162</v>
      </c>
      <c r="D52" t="s">
        <v>45</v>
      </c>
      <c r="E52" t="s">
        <v>578</v>
      </c>
      <c r="F52" t="s">
        <v>579</v>
      </c>
      <c r="G52" t="s">
        <v>666</v>
      </c>
      <c r="H52" t="s">
        <v>380</v>
      </c>
      <c r="I52">
        <v>380</v>
      </c>
      <c r="J52">
        <v>32</v>
      </c>
      <c r="K52" t="s">
        <v>400</v>
      </c>
      <c r="L52">
        <v>8259</v>
      </c>
      <c r="M52" t="s">
        <v>336</v>
      </c>
      <c r="N52" t="s">
        <v>405</v>
      </c>
      <c r="O52">
        <v>1</v>
      </c>
      <c r="P52">
        <v>2</v>
      </c>
      <c r="Q52">
        <v>-99</v>
      </c>
      <c r="R52" t="s">
        <v>692</v>
      </c>
    </row>
    <row r="53" spans="1:18" x14ac:dyDescent="0.2">
      <c r="A53">
        <v>52</v>
      </c>
      <c r="B53">
        <v>57</v>
      </c>
      <c r="C53" t="s">
        <v>163</v>
      </c>
      <c r="D53" t="s">
        <v>59</v>
      </c>
      <c r="E53" t="s">
        <v>580</v>
      </c>
      <c r="F53" t="s">
        <v>581</v>
      </c>
      <c r="G53" t="s">
        <v>668</v>
      </c>
      <c r="H53" t="s">
        <v>396</v>
      </c>
      <c r="I53">
        <v>382</v>
      </c>
      <c r="J53">
        <v>32</v>
      </c>
      <c r="K53" t="s">
        <v>400</v>
      </c>
      <c r="L53">
        <v>8260</v>
      </c>
      <c r="M53" t="s">
        <v>326</v>
      </c>
      <c r="N53" t="s">
        <v>406</v>
      </c>
      <c r="O53">
        <v>1</v>
      </c>
      <c r="P53">
        <v>1</v>
      </c>
      <c r="Q53">
        <v>-99</v>
      </c>
      <c r="R53" t="s">
        <v>692</v>
      </c>
    </row>
    <row r="54" spans="1:18" x14ac:dyDescent="0.2">
      <c r="A54">
        <v>53</v>
      </c>
      <c r="B54">
        <v>-99</v>
      </c>
      <c r="C54" t="s">
        <v>163</v>
      </c>
      <c r="D54" t="s">
        <v>59</v>
      </c>
      <c r="E54" t="s">
        <v>582</v>
      </c>
      <c r="F54" t="s">
        <v>217</v>
      </c>
      <c r="G54" t="s">
        <v>668</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583</v>
      </c>
      <c r="F55" t="s">
        <v>584</v>
      </c>
      <c r="G55" t="s">
        <v>668</v>
      </c>
      <c r="H55" t="s">
        <v>396</v>
      </c>
      <c r="I55">
        <v>382</v>
      </c>
      <c r="J55">
        <v>32</v>
      </c>
      <c r="K55" t="s">
        <v>400</v>
      </c>
      <c r="L55">
        <v>8261</v>
      </c>
      <c r="M55" t="s">
        <v>349</v>
      </c>
      <c r="N55" t="s">
        <v>407</v>
      </c>
      <c r="O55">
        <v>1</v>
      </c>
      <c r="P55">
        <v>2</v>
      </c>
      <c r="Q55">
        <v>-99</v>
      </c>
      <c r="R55" t="s">
        <v>692</v>
      </c>
    </row>
    <row r="56" spans="1:18" x14ac:dyDescent="0.2">
      <c r="A56">
        <v>55</v>
      </c>
      <c r="B56">
        <v>59</v>
      </c>
      <c r="C56" t="s">
        <v>165</v>
      </c>
      <c r="D56" t="s">
        <v>44</v>
      </c>
      <c r="E56" t="s">
        <v>585</v>
      </c>
      <c r="F56" t="s">
        <v>586</v>
      </c>
      <c r="G56" t="s">
        <v>668</v>
      </c>
      <c r="H56" t="s">
        <v>396</v>
      </c>
      <c r="I56">
        <v>382</v>
      </c>
      <c r="J56">
        <v>32</v>
      </c>
      <c r="K56" t="s">
        <v>400</v>
      </c>
      <c r="L56">
        <v>8262</v>
      </c>
      <c r="M56" t="s">
        <v>373</v>
      </c>
      <c r="N56" t="s">
        <v>409</v>
      </c>
      <c r="O56">
        <v>1</v>
      </c>
      <c r="P56">
        <v>2</v>
      </c>
      <c r="Q56">
        <v>-99</v>
      </c>
      <c r="R56" t="s">
        <v>692</v>
      </c>
    </row>
    <row r="57" spans="1:18" x14ac:dyDescent="0.2">
      <c r="A57">
        <v>56</v>
      </c>
      <c r="B57">
        <v>60</v>
      </c>
      <c r="C57" t="s">
        <v>166</v>
      </c>
      <c r="D57" t="s">
        <v>53</v>
      </c>
      <c r="E57" t="s">
        <v>587</v>
      </c>
      <c r="F57" t="s">
        <v>588</v>
      </c>
      <c r="G57" t="s">
        <v>668</v>
      </c>
      <c r="H57" t="s">
        <v>396</v>
      </c>
      <c r="I57">
        <v>382</v>
      </c>
      <c r="J57">
        <v>32</v>
      </c>
      <c r="K57" t="s">
        <v>400</v>
      </c>
      <c r="L57">
        <v>8263</v>
      </c>
      <c r="M57" t="s">
        <v>332</v>
      </c>
      <c r="N57" t="s">
        <v>410</v>
      </c>
      <c r="O57">
        <v>1</v>
      </c>
      <c r="P57">
        <v>2</v>
      </c>
      <c r="Q57">
        <v>-99</v>
      </c>
      <c r="R57" t="s">
        <v>692</v>
      </c>
    </row>
    <row r="58" spans="1:18" x14ac:dyDescent="0.2">
      <c r="A58">
        <v>57</v>
      </c>
      <c r="B58">
        <v>84</v>
      </c>
      <c r="C58" t="s">
        <v>167</v>
      </c>
      <c r="D58" t="s">
        <v>79</v>
      </c>
      <c r="E58" t="s">
        <v>589</v>
      </c>
      <c r="F58" t="s">
        <v>590</v>
      </c>
      <c r="G58" t="s">
        <v>668</v>
      </c>
      <c r="H58" t="s">
        <v>396</v>
      </c>
      <c r="I58">
        <v>382</v>
      </c>
      <c r="J58">
        <v>32</v>
      </c>
      <c r="K58" t="s">
        <v>400</v>
      </c>
      <c r="L58">
        <v>8264</v>
      </c>
      <c r="M58" t="s">
        <v>343</v>
      </c>
      <c r="N58" t="s">
        <v>411</v>
      </c>
      <c r="O58">
        <v>1</v>
      </c>
      <c r="P58">
        <v>1</v>
      </c>
      <c r="Q58">
        <v>-99</v>
      </c>
      <c r="R58" t="s">
        <v>692</v>
      </c>
    </row>
    <row r="59" spans="1:18" x14ac:dyDescent="0.2">
      <c r="A59">
        <v>58</v>
      </c>
      <c r="B59">
        <v>-99</v>
      </c>
      <c r="C59" t="s">
        <v>167</v>
      </c>
      <c r="D59" t="s">
        <v>79</v>
      </c>
      <c r="E59" t="s">
        <v>591</v>
      </c>
      <c r="F59" t="s">
        <v>501</v>
      </c>
      <c r="G59" t="s">
        <v>668</v>
      </c>
      <c r="H59" t="s">
        <v>396</v>
      </c>
      <c r="I59">
        <v>382</v>
      </c>
      <c r="J59">
        <v>32</v>
      </c>
      <c r="K59" t="s">
        <v>400</v>
      </c>
      <c r="L59">
        <v>8264</v>
      </c>
      <c r="M59" t="s">
        <v>343</v>
      </c>
      <c r="N59" t="s">
        <v>411</v>
      </c>
      <c r="O59">
        <v>-99</v>
      </c>
      <c r="P59">
        <v>1</v>
      </c>
      <c r="Q59">
        <v>-99</v>
      </c>
      <c r="R59" t="s">
        <v>664</v>
      </c>
    </row>
    <row r="60" spans="1:18" x14ac:dyDescent="0.2">
      <c r="A60">
        <v>59</v>
      </c>
      <c r="B60">
        <v>-99</v>
      </c>
      <c r="C60" t="s">
        <v>167</v>
      </c>
      <c r="D60" t="s">
        <v>79</v>
      </c>
      <c r="E60" t="s">
        <v>592</v>
      </c>
      <c r="F60" t="s">
        <v>220</v>
      </c>
      <c r="G60" t="s">
        <v>668</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593</v>
      </c>
      <c r="F61" t="s">
        <v>594</v>
      </c>
      <c r="G61" t="s">
        <v>670</v>
      </c>
      <c r="H61" t="s">
        <v>412</v>
      </c>
      <c r="I61">
        <v>383</v>
      </c>
      <c r="J61">
        <v>33</v>
      </c>
      <c r="K61" t="s">
        <v>395</v>
      </c>
      <c r="L61">
        <v>8268</v>
      </c>
      <c r="M61" t="s">
        <v>360</v>
      </c>
      <c r="N61" t="s">
        <v>413</v>
      </c>
      <c r="O61">
        <v>1</v>
      </c>
      <c r="P61">
        <v>2</v>
      </c>
      <c r="Q61">
        <v>-99</v>
      </c>
      <c r="R61" t="s">
        <v>692</v>
      </c>
    </row>
    <row r="62" spans="1:18" x14ac:dyDescent="0.2">
      <c r="A62">
        <v>61</v>
      </c>
      <c r="B62">
        <v>101</v>
      </c>
      <c r="C62" t="s">
        <v>169</v>
      </c>
      <c r="D62" t="s">
        <v>34</v>
      </c>
      <c r="E62" t="s">
        <v>595</v>
      </c>
      <c r="F62" t="s">
        <v>596</v>
      </c>
      <c r="G62" t="s">
        <v>670</v>
      </c>
      <c r="H62" t="s">
        <v>412</v>
      </c>
      <c r="I62">
        <v>383</v>
      </c>
      <c r="J62">
        <v>34</v>
      </c>
      <c r="K62" t="s">
        <v>414</v>
      </c>
      <c r="L62">
        <v>8269</v>
      </c>
      <c r="M62" t="s">
        <v>328</v>
      </c>
      <c r="N62" t="s">
        <v>415</v>
      </c>
      <c r="O62">
        <v>1</v>
      </c>
      <c r="P62">
        <v>2</v>
      </c>
      <c r="Q62">
        <v>-99</v>
      </c>
      <c r="R62" t="s">
        <v>692</v>
      </c>
    </row>
    <row r="63" spans="1:18" x14ac:dyDescent="0.2">
      <c r="A63">
        <v>62</v>
      </c>
      <c r="B63">
        <v>102</v>
      </c>
      <c r="C63" t="s">
        <v>170</v>
      </c>
      <c r="D63" t="s">
        <v>73</v>
      </c>
      <c r="E63" t="s">
        <v>597</v>
      </c>
      <c r="F63" t="s">
        <v>598</v>
      </c>
      <c r="G63" t="s">
        <v>670</v>
      </c>
      <c r="H63" t="s">
        <v>412</v>
      </c>
      <c r="I63">
        <v>383</v>
      </c>
      <c r="J63">
        <v>33</v>
      </c>
      <c r="K63" t="s">
        <v>395</v>
      </c>
      <c r="L63">
        <v>8270</v>
      </c>
      <c r="M63" t="s">
        <v>354</v>
      </c>
      <c r="N63" t="s">
        <v>416</v>
      </c>
      <c r="O63">
        <v>1</v>
      </c>
      <c r="P63">
        <v>1</v>
      </c>
      <c r="Q63">
        <v>-99</v>
      </c>
      <c r="R63" t="s">
        <v>692</v>
      </c>
    </row>
    <row r="64" spans="1:18" x14ac:dyDescent="0.2">
      <c r="A64">
        <v>63</v>
      </c>
      <c r="B64">
        <v>-99</v>
      </c>
      <c r="C64" t="s">
        <v>170</v>
      </c>
      <c r="D64" t="s">
        <v>73</v>
      </c>
      <c r="E64" t="s">
        <v>599</v>
      </c>
      <c r="F64" t="s">
        <v>219</v>
      </c>
      <c r="G64" t="s">
        <v>670</v>
      </c>
      <c r="H64" t="s">
        <v>412</v>
      </c>
      <c r="I64">
        <v>383</v>
      </c>
      <c r="J64">
        <v>33</v>
      </c>
      <c r="K64" t="s">
        <v>395</v>
      </c>
      <c r="L64">
        <v>8270</v>
      </c>
      <c r="M64" t="s">
        <v>354</v>
      </c>
      <c r="N64" t="s">
        <v>416</v>
      </c>
      <c r="O64">
        <v>-99</v>
      </c>
      <c r="P64">
        <v>1</v>
      </c>
      <c r="Q64">
        <v>-99</v>
      </c>
      <c r="R64" t="s">
        <v>689</v>
      </c>
    </row>
    <row r="65" spans="1:18" x14ac:dyDescent="0.2">
      <c r="A65">
        <v>64</v>
      </c>
      <c r="B65">
        <v>103</v>
      </c>
      <c r="C65" t="s">
        <v>171</v>
      </c>
      <c r="D65" t="s">
        <v>65</v>
      </c>
      <c r="E65" t="s">
        <v>600</v>
      </c>
      <c r="F65" t="s">
        <v>601</v>
      </c>
      <c r="G65" t="s">
        <v>670</v>
      </c>
      <c r="H65" t="s">
        <v>412</v>
      </c>
      <c r="I65">
        <v>383</v>
      </c>
      <c r="J65">
        <v>34</v>
      </c>
      <c r="K65" t="s">
        <v>414</v>
      </c>
      <c r="L65">
        <v>8272</v>
      </c>
      <c r="M65" t="s">
        <v>342</v>
      </c>
      <c r="N65" t="s">
        <v>417</v>
      </c>
      <c r="O65">
        <v>1</v>
      </c>
      <c r="P65">
        <v>2</v>
      </c>
      <c r="Q65">
        <v>-99</v>
      </c>
      <c r="R65" t="s">
        <v>692</v>
      </c>
    </row>
    <row r="66" spans="1:18" x14ac:dyDescent="0.2">
      <c r="A66">
        <v>65</v>
      </c>
      <c r="B66">
        <v>104</v>
      </c>
      <c r="C66" t="s">
        <v>172</v>
      </c>
      <c r="D66" t="s">
        <v>55</v>
      </c>
      <c r="E66" t="s">
        <v>602</v>
      </c>
      <c r="F66" t="s">
        <v>603</v>
      </c>
      <c r="G66" t="s">
        <v>670</v>
      </c>
      <c r="H66" t="s">
        <v>412</v>
      </c>
      <c r="I66">
        <v>383</v>
      </c>
      <c r="J66">
        <v>34</v>
      </c>
      <c r="K66" t="s">
        <v>414</v>
      </c>
      <c r="L66">
        <v>8221</v>
      </c>
      <c r="M66" t="s">
        <v>342</v>
      </c>
      <c r="N66" t="s">
        <v>417</v>
      </c>
      <c r="O66">
        <v>1</v>
      </c>
      <c r="P66">
        <v>2</v>
      </c>
      <c r="Q66">
        <v>-99</v>
      </c>
      <c r="R66" t="s">
        <v>692</v>
      </c>
    </row>
    <row r="67" spans="1:18" x14ac:dyDescent="0.2">
      <c r="A67">
        <v>66</v>
      </c>
      <c r="B67">
        <v>196</v>
      </c>
      <c r="C67" t="s">
        <v>173</v>
      </c>
      <c r="D67" t="s">
        <v>67</v>
      </c>
      <c r="E67" t="s">
        <v>604</v>
      </c>
      <c r="F67" t="s">
        <v>605</v>
      </c>
      <c r="G67" t="s">
        <v>670</v>
      </c>
      <c r="H67" t="s">
        <v>412</v>
      </c>
      <c r="I67">
        <v>383</v>
      </c>
      <c r="J67">
        <v>34</v>
      </c>
      <c r="K67" t="s">
        <v>414</v>
      </c>
      <c r="L67">
        <v>8202</v>
      </c>
      <c r="M67" t="s">
        <v>355</v>
      </c>
      <c r="N67" t="s">
        <v>436</v>
      </c>
      <c r="O67">
        <v>1</v>
      </c>
      <c r="P67">
        <v>2</v>
      </c>
      <c r="Q67">
        <v>-99</v>
      </c>
      <c r="R67" t="s">
        <v>692</v>
      </c>
    </row>
    <row r="68" spans="1:18" x14ac:dyDescent="0.2">
      <c r="A68">
        <v>67</v>
      </c>
      <c r="B68">
        <v>110</v>
      </c>
      <c r="C68" t="s">
        <v>174</v>
      </c>
      <c r="D68" t="s">
        <v>76</v>
      </c>
      <c r="E68" t="s">
        <v>606</v>
      </c>
      <c r="F68" t="s">
        <v>607</v>
      </c>
      <c r="G68" t="s">
        <v>670</v>
      </c>
      <c r="H68" t="s">
        <v>412</v>
      </c>
      <c r="I68">
        <v>383</v>
      </c>
      <c r="J68">
        <v>34</v>
      </c>
      <c r="K68" t="s">
        <v>414</v>
      </c>
      <c r="L68">
        <v>8203</v>
      </c>
      <c r="M68" t="s">
        <v>339</v>
      </c>
      <c r="N68" t="s">
        <v>83</v>
      </c>
      <c r="O68">
        <v>1</v>
      </c>
      <c r="P68">
        <v>1</v>
      </c>
      <c r="Q68">
        <v>-99</v>
      </c>
      <c r="R68" t="s">
        <v>692</v>
      </c>
    </row>
    <row r="69" spans="1:18" x14ac:dyDescent="0.2">
      <c r="A69">
        <v>68</v>
      </c>
      <c r="B69">
        <v>-99</v>
      </c>
      <c r="C69" t="s">
        <v>174</v>
      </c>
      <c r="D69" t="s">
        <v>76</v>
      </c>
      <c r="E69" t="s">
        <v>608</v>
      </c>
      <c r="F69" t="s">
        <v>609</v>
      </c>
      <c r="G69" t="s">
        <v>670</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610</v>
      </c>
      <c r="F70" t="s">
        <v>611</v>
      </c>
      <c r="G70" t="s">
        <v>670</v>
      </c>
      <c r="H70" t="s">
        <v>412</v>
      </c>
      <c r="I70">
        <v>383</v>
      </c>
      <c r="J70">
        <v>34</v>
      </c>
      <c r="K70" t="s">
        <v>414</v>
      </c>
      <c r="L70">
        <v>8204</v>
      </c>
      <c r="M70" t="s">
        <v>344</v>
      </c>
      <c r="N70" t="s">
        <v>418</v>
      </c>
      <c r="O70">
        <v>1</v>
      </c>
      <c r="P70">
        <v>2</v>
      </c>
      <c r="Q70">
        <v>-99</v>
      </c>
      <c r="R70" t="s">
        <v>692</v>
      </c>
    </row>
    <row r="71" spans="1:18" x14ac:dyDescent="0.2">
      <c r="A71">
        <v>70</v>
      </c>
      <c r="B71">
        <v>112</v>
      </c>
      <c r="C71" t="s">
        <v>176</v>
      </c>
      <c r="D71" t="s">
        <v>69</v>
      </c>
      <c r="E71" t="s">
        <v>612</v>
      </c>
      <c r="F71" t="s">
        <v>613</v>
      </c>
      <c r="G71" t="s">
        <v>670</v>
      </c>
      <c r="H71" t="s">
        <v>412</v>
      </c>
      <c r="I71">
        <v>383</v>
      </c>
      <c r="J71">
        <v>34</v>
      </c>
      <c r="K71" t="s">
        <v>414</v>
      </c>
      <c r="L71">
        <v>8205</v>
      </c>
      <c r="M71" t="s">
        <v>361</v>
      </c>
      <c r="N71" t="s">
        <v>419</v>
      </c>
      <c r="O71">
        <v>1</v>
      </c>
      <c r="P71">
        <v>2</v>
      </c>
      <c r="Q71">
        <v>-99</v>
      </c>
      <c r="R71" t="s">
        <v>692</v>
      </c>
    </row>
    <row r="72" spans="1:18" x14ac:dyDescent="0.2">
      <c r="A72">
        <v>71</v>
      </c>
      <c r="B72">
        <v>113</v>
      </c>
      <c r="C72" t="s">
        <v>177</v>
      </c>
      <c r="D72" t="s">
        <v>82</v>
      </c>
      <c r="E72" t="s">
        <v>614</v>
      </c>
      <c r="F72" t="s">
        <v>615</v>
      </c>
      <c r="G72" t="s">
        <v>668</v>
      </c>
      <c r="H72" t="s">
        <v>396</v>
      </c>
      <c r="I72">
        <v>382</v>
      </c>
      <c r="J72">
        <v>33</v>
      </c>
      <c r="K72" t="s">
        <v>395</v>
      </c>
      <c r="L72">
        <v>8206</v>
      </c>
      <c r="M72" t="s">
        <v>337</v>
      </c>
      <c r="N72" t="s">
        <v>420</v>
      </c>
      <c r="O72">
        <v>1</v>
      </c>
      <c r="P72">
        <v>2</v>
      </c>
      <c r="Q72">
        <v>-99</v>
      </c>
      <c r="R72" t="s">
        <v>692</v>
      </c>
    </row>
    <row r="73" spans="1:18" x14ac:dyDescent="0.2">
      <c r="A73">
        <v>72</v>
      </c>
      <c r="B73">
        <v>114</v>
      </c>
      <c r="C73" t="s">
        <v>178</v>
      </c>
      <c r="D73" t="s">
        <v>54</v>
      </c>
      <c r="E73" t="s">
        <v>616</v>
      </c>
      <c r="F73" t="s">
        <v>617</v>
      </c>
      <c r="G73" t="s">
        <v>668</v>
      </c>
      <c r="H73" t="s">
        <v>396</v>
      </c>
      <c r="I73">
        <v>382</v>
      </c>
      <c r="J73">
        <v>33</v>
      </c>
      <c r="K73" t="s">
        <v>395</v>
      </c>
      <c r="L73">
        <v>8207</v>
      </c>
      <c r="M73" t="s">
        <v>325</v>
      </c>
      <c r="N73" t="s">
        <v>421</v>
      </c>
      <c r="O73">
        <v>1</v>
      </c>
      <c r="P73">
        <v>2</v>
      </c>
      <c r="Q73">
        <v>-99</v>
      </c>
      <c r="R73" t="s">
        <v>692</v>
      </c>
    </row>
    <row r="74" spans="1:18" x14ac:dyDescent="0.2">
      <c r="A74">
        <v>73</v>
      </c>
      <c r="B74">
        <v>115</v>
      </c>
      <c r="C74" t="s">
        <v>179</v>
      </c>
      <c r="D74" t="s">
        <v>27</v>
      </c>
      <c r="E74" t="s">
        <v>618</v>
      </c>
      <c r="F74" t="s">
        <v>619</v>
      </c>
      <c r="G74" t="s">
        <v>668</v>
      </c>
      <c r="H74" t="s">
        <v>396</v>
      </c>
      <c r="I74">
        <v>382</v>
      </c>
      <c r="J74">
        <v>33</v>
      </c>
      <c r="K74" t="s">
        <v>395</v>
      </c>
      <c r="L74">
        <v>8208</v>
      </c>
      <c r="M74" t="s">
        <v>348</v>
      </c>
      <c r="N74" t="s">
        <v>422</v>
      </c>
      <c r="O74">
        <v>1</v>
      </c>
      <c r="P74">
        <v>2</v>
      </c>
      <c r="Q74">
        <v>-99</v>
      </c>
      <c r="R74" t="s">
        <v>692</v>
      </c>
    </row>
    <row r="75" spans="1:18" x14ac:dyDescent="0.2">
      <c r="A75">
        <v>74</v>
      </c>
      <c r="B75">
        <v>116</v>
      </c>
      <c r="C75" t="s">
        <v>180</v>
      </c>
      <c r="D75" t="s">
        <v>71</v>
      </c>
      <c r="E75" t="s">
        <v>620</v>
      </c>
      <c r="F75" t="s">
        <v>621</v>
      </c>
      <c r="G75" t="s">
        <v>670</v>
      </c>
      <c r="H75" t="s">
        <v>412</v>
      </c>
      <c r="I75">
        <v>383</v>
      </c>
      <c r="J75">
        <v>34</v>
      </c>
      <c r="K75" t="s">
        <v>414</v>
      </c>
      <c r="L75">
        <v>8210</v>
      </c>
      <c r="M75" t="s">
        <v>338</v>
      </c>
      <c r="N75" t="s">
        <v>423</v>
      </c>
      <c r="O75">
        <v>1</v>
      </c>
      <c r="P75">
        <v>2</v>
      </c>
      <c r="Q75">
        <v>-99</v>
      </c>
      <c r="R75" t="s">
        <v>692</v>
      </c>
    </row>
    <row r="76" spans="1:18" x14ac:dyDescent="0.2">
      <c r="A76">
        <v>75</v>
      </c>
      <c r="B76">
        <v>197</v>
      </c>
      <c r="C76" t="s">
        <v>181</v>
      </c>
      <c r="D76" t="s">
        <v>75</v>
      </c>
      <c r="E76" t="s">
        <v>622</v>
      </c>
      <c r="F76" t="s">
        <v>623</v>
      </c>
      <c r="G76" t="s">
        <v>667</v>
      </c>
      <c r="H76" t="s">
        <v>387</v>
      </c>
      <c r="I76">
        <v>381</v>
      </c>
      <c r="J76">
        <v>31</v>
      </c>
      <c r="K76" t="s">
        <v>390</v>
      </c>
      <c r="L76">
        <v>8211</v>
      </c>
      <c r="M76" t="s">
        <v>341</v>
      </c>
      <c r="N76" t="s">
        <v>437</v>
      </c>
      <c r="O76">
        <v>1</v>
      </c>
      <c r="P76">
        <v>2</v>
      </c>
      <c r="Q76">
        <v>-99</v>
      </c>
      <c r="R76" t="s">
        <v>692</v>
      </c>
    </row>
    <row r="77" spans="1:18" x14ac:dyDescent="0.2">
      <c r="A77">
        <v>76</v>
      </c>
      <c r="B77">
        <v>119</v>
      </c>
      <c r="C77" t="s">
        <v>182</v>
      </c>
      <c r="D77" t="s">
        <v>58</v>
      </c>
      <c r="E77" t="s">
        <v>624</v>
      </c>
      <c r="F77" t="s">
        <v>625</v>
      </c>
      <c r="G77" t="s">
        <v>670</v>
      </c>
      <c r="H77" t="s">
        <v>412</v>
      </c>
      <c r="I77">
        <v>383</v>
      </c>
      <c r="J77">
        <v>34</v>
      </c>
      <c r="K77" t="s">
        <v>414</v>
      </c>
      <c r="L77">
        <v>8223</v>
      </c>
      <c r="M77" t="s">
        <v>626</v>
      </c>
      <c r="N77" t="s">
        <v>627</v>
      </c>
      <c r="O77">
        <v>1</v>
      </c>
      <c r="P77">
        <v>2</v>
      </c>
      <c r="Q77">
        <v>-99</v>
      </c>
      <c r="R77" t="s">
        <v>692</v>
      </c>
    </row>
    <row r="78" spans="1:18" x14ac:dyDescent="0.2">
      <c r="A78">
        <v>77</v>
      </c>
      <c r="B78">
        <v>131</v>
      </c>
      <c r="C78" t="s">
        <v>183</v>
      </c>
      <c r="D78" t="s">
        <v>49</v>
      </c>
      <c r="E78" t="s">
        <v>628</v>
      </c>
      <c r="F78" t="s">
        <v>629</v>
      </c>
      <c r="G78" t="s">
        <v>668</v>
      </c>
      <c r="H78" t="s">
        <v>396</v>
      </c>
      <c r="I78">
        <v>382</v>
      </c>
      <c r="J78">
        <v>33</v>
      </c>
      <c r="K78" t="s">
        <v>395</v>
      </c>
      <c r="L78">
        <v>8226</v>
      </c>
      <c r="M78" t="s">
        <v>337</v>
      </c>
      <c r="N78" t="s">
        <v>420</v>
      </c>
      <c r="O78">
        <v>1</v>
      </c>
      <c r="P78">
        <v>2</v>
      </c>
      <c r="Q78">
        <v>-99</v>
      </c>
      <c r="R78" t="s">
        <v>692</v>
      </c>
    </row>
    <row r="79" spans="1:18" x14ac:dyDescent="0.2">
      <c r="A79">
        <v>78</v>
      </c>
      <c r="B79">
        <v>132</v>
      </c>
      <c r="C79" t="s">
        <v>679</v>
      </c>
      <c r="D79" t="s">
        <v>440</v>
      </c>
      <c r="E79" t="s">
        <v>630</v>
      </c>
      <c r="F79" t="s">
        <v>680</v>
      </c>
      <c r="G79" t="s">
        <v>667</v>
      </c>
      <c r="H79" t="s">
        <v>387</v>
      </c>
      <c r="I79">
        <v>381</v>
      </c>
      <c r="J79">
        <v>30</v>
      </c>
      <c r="K79" t="s">
        <v>379</v>
      </c>
      <c r="L79">
        <v>8229</v>
      </c>
      <c r="M79" t="s">
        <v>356</v>
      </c>
      <c r="N79" t="s">
        <v>424</v>
      </c>
      <c r="O79">
        <v>1</v>
      </c>
      <c r="P79">
        <v>2</v>
      </c>
      <c r="Q79">
        <v>-99</v>
      </c>
      <c r="R79" t="s">
        <v>692</v>
      </c>
    </row>
    <row r="80" spans="1:18" x14ac:dyDescent="0.2">
      <c r="A80">
        <v>79</v>
      </c>
      <c r="B80">
        <v>143</v>
      </c>
      <c r="C80" t="s">
        <v>184</v>
      </c>
      <c r="D80" t="s">
        <v>57</v>
      </c>
      <c r="E80" t="s">
        <v>631</v>
      </c>
      <c r="F80" t="s">
        <v>632</v>
      </c>
      <c r="G80" t="s">
        <v>666</v>
      </c>
      <c r="H80" t="s">
        <v>380</v>
      </c>
      <c r="I80">
        <v>380</v>
      </c>
      <c r="J80">
        <v>30</v>
      </c>
      <c r="K80" t="s">
        <v>379</v>
      </c>
      <c r="L80">
        <v>8230</v>
      </c>
      <c r="M80" t="s">
        <v>369</v>
      </c>
      <c r="N80" t="s">
        <v>425</v>
      </c>
      <c r="O80">
        <v>1</v>
      </c>
      <c r="P80">
        <v>2</v>
      </c>
      <c r="Q80">
        <v>-99</v>
      </c>
      <c r="R80" t="s">
        <v>692</v>
      </c>
    </row>
    <row r="81" spans="1:18" x14ac:dyDescent="0.2">
      <c r="A81">
        <v>80</v>
      </c>
      <c r="B81">
        <v>144</v>
      </c>
      <c r="C81" t="s">
        <v>681</v>
      </c>
      <c r="D81" t="s">
        <v>499</v>
      </c>
      <c r="E81" t="s">
        <v>681</v>
      </c>
      <c r="F81" t="s">
        <v>499</v>
      </c>
      <c r="G81" t="s">
        <v>678</v>
      </c>
      <c r="H81" t="s">
        <v>8</v>
      </c>
      <c r="I81">
        <v>-99</v>
      </c>
      <c r="J81">
        <v>35</v>
      </c>
      <c r="K81" t="s">
        <v>8</v>
      </c>
      <c r="L81">
        <v>8215</v>
      </c>
      <c r="M81" t="s">
        <v>349</v>
      </c>
      <c r="N81" t="s">
        <v>407</v>
      </c>
      <c r="O81">
        <v>1</v>
      </c>
      <c r="P81">
        <v>2</v>
      </c>
      <c r="Q81">
        <v>-99</v>
      </c>
      <c r="R81" t="s">
        <v>664</v>
      </c>
    </row>
    <row r="82" spans="1:18" x14ac:dyDescent="0.2">
      <c r="A82">
        <v>81</v>
      </c>
      <c r="B82">
        <v>145</v>
      </c>
      <c r="C82" t="s">
        <v>185</v>
      </c>
      <c r="D82" t="s">
        <v>74</v>
      </c>
      <c r="E82" t="s">
        <v>633</v>
      </c>
      <c r="F82" t="s">
        <v>634</v>
      </c>
      <c r="G82" t="s">
        <v>670</v>
      </c>
      <c r="H82" t="s">
        <v>412</v>
      </c>
      <c r="I82">
        <v>383</v>
      </c>
      <c r="J82">
        <v>34</v>
      </c>
      <c r="K82" t="s">
        <v>414</v>
      </c>
      <c r="L82">
        <v>8231</v>
      </c>
      <c r="M82" t="s">
        <v>342</v>
      </c>
      <c r="N82" t="s">
        <v>417</v>
      </c>
      <c r="O82">
        <v>1</v>
      </c>
      <c r="P82">
        <v>1</v>
      </c>
      <c r="Q82">
        <v>-99</v>
      </c>
      <c r="R82" t="s">
        <v>692</v>
      </c>
    </row>
    <row r="83" spans="1:18" x14ac:dyDescent="0.2">
      <c r="A83">
        <v>82</v>
      </c>
      <c r="B83">
        <v>-99</v>
      </c>
      <c r="C83" t="s">
        <v>185</v>
      </c>
      <c r="D83" t="s">
        <v>74</v>
      </c>
      <c r="E83" t="s">
        <v>635</v>
      </c>
      <c r="F83" t="s">
        <v>968</v>
      </c>
      <c r="G83" t="s">
        <v>670</v>
      </c>
      <c r="H83" t="s">
        <v>412</v>
      </c>
      <c r="I83">
        <v>383</v>
      </c>
      <c r="J83">
        <v>34</v>
      </c>
      <c r="K83" t="s">
        <v>414</v>
      </c>
      <c r="L83">
        <v>8231</v>
      </c>
      <c r="M83" t="s">
        <v>342</v>
      </c>
      <c r="N83" t="s">
        <v>417</v>
      </c>
      <c r="O83">
        <v>-99</v>
      </c>
      <c r="P83">
        <v>1</v>
      </c>
      <c r="Q83">
        <v>-99</v>
      </c>
      <c r="R83" t="s">
        <v>690</v>
      </c>
    </row>
    <row r="84" spans="1:18" x14ac:dyDescent="0.2">
      <c r="A84">
        <v>83</v>
      </c>
      <c r="B84">
        <v>151</v>
      </c>
      <c r="C84" t="s">
        <v>682</v>
      </c>
      <c r="D84" t="s">
        <v>8</v>
      </c>
      <c r="E84" t="s">
        <v>682</v>
      </c>
      <c r="F84" t="s">
        <v>500</v>
      </c>
      <c r="G84" t="s">
        <v>678</v>
      </c>
      <c r="H84" t="s">
        <v>8</v>
      </c>
      <c r="I84">
        <v>380</v>
      </c>
      <c r="J84">
        <v>35</v>
      </c>
      <c r="K84" t="s">
        <v>8</v>
      </c>
      <c r="L84">
        <v>3180155</v>
      </c>
      <c r="M84" t="s">
        <v>356</v>
      </c>
      <c r="N84" t="s">
        <v>424</v>
      </c>
      <c r="O84">
        <v>1</v>
      </c>
      <c r="P84">
        <v>2</v>
      </c>
      <c r="Q84">
        <v>-99</v>
      </c>
      <c r="R84" t="s">
        <v>664</v>
      </c>
    </row>
    <row r="85" spans="1:18" x14ac:dyDescent="0.2">
      <c r="A85">
        <v>84</v>
      </c>
      <c r="B85">
        <v>152</v>
      </c>
      <c r="C85" t="s">
        <v>186</v>
      </c>
      <c r="D85" t="s">
        <v>81</v>
      </c>
      <c r="E85" t="s">
        <v>636</v>
      </c>
      <c r="F85" t="s">
        <v>637</v>
      </c>
      <c r="G85" t="s">
        <v>666</v>
      </c>
      <c r="H85" t="s">
        <v>380</v>
      </c>
      <c r="I85">
        <v>380</v>
      </c>
      <c r="J85">
        <v>30</v>
      </c>
      <c r="K85" t="s">
        <v>379</v>
      </c>
      <c r="L85">
        <v>8234</v>
      </c>
      <c r="M85" t="s">
        <v>362</v>
      </c>
      <c r="N85" t="s">
        <v>426</v>
      </c>
      <c r="O85">
        <v>1</v>
      </c>
      <c r="P85">
        <v>2</v>
      </c>
      <c r="Q85">
        <v>-99</v>
      </c>
      <c r="R85" t="s">
        <v>692</v>
      </c>
    </row>
    <row r="86" spans="1:18" x14ac:dyDescent="0.2">
      <c r="A86">
        <v>85</v>
      </c>
      <c r="B86">
        <v>153</v>
      </c>
      <c r="C86" t="s">
        <v>92</v>
      </c>
      <c r="D86" t="s">
        <v>141</v>
      </c>
      <c r="E86" t="s">
        <v>638</v>
      </c>
      <c r="F86" t="s">
        <v>639</v>
      </c>
      <c r="G86" t="s">
        <v>666</v>
      </c>
      <c r="H86" t="s">
        <v>380</v>
      </c>
      <c r="I86">
        <v>380</v>
      </c>
      <c r="J86">
        <v>30</v>
      </c>
      <c r="K86" t="s">
        <v>379</v>
      </c>
      <c r="L86">
        <v>8236</v>
      </c>
      <c r="M86" t="s">
        <v>375</v>
      </c>
      <c r="N86" t="s">
        <v>427</v>
      </c>
      <c r="O86">
        <v>1</v>
      </c>
      <c r="P86">
        <v>2</v>
      </c>
      <c r="Q86">
        <v>-99</v>
      </c>
      <c r="R86" t="s">
        <v>692</v>
      </c>
    </row>
    <row r="87" spans="1:18" x14ac:dyDescent="0.2">
      <c r="A87">
        <v>86</v>
      </c>
      <c r="B87">
        <v>154</v>
      </c>
      <c r="C87" t="s">
        <v>188</v>
      </c>
      <c r="D87" t="s">
        <v>187</v>
      </c>
      <c r="E87" t="s">
        <v>640</v>
      </c>
      <c r="F87" t="s">
        <v>641</v>
      </c>
      <c r="G87" t="s">
        <v>670</v>
      </c>
      <c r="H87" t="s">
        <v>412</v>
      </c>
      <c r="I87">
        <v>383</v>
      </c>
      <c r="J87">
        <v>33</v>
      </c>
      <c r="K87" t="s">
        <v>395</v>
      </c>
      <c r="L87">
        <v>8265</v>
      </c>
      <c r="M87" t="s">
        <v>368</v>
      </c>
      <c r="N87" t="s">
        <v>428</v>
      </c>
      <c r="O87">
        <v>1</v>
      </c>
      <c r="P87">
        <v>2</v>
      </c>
      <c r="Q87">
        <v>-99</v>
      </c>
      <c r="R87" t="s">
        <v>692</v>
      </c>
    </row>
    <row r="88" spans="1:18" x14ac:dyDescent="0.2">
      <c r="A88">
        <v>87</v>
      </c>
      <c r="B88">
        <v>155</v>
      </c>
      <c r="C88" t="s">
        <v>189</v>
      </c>
      <c r="D88" t="s">
        <v>46</v>
      </c>
      <c r="E88" t="s">
        <v>642</v>
      </c>
      <c r="F88" t="s">
        <v>643</v>
      </c>
      <c r="G88" t="s">
        <v>668</v>
      </c>
      <c r="H88" t="s">
        <v>396</v>
      </c>
      <c r="I88">
        <v>382</v>
      </c>
      <c r="J88">
        <v>32</v>
      </c>
      <c r="K88" t="s">
        <v>400</v>
      </c>
      <c r="L88">
        <v>8266</v>
      </c>
      <c r="M88" t="s">
        <v>333</v>
      </c>
      <c r="N88" t="s">
        <v>429</v>
      </c>
      <c r="O88">
        <v>1</v>
      </c>
      <c r="P88">
        <v>2</v>
      </c>
      <c r="Q88">
        <v>-99</v>
      </c>
      <c r="R88" t="s">
        <v>692</v>
      </c>
    </row>
    <row r="89" spans="1:18" x14ac:dyDescent="0.2">
      <c r="A89">
        <v>88</v>
      </c>
      <c r="B89">
        <v>156</v>
      </c>
      <c r="C89" t="s">
        <v>190</v>
      </c>
      <c r="D89" t="s">
        <v>77</v>
      </c>
      <c r="E89" t="s">
        <v>644</v>
      </c>
      <c r="F89" t="s">
        <v>645</v>
      </c>
      <c r="G89" t="s">
        <v>668</v>
      </c>
      <c r="H89" t="s">
        <v>396</v>
      </c>
      <c r="I89">
        <v>382</v>
      </c>
      <c r="J89">
        <v>32</v>
      </c>
      <c r="K89" t="s">
        <v>400</v>
      </c>
      <c r="L89">
        <v>8267</v>
      </c>
      <c r="M89" t="s">
        <v>351</v>
      </c>
      <c r="N89" t="s">
        <v>430</v>
      </c>
      <c r="O89">
        <v>1</v>
      </c>
      <c r="P89">
        <v>2</v>
      </c>
      <c r="Q89">
        <v>-99</v>
      </c>
      <c r="R89" t="s">
        <v>692</v>
      </c>
    </row>
    <row r="90" spans="1:18" x14ac:dyDescent="0.2">
      <c r="A90">
        <v>89</v>
      </c>
      <c r="B90">
        <v>157</v>
      </c>
      <c r="C90" t="s">
        <v>683</v>
      </c>
      <c r="D90" t="s">
        <v>39</v>
      </c>
      <c r="E90" t="s">
        <v>646</v>
      </c>
      <c r="F90" t="s">
        <v>647</v>
      </c>
      <c r="G90" t="s">
        <v>670</v>
      </c>
      <c r="H90" t="s">
        <v>412</v>
      </c>
      <c r="I90">
        <v>383</v>
      </c>
      <c r="J90">
        <v>33</v>
      </c>
      <c r="K90" t="s">
        <v>395</v>
      </c>
      <c r="L90">
        <v>8271</v>
      </c>
      <c r="M90" t="s">
        <v>329</v>
      </c>
      <c r="N90" t="s">
        <v>431</v>
      </c>
      <c r="O90">
        <v>1</v>
      </c>
      <c r="P90">
        <v>2</v>
      </c>
      <c r="Q90">
        <v>-99</v>
      </c>
      <c r="R90" t="s">
        <v>692</v>
      </c>
    </row>
    <row r="91" spans="1:18" x14ac:dyDescent="0.2">
      <c r="A91">
        <v>90</v>
      </c>
      <c r="B91">
        <v>158</v>
      </c>
      <c r="C91" t="s">
        <v>191</v>
      </c>
      <c r="D91" t="s">
        <v>84</v>
      </c>
      <c r="E91" t="s">
        <v>648</v>
      </c>
      <c r="F91" t="s">
        <v>649</v>
      </c>
      <c r="G91" t="s">
        <v>668</v>
      </c>
      <c r="H91" t="s">
        <v>396</v>
      </c>
      <c r="I91">
        <v>382</v>
      </c>
      <c r="J91">
        <v>32</v>
      </c>
      <c r="K91" t="s">
        <v>400</v>
      </c>
      <c r="L91">
        <v>8209</v>
      </c>
      <c r="M91" t="s">
        <v>374</v>
      </c>
      <c r="N91" t="s">
        <v>432</v>
      </c>
      <c r="O91">
        <v>1</v>
      </c>
      <c r="P91">
        <v>2</v>
      </c>
      <c r="Q91">
        <v>-99</v>
      </c>
      <c r="R91" t="s">
        <v>692</v>
      </c>
    </row>
    <row r="92" spans="1:18" x14ac:dyDescent="0.2">
      <c r="A92">
        <v>91</v>
      </c>
      <c r="B92">
        <v>198</v>
      </c>
      <c r="C92" t="s">
        <v>192</v>
      </c>
      <c r="D92" t="s">
        <v>48</v>
      </c>
      <c r="E92" t="s">
        <v>650</v>
      </c>
      <c r="F92" t="s">
        <v>651</v>
      </c>
      <c r="G92" t="s">
        <v>670</v>
      </c>
      <c r="H92" t="s">
        <v>412</v>
      </c>
      <c r="I92">
        <v>383</v>
      </c>
      <c r="J92">
        <v>34</v>
      </c>
      <c r="K92" t="s">
        <v>414</v>
      </c>
      <c r="L92">
        <v>8224</v>
      </c>
      <c r="M92" t="s">
        <v>371</v>
      </c>
      <c r="N92" t="s">
        <v>438</v>
      </c>
      <c r="O92">
        <v>1</v>
      </c>
      <c r="P92">
        <v>2</v>
      </c>
      <c r="Q92">
        <v>-99</v>
      </c>
      <c r="R92" t="s">
        <v>692</v>
      </c>
    </row>
    <row r="93" spans="1:18" x14ac:dyDescent="0.2">
      <c r="A93">
        <v>92</v>
      </c>
      <c r="B93">
        <v>161</v>
      </c>
      <c r="C93" t="s">
        <v>193</v>
      </c>
      <c r="D93" t="s">
        <v>85</v>
      </c>
      <c r="E93" t="s">
        <v>652</v>
      </c>
      <c r="F93" t="s">
        <v>653</v>
      </c>
      <c r="G93" t="s">
        <v>666</v>
      </c>
      <c r="H93" t="s">
        <v>380</v>
      </c>
      <c r="I93">
        <v>380</v>
      </c>
      <c r="J93">
        <v>30</v>
      </c>
      <c r="K93" t="s">
        <v>379</v>
      </c>
      <c r="L93">
        <v>8225</v>
      </c>
      <c r="M93" t="s">
        <v>334</v>
      </c>
      <c r="N93" t="s">
        <v>433</v>
      </c>
      <c r="O93">
        <v>1</v>
      </c>
      <c r="P93">
        <v>2</v>
      </c>
      <c r="Q93">
        <v>-99</v>
      </c>
      <c r="R93" t="s">
        <v>692</v>
      </c>
    </row>
    <row r="94" spans="1:18" x14ac:dyDescent="0.2">
      <c r="A94">
        <v>93</v>
      </c>
      <c r="B94">
        <v>162</v>
      </c>
      <c r="C94" t="s">
        <v>194</v>
      </c>
      <c r="D94" t="s">
        <v>35</v>
      </c>
      <c r="E94" t="s">
        <v>654</v>
      </c>
      <c r="F94" t="s">
        <v>655</v>
      </c>
      <c r="G94" t="s">
        <v>670</v>
      </c>
      <c r="H94" t="s">
        <v>412</v>
      </c>
      <c r="I94">
        <v>383</v>
      </c>
      <c r="J94">
        <v>34</v>
      </c>
      <c r="K94" t="s">
        <v>414</v>
      </c>
      <c r="L94">
        <v>8227</v>
      </c>
      <c r="M94" t="s">
        <v>487</v>
      </c>
      <c r="N94" t="s">
        <v>434</v>
      </c>
      <c r="O94">
        <v>1</v>
      </c>
      <c r="P94">
        <v>2</v>
      </c>
      <c r="Q94">
        <v>-99</v>
      </c>
      <c r="R94" t="s">
        <v>692</v>
      </c>
    </row>
    <row r="95" spans="1:18" x14ac:dyDescent="0.2">
      <c r="A95">
        <v>94</v>
      </c>
      <c r="B95">
        <v>-99</v>
      </c>
      <c r="C95" t="s">
        <v>684</v>
      </c>
      <c r="D95" t="s">
        <v>8</v>
      </c>
      <c r="E95" t="s">
        <v>685</v>
      </c>
      <c r="F95" t="s">
        <v>232</v>
      </c>
      <c r="G95" t="s">
        <v>664</v>
      </c>
      <c r="H95" t="s">
        <v>8</v>
      </c>
      <c r="I95">
        <v>-99</v>
      </c>
      <c r="J95">
        <v>-99</v>
      </c>
      <c r="K95" t="s">
        <v>8</v>
      </c>
      <c r="L95">
        <v>-99</v>
      </c>
      <c r="M95" t="s">
        <v>664</v>
      </c>
      <c r="N95" t="s">
        <v>664</v>
      </c>
      <c r="O95">
        <v>-99</v>
      </c>
      <c r="P95">
        <v>-99</v>
      </c>
      <c r="Q95">
        <v>-99</v>
      </c>
      <c r="R95" t="s">
        <v>216</v>
      </c>
    </row>
    <row r="96" spans="1:18" x14ac:dyDescent="0.2">
      <c r="A96">
        <v>95</v>
      </c>
      <c r="B96">
        <v>-99</v>
      </c>
      <c r="C96" t="s">
        <v>684</v>
      </c>
      <c r="D96" t="s">
        <v>8</v>
      </c>
      <c r="E96" t="s">
        <v>686</v>
      </c>
      <c r="F96" t="s">
        <v>317</v>
      </c>
      <c r="G96" t="s">
        <v>664</v>
      </c>
      <c r="H96" t="s">
        <v>8</v>
      </c>
      <c r="I96">
        <v>-99</v>
      </c>
      <c r="J96">
        <v>-99</v>
      </c>
      <c r="K96" t="s">
        <v>8</v>
      </c>
      <c r="L96">
        <v>-99</v>
      </c>
      <c r="M96" t="s">
        <v>664</v>
      </c>
      <c r="N96" t="s">
        <v>664</v>
      </c>
      <c r="O96">
        <v>-99</v>
      </c>
      <c r="P96">
        <v>-99</v>
      </c>
      <c r="Q96">
        <v>-99</v>
      </c>
      <c r="R96" t="s">
        <v>689</v>
      </c>
    </row>
    <row r="97" spans="1:18" x14ac:dyDescent="0.2">
      <c r="A97">
        <v>96</v>
      </c>
      <c r="B97">
        <v>-99</v>
      </c>
      <c r="C97" t="s">
        <v>684</v>
      </c>
      <c r="D97" t="s">
        <v>8</v>
      </c>
      <c r="E97" t="s">
        <v>687</v>
      </c>
      <c r="F97" t="s">
        <v>316</v>
      </c>
      <c r="G97" t="s">
        <v>664</v>
      </c>
      <c r="H97" t="s">
        <v>8</v>
      </c>
      <c r="I97">
        <v>-99</v>
      </c>
      <c r="J97">
        <v>-99</v>
      </c>
      <c r="K97" t="s">
        <v>8</v>
      </c>
      <c r="L97">
        <v>-99</v>
      </c>
      <c r="M97" t="s">
        <v>664</v>
      </c>
      <c r="N97" t="s">
        <v>664</v>
      </c>
      <c r="O97">
        <v>-99</v>
      </c>
      <c r="P97">
        <v>-99</v>
      </c>
      <c r="Q97">
        <v>-99</v>
      </c>
      <c r="R97" t="s">
        <v>690</v>
      </c>
    </row>
    <row r="98" spans="1:18" x14ac:dyDescent="0.2">
      <c r="A98">
        <v>97</v>
      </c>
      <c r="B98">
        <v>-99</v>
      </c>
      <c r="C98" t="s">
        <v>684</v>
      </c>
      <c r="D98" t="s">
        <v>8</v>
      </c>
      <c r="E98" t="s">
        <v>684</v>
      </c>
      <c r="F98" t="s">
        <v>8</v>
      </c>
      <c r="G98" t="s">
        <v>664</v>
      </c>
      <c r="H98" t="s">
        <v>8</v>
      </c>
      <c r="I98">
        <v>-99</v>
      </c>
      <c r="J98">
        <v>-99</v>
      </c>
      <c r="K98" t="s">
        <v>8</v>
      </c>
      <c r="L98">
        <v>-99</v>
      </c>
      <c r="M98" t="s">
        <v>664</v>
      </c>
      <c r="N98" t="s">
        <v>664</v>
      </c>
      <c r="O98">
        <v>-99</v>
      </c>
      <c r="P98">
        <v>-99</v>
      </c>
      <c r="Q98">
        <v>-99</v>
      </c>
      <c r="R98" t="s">
        <v>664</v>
      </c>
    </row>
    <row r="99" spans="1:18" x14ac:dyDescent="0.2">
      <c r="A99">
        <v>98</v>
      </c>
      <c r="B99">
        <v>-99</v>
      </c>
      <c r="C99" t="s">
        <v>684</v>
      </c>
      <c r="D99" t="s">
        <v>8</v>
      </c>
      <c r="E99" t="s">
        <v>695</v>
      </c>
      <c r="F99" t="s">
        <v>696</v>
      </c>
      <c r="G99" t="s">
        <v>664</v>
      </c>
      <c r="H99" t="s">
        <v>8</v>
      </c>
      <c r="I99">
        <v>-99</v>
      </c>
      <c r="J99">
        <v>-99</v>
      </c>
      <c r="K99" t="s">
        <v>8</v>
      </c>
      <c r="L99">
        <v>-99</v>
      </c>
      <c r="M99" t="s">
        <v>664</v>
      </c>
      <c r="N99" t="s">
        <v>664</v>
      </c>
      <c r="O99">
        <v>-99</v>
      </c>
      <c r="P99">
        <v>-99</v>
      </c>
      <c r="Q99">
        <v>-99</v>
      </c>
      <c r="R99" t="s">
        <v>692</v>
      </c>
    </row>
    <row r="100" spans="1:18" x14ac:dyDescent="0.2">
      <c r="A100">
        <v>99</v>
      </c>
      <c r="B100">
        <v>250</v>
      </c>
      <c r="C100" t="s">
        <v>664</v>
      </c>
      <c r="D100" t="s">
        <v>35</v>
      </c>
      <c r="E100" t="s">
        <v>731</v>
      </c>
      <c r="F100" t="s">
        <v>697</v>
      </c>
      <c r="G100" t="s">
        <v>664</v>
      </c>
      <c r="H100" t="s">
        <v>412</v>
      </c>
      <c r="I100">
        <v>-99</v>
      </c>
      <c r="J100">
        <v>-99</v>
      </c>
      <c r="K100" t="s">
        <v>414</v>
      </c>
      <c r="L100">
        <v>-99</v>
      </c>
      <c r="M100" t="s">
        <v>664</v>
      </c>
      <c r="N100" t="s">
        <v>664</v>
      </c>
      <c r="O100">
        <v>-99</v>
      </c>
      <c r="P100">
        <v>-99</v>
      </c>
      <c r="Q100">
        <v>-99</v>
      </c>
      <c r="R100" t="s">
        <v>698</v>
      </c>
    </row>
    <row r="101" spans="1:18" x14ac:dyDescent="0.2">
      <c r="A101">
        <v>100</v>
      </c>
      <c r="B101">
        <v>256</v>
      </c>
      <c r="C101" t="s">
        <v>664</v>
      </c>
      <c r="D101" t="s">
        <v>220</v>
      </c>
      <c r="E101" t="s">
        <v>732</v>
      </c>
      <c r="F101" t="s">
        <v>699</v>
      </c>
      <c r="G101" t="s">
        <v>664</v>
      </c>
      <c r="H101" t="s">
        <v>396</v>
      </c>
      <c r="I101">
        <v>-99</v>
      </c>
      <c r="J101">
        <v>-99</v>
      </c>
      <c r="K101" t="s">
        <v>400</v>
      </c>
      <c r="L101">
        <v>-99</v>
      </c>
      <c r="M101" t="s">
        <v>664</v>
      </c>
      <c r="N101" t="s">
        <v>664</v>
      </c>
      <c r="O101">
        <v>-99</v>
      </c>
      <c r="P101">
        <v>-99</v>
      </c>
      <c r="Q101">
        <v>-99</v>
      </c>
      <c r="R101" t="s">
        <v>698</v>
      </c>
    </row>
    <row r="102" spans="1:18" x14ac:dyDescent="0.2">
      <c r="A102">
        <v>101</v>
      </c>
      <c r="B102">
        <v>257</v>
      </c>
      <c r="C102" t="s">
        <v>664</v>
      </c>
      <c r="D102" t="s">
        <v>217</v>
      </c>
      <c r="E102" t="s">
        <v>733</v>
      </c>
      <c r="F102" t="s">
        <v>700</v>
      </c>
      <c r="G102" t="s">
        <v>664</v>
      </c>
      <c r="H102" t="s">
        <v>396</v>
      </c>
      <c r="I102">
        <v>-99</v>
      </c>
      <c r="J102">
        <v>-99</v>
      </c>
      <c r="K102" t="s">
        <v>400</v>
      </c>
      <c r="L102">
        <v>-99</v>
      </c>
      <c r="M102" t="s">
        <v>664</v>
      </c>
      <c r="N102" t="s">
        <v>664</v>
      </c>
      <c r="O102">
        <v>-99</v>
      </c>
      <c r="P102">
        <v>-99</v>
      </c>
      <c r="Q102">
        <v>-99</v>
      </c>
      <c r="R102" t="s">
        <v>698</v>
      </c>
    </row>
    <row r="103" spans="1:18" x14ac:dyDescent="0.2">
      <c r="A103">
        <v>102</v>
      </c>
      <c r="B103">
        <v>258</v>
      </c>
      <c r="C103" t="s">
        <v>664</v>
      </c>
      <c r="D103" t="s">
        <v>218</v>
      </c>
      <c r="E103" t="s">
        <v>734</v>
      </c>
      <c r="F103" t="s">
        <v>701</v>
      </c>
      <c r="G103" t="s">
        <v>664</v>
      </c>
      <c r="H103" t="s">
        <v>380</v>
      </c>
      <c r="I103">
        <v>-99</v>
      </c>
      <c r="J103">
        <v>-99</v>
      </c>
      <c r="K103" t="s">
        <v>379</v>
      </c>
      <c r="L103">
        <v>-99</v>
      </c>
      <c r="M103" t="s">
        <v>664</v>
      </c>
      <c r="N103" t="s">
        <v>664</v>
      </c>
      <c r="O103">
        <v>-99</v>
      </c>
      <c r="P103">
        <v>-99</v>
      </c>
      <c r="Q103">
        <v>-99</v>
      </c>
      <c r="R103" t="s">
        <v>698</v>
      </c>
    </row>
    <row r="104" spans="1:18" x14ac:dyDescent="0.2">
      <c r="A104">
        <v>103</v>
      </c>
      <c r="B104">
        <v>259</v>
      </c>
      <c r="C104" t="s">
        <v>664</v>
      </c>
      <c r="D104" t="s">
        <v>141</v>
      </c>
      <c r="E104" t="s">
        <v>735</v>
      </c>
      <c r="F104" t="s">
        <v>702</v>
      </c>
      <c r="G104" t="s">
        <v>664</v>
      </c>
      <c r="H104" t="s">
        <v>380</v>
      </c>
      <c r="I104">
        <v>-99</v>
      </c>
      <c r="J104">
        <v>-99</v>
      </c>
      <c r="K104" t="s">
        <v>379</v>
      </c>
      <c r="L104">
        <v>-99</v>
      </c>
      <c r="M104" t="s">
        <v>664</v>
      </c>
      <c r="N104" t="s">
        <v>664</v>
      </c>
      <c r="O104">
        <v>-99</v>
      </c>
      <c r="P104">
        <v>-99</v>
      </c>
      <c r="Q104">
        <v>-99</v>
      </c>
      <c r="R104" t="s">
        <v>698</v>
      </c>
    </row>
    <row r="105" spans="1:18" x14ac:dyDescent="0.2">
      <c r="A105">
        <v>104</v>
      </c>
      <c r="B105">
        <v>260</v>
      </c>
      <c r="C105" t="s">
        <v>664</v>
      </c>
      <c r="D105" t="s">
        <v>49</v>
      </c>
      <c r="E105" t="s">
        <v>736</v>
      </c>
      <c r="F105" t="s">
        <v>703</v>
      </c>
      <c r="G105" t="s">
        <v>664</v>
      </c>
      <c r="H105" t="s">
        <v>396</v>
      </c>
      <c r="I105">
        <v>-99</v>
      </c>
      <c r="J105">
        <v>-99</v>
      </c>
      <c r="K105" t="s">
        <v>395</v>
      </c>
      <c r="L105">
        <v>-99</v>
      </c>
      <c r="M105" t="s">
        <v>664</v>
      </c>
      <c r="N105" t="s">
        <v>664</v>
      </c>
      <c r="O105">
        <v>-99</v>
      </c>
      <c r="P105">
        <v>-99</v>
      </c>
      <c r="Q105">
        <v>-99</v>
      </c>
      <c r="R105" t="s">
        <v>698</v>
      </c>
    </row>
    <row r="106" spans="1:18" x14ac:dyDescent="0.2">
      <c r="A106">
        <v>105</v>
      </c>
      <c r="B106">
        <v>261</v>
      </c>
      <c r="C106" t="s">
        <v>664</v>
      </c>
      <c r="D106" t="s">
        <v>68</v>
      </c>
      <c r="E106" t="s">
        <v>737</v>
      </c>
      <c r="F106" t="s">
        <v>704</v>
      </c>
      <c r="G106" t="s">
        <v>664</v>
      </c>
      <c r="H106" t="s">
        <v>380</v>
      </c>
      <c r="I106">
        <v>-99</v>
      </c>
      <c r="J106">
        <v>-99</v>
      </c>
      <c r="K106" t="s">
        <v>379</v>
      </c>
      <c r="L106">
        <v>-99</v>
      </c>
      <c r="M106" t="s">
        <v>664</v>
      </c>
      <c r="N106" t="s">
        <v>664</v>
      </c>
      <c r="O106">
        <v>-99</v>
      </c>
      <c r="P106">
        <v>-99</v>
      </c>
      <c r="Q106">
        <v>-99</v>
      </c>
      <c r="R106" t="s">
        <v>698</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Normal="100" workbookViewId="0"/>
  </sheetViews>
  <sheetFormatPr defaultRowHeight="12.75" x14ac:dyDescent="0.2"/>
  <cols>
    <col min="2" max="2" width="14.5703125" customWidth="1"/>
    <col min="3" max="3" width="13.140625" customWidth="1"/>
    <col min="4" max="4" width="15.14062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1047</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647</v>
      </c>
      <c r="D11" t="s">
        <v>594</v>
      </c>
      <c r="E11" t="s">
        <v>641</v>
      </c>
      <c r="F11" t="s">
        <v>629</v>
      </c>
      <c r="G11" t="s">
        <v>565</v>
      </c>
      <c r="H11" t="s">
        <v>617</v>
      </c>
      <c r="I11" t="s">
        <v>619</v>
      </c>
      <c r="J11" t="s">
        <v>561</v>
      </c>
      <c r="K11" t="s">
        <v>598</v>
      </c>
      <c r="L11" t="s">
        <v>615</v>
      </c>
      <c r="M11" t="s">
        <v>461</v>
      </c>
      <c r="N11" t="s">
        <v>461</v>
      </c>
      <c r="O11" t="s">
        <v>461</v>
      </c>
      <c r="P11" t="s">
        <v>461</v>
      </c>
      <c r="Q11" t="s">
        <v>461</v>
      </c>
      <c r="R11" t="s">
        <v>461</v>
      </c>
    </row>
    <row r="12" spans="2:33" x14ac:dyDescent="0.2">
      <c r="B12" t="s">
        <v>400</v>
      </c>
      <c r="C12" t="s">
        <v>577</v>
      </c>
      <c r="D12" t="s">
        <v>569</v>
      </c>
      <c r="E12" t="s">
        <v>586</v>
      </c>
      <c r="F12" t="s">
        <v>579</v>
      </c>
      <c r="G12" t="s">
        <v>643</v>
      </c>
      <c r="H12" t="s">
        <v>571</v>
      </c>
      <c r="I12" t="s">
        <v>588</v>
      </c>
      <c r="J12" t="s">
        <v>581</v>
      </c>
      <c r="K12" t="s">
        <v>645</v>
      </c>
      <c r="L12" t="s">
        <v>584</v>
      </c>
      <c r="M12" t="s">
        <v>590</v>
      </c>
      <c r="N12" t="s">
        <v>649</v>
      </c>
      <c r="O12" t="s">
        <v>461</v>
      </c>
      <c r="P12" t="s">
        <v>461</v>
      </c>
      <c r="Q12" t="s">
        <v>461</v>
      </c>
      <c r="R12" t="s">
        <v>461</v>
      </c>
    </row>
    <row r="13" spans="2:33" x14ac:dyDescent="0.2">
      <c r="B13" t="s">
        <v>379</v>
      </c>
      <c r="C13" t="s">
        <v>543</v>
      </c>
      <c r="D13" t="s">
        <v>522</v>
      </c>
      <c r="E13" t="s">
        <v>530</v>
      </c>
      <c r="F13" t="s">
        <v>532</v>
      </c>
      <c r="G13" t="s">
        <v>547</v>
      </c>
      <c r="H13" t="s">
        <v>632</v>
      </c>
      <c r="I13" t="s">
        <v>528</v>
      </c>
      <c r="J13" t="s">
        <v>534</v>
      </c>
      <c r="K13" t="s">
        <v>536</v>
      </c>
      <c r="L13" t="s">
        <v>539</v>
      </c>
      <c r="M13" t="s">
        <v>524</v>
      </c>
      <c r="N13" t="s">
        <v>545</v>
      </c>
      <c r="O13" t="s">
        <v>637</v>
      </c>
      <c r="P13" t="s">
        <v>639</v>
      </c>
      <c r="Q13" t="s">
        <v>653</v>
      </c>
      <c r="R13" t="s">
        <v>553</v>
      </c>
    </row>
    <row r="14" spans="2:33" x14ac:dyDescent="0.2">
      <c r="B14" t="s">
        <v>414</v>
      </c>
      <c r="C14" t="s">
        <v>596</v>
      </c>
      <c r="D14" t="s">
        <v>655</v>
      </c>
      <c r="E14" t="s">
        <v>611</v>
      </c>
      <c r="F14" t="s">
        <v>651</v>
      </c>
      <c r="G14" t="s">
        <v>603</v>
      </c>
      <c r="H14" t="s">
        <v>625</v>
      </c>
      <c r="I14" t="s">
        <v>601</v>
      </c>
      <c r="J14" t="s">
        <v>605</v>
      </c>
      <c r="K14" t="s">
        <v>613</v>
      </c>
      <c r="L14" t="s">
        <v>621</v>
      </c>
      <c r="M14" t="s">
        <v>634</v>
      </c>
      <c r="N14" t="s">
        <v>607</v>
      </c>
      <c r="O14" t="s">
        <v>461</v>
      </c>
      <c r="P14" t="s">
        <v>461</v>
      </c>
      <c r="Q14" t="s">
        <v>461</v>
      </c>
      <c r="R14" t="s">
        <v>461</v>
      </c>
    </row>
    <row r="15" spans="2:33" x14ac:dyDescent="0.2">
      <c r="B15" t="s">
        <v>390</v>
      </c>
      <c r="C15" t="s">
        <v>549</v>
      </c>
      <c r="D15" t="s">
        <v>557</v>
      </c>
      <c r="E15" t="s">
        <v>573</v>
      </c>
      <c r="F15" t="s">
        <v>563</v>
      </c>
      <c r="G15" t="s">
        <v>559</v>
      </c>
      <c r="H15" t="s">
        <v>623</v>
      </c>
      <c r="I15" t="s">
        <v>551</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985</v>
      </c>
      <c r="C19" t="s">
        <v>986</v>
      </c>
      <c r="D19" t="s">
        <v>987</v>
      </c>
    </row>
    <row r="20" spans="2:4" x14ac:dyDescent="0.2">
      <c r="B20" s="152">
        <v>42238</v>
      </c>
      <c r="C20">
        <v>23975</v>
      </c>
      <c r="D20">
        <v>8</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0"/>
      <c r="B1" s="131"/>
      <c r="C1" s="131"/>
      <c r="D1" s="131"/>
      <c r="E1" s="131"/>
      <c r="F1" s="131"/>
      <c r="G1" s="132"/>
      <c r="H1" s="133"/>
      <c r="I1" s="133"/>
      <c r="J1" s="133"/>
      <c r="K1" s="134"/>
    </row>
    <row r="2" spans="1:11" ht="39" customHeight="1" thickBot="1" x14ac:dyDescent="0.25">
      <c r="A2" s="130"/>
      <c r="B2" s="309" t="s">
        <v>991</v>
      </c>
      <c r="C2" s="310"/>
      <c r="D2" s="310"/>
      <c r="E2" s="310"/>
      <c r="F2" s="310"/>
      <c r="G2" s="311"/>
      <c r="H2" s="135" t="s">
        <v>5</v>
      </c>
      <c r="I2" s="136" t="s">
        <v>2</v>
      </c>
      <c r="J2" s="136" t="s">
        <v>236</v>
      </c>
      <c r="K2" s="134"/>
    </row>
    <row r="3" spans="1:11" ht="59.25" customHeight="1" x14ac:dyDescent="0.2">
      <c r="A3" s="130"/>
      <c r="B3" s="312"/>
      <c r="C3" s="313"/>
      <c r="D3" s="313"/>
      <c r="E3" s="313"/>
      <c r="F3" s="313"/>
      <c r="G3" s="313"/>
      <c r="H3" s="305">
        <f>SUM(H5,H10)</f>
        <v>362799</v>
      </c>
      <c r="I3" s="305">
        <f>SUM(I5,I10)</f>
        <v>98535</v>
      </c>
      <c r="J3" s="307">
        <f>ROUND(I3/H3,5)</f>
        <v>0.27160000000000001</v>
      </c>
      <c r="K3" s="134"/>
    </row>
    <row r="4" spans="1:11" ht="33" customHeight="1" thickBot="1" x14ac:dyDescent="0.25">
      <c r="A4" s="130"/>
      <c r="B4" s="316" t="str">
        <f>"As of: "&amp;TEXT(INDEX(MMWR_DATES[],1,1),"MMMM DD, YYYY")</f>
        <v>As of: August 22, 2015</v>
      </c>
      <c r="C4" s="317"/>
      <c r="D4" s="317"/>
      <c r="E4" s="317"/>
      <c r="F4" s="317"/>
      <c r="G4" s="318"/>
      <c r="H4" s="306"/>
      <c r="I4" s="306"/>
      <c r="J4" s="308"/>
      <c r="K4" s="137"/>
    </row>
    <row r="5" spans="1:11" ht="16.5" customHeight="1" thickBot="1" x14ac:dyDescent="0.25">
      <c r="A5" s="130"/>
      <c r="B5" s="314" t="s">
        <v>241</v>
      </c>
      <c r="C5" s="315"/>
      <c r="D5" s="315"/>
      <c r="E5" s="315"/>
      <c r="F5" s="315"/>
      <c r="G5" s="138" t="s">
        <v>252</v>
      </c>
      <c r="H5" s="161">
        <f>SUM(H6:H9)</f>
        <v>139448</v>
      </c>
      <c r="I5" s="161">
        <f>SUM(I6:I9)</f>
        <v>44457</v>
      </c>
      <c r="J5" s="162">
        <f t="shared" ref="J5:J15" si="0">IF(H5=0, 0,I5/H5)</f>
        <v>0.3188070104985371</v>
      </c>
      <c r="K5" s="134"/>
    </row>
    <row r="6" spans="1:11" ht="16.5" customHeight="1" x14ac:dyDescent="0.2">
      <c r="A6" s="130"/>
      <c r="B6" s="319" t="s">
        <v>16</v>
      </c>
      <c r="C6" s="320"/>
      <c r="D6" s="320"/>
      <c r="E6" s="320"/>
      <c r="F6" s="320"/>
      <c r="G6" s="139" t="s">
        <v>198</v>
      </c>
      <c r="H6" s="163">
        <f>IFERROR(VLOOKUP(MID($G6,4,3),MMWR_TRAD_AGG_NATIONAL[],2,0),0)</f>
        <v>40498</v>
      </c>
      <c r="I6" s="163">
        <f>IFERROR(VLOOKUP(MID($G6,4,3),MMWR_TRAD_AGG_NATIONAL[],3,0),0)</f>
        <v>14531</v>
      </c>
      <c r="J6" s="164">
        <f t="shared" si="0"/>
        <v>0.35880784236258578</v>
      </c>
      <c r="K6" s="134"/>
    </row>
    <row r="7" spans="1:11" ht="16.5" customHeight="1" x14ac:dyDescent="0.2">
      <c r="A7" s="130"/>
      <c r="B7" s="321" t="s">
        <v>0</v>
      </c>
      <c r="C7" s="322"/>
      <c r="D7" s="322"/>
      <c r="E7" s="322"/>
      <c r="F7" s="322"/>
      <c r="G7" s="140" t="s">
        <v>199</v>
      </c>
      <c r="H7" s="163">
        <f>IFERROR(VLOOKUP(MID($G7,4,3),MMWR_TRAD_AGG_NATIONAL[],2,0),0)</f>
        <v>86855</v>
      </c>
      <c r="I7" s="163">
        <f>IFERROR(VLOOKUP(MID($G7,4,3),MMWR_TRAD_AGG_NATIONAL[],3,0),0)</f>
        <v>28523</v>
      </c>
      <c r="J7" s="164">
        <f t="shared" si="0"/>
        <v>0.32839790455356627</v>
      </c>
      <c r="K7" s="134"/>
    </row>
    <row r="8" spans="1:11" ht="16.5" customHeight="1" x14ac:dyDescent="0.2">
      <c r="A8" s="130"/>
      <c r="B8" s="323" t="s">
        <v>242</v>
      </c>
      <c r="C8" s="324"/>
      <c r="D8" s="324"/>
      <c r="E8" s="324"/>
      <c r="F8" s="324"/>
      <c r="G8" s="141" t="s">
        <v>201</v>
      </c>
      <c r="H8" s="163">
        <f>IFERROR(VLOOKUP(MID($G8,4,3),MMWR_TRAD_AGG_NATIONAL[],2,0),0)</f>
        <v>5459</v>
      </c>
      <c r="I8" s="163">
        <f>IFERROR(VLOOKUP(MID($G8,4,3),MMWR_TRAD_AGG_NATIONAL[],3,0),0)</f>
        <v>279</v>
      </c>
      <c r="J8" s="164">
        <f t="shared" si="0"/>
        <v>5.1108261586371127E-2</v>
      </c>
      <c r="K8" s="134"/>
    </row>
    <row r="9" spans="1:11" ht="16.5" customHeight="1" thickBot="1" x14ac:dyDescent="0.25">
      <c r="A9" s="130"/>
      <c r="B9" s="325" t="s">
        <v>17</v>
      </c>
      <c r="C9" s="326"/>
      <c r="D9" s="326"/>
      <c r="E9" s="326"/>
      <c r="F9" s="326"/>
      <c r="G9" s="140" t="s">
        <v>203</v>
      </c>
      <c r="H9" s="163">
        <f>IFERROR(VLOOKUP(MID($G9,4,3),MMWR_TRAD_AGG_NATIONAL[],2,0),0)</f>
        <v>6636</v>
      </c>
      <c r="I9" s="163">
        <f>IFERROR(VLOOKUP(MID($G9,4,3),MMWR_TRAD_AGG_NATIONAL[],3,0),0)</f>
        <v>1124</v>
      </c>
      <c r="J9" s="164">
        <f t="shared" si="0"/>
        <v>0.16937914406268836</v>
      </c>
      <c r="K9" s="134"/>
    </row>
    <row r="10" spans="1:11" ht="17.25" thickBot="1" x14ac:dyDescent="0.25">
      <c r="A10" s="130"/>
      <c r="B10" s="314" t="s">
        <v>1</v>
      </c>
      <c r="C10" s="315"/>
      <c r="D10" s="315"/>
      <c r="E10" s="315"/>
      <c r="F10" s="315"/>
      <c r="G10" s="138" t="s">
        <v>252</v>
      </c>
      <c r="H10" s="161">
        <f>SUM(H11:H18)</f>
        <v>223351</v>
      </c>
      <c r="I10" s="161">
        <f>SUM(I11:I18)</f>
        <v>54078</v>
      </c>
      <c r="J10" s="162">
        <f t="shared" si="0"/>
        <v>0.24212114564071796</v>
      </c>
      <c r="K10" s="134"/>
    </row>
    <row r="11" spans="1:11" ht="16.5" customHeight="1" x14ac:dyDescent="0.2">
      <c r="A11" s="130"/>
      <c r="B11" s="319" t="s">
        <v>207</v>
      </c>
      <c r="C11" s="320"/>
      <c r="D11" s="320"/>
      <c r="E11" s="320"/>
      <c r="F11" s="320"/>
      <c r="G11" s="142" t="s">
        <v>202</v>
      </c>
      <c r="H11" s="165">
        <f>IFERROR(VLOOKUP(MID($G11,4,3),MMWR_TRAD_AGG_NATIONAL[],2,0),0)</f>
        <v>5758</v>
      </c>
      <c r="I11" s="163">
        <f>IFERROR(VLOOKUP(MID($G11,4,3),MMWR_TRAD_AGG_NATIONAL[],3,0),0)</f>
        <v>238</v>
      </c>
      <c r="J11" s="164">
        <f t="shared" si="0"/>
        <v>4.133379645710316E-2</v>
      </c>
      <c r="K11" s="134"/>
    </row>
    <row r="12" spans="1:11" ht="16.5" customHeight="1" x14ac:dyDescent="0.2">
      <c r="A12" s="130"/>
      <c r="B12" s="321" t="s">
        <v>18</v>
      </c>
      <c r="C12" s="322"/>
      <c r="D12" s="322"/>
      <c r="E12" s="322"/>
      <c r="F12" s="322"/>
      <c r="G12" s="143" t="s">
        <v>200</v>
      </c>
      <c r="H12" s="166">
        <f>IFERROR(VLOOKUP(MID($G12,4,3),MMWR_TRAD_AGG_NATIONAL[],2,0),0)</f>
        <v>202351</v>
      </c>
      <c r="I12" s="163">
        <f>IFERROR(VLOOKUP(MID($G12,4,3),MMWR_TRAD_AGG_NATIONAL[],3,0),0)</f>
        <v>51985</v>
      </c>
      <c r="J12" s="164">
        <f t="shared" si="0"/>
        <v>0.25690508077548418</v>
      </c>
      <c r="K12" s="134"/>
    </row>
    <row r="13" spans="1:11" ht="16.5" customHeight="1" x14ac:dyDescent="0.2">
      <c r="A13" s="130"/>
      <c r="B13" s="321" t="s">
        <v>14</v>
      </c>
      <c r="C13" s="322"/>
      <c r="D13" s="322"/>
      <c r="E13" s="322"/>
      <c r="F13" s="322"/>
      <c r="G13" s="143" t="s">
        <v>204</v>
      </c>
      <c r="H13" s="166">
        <f>IFERROR(VLOOKUP(MID($G13,4,3),MMWR_TRAD_AGG_NATIONAL[],2,0),0)</f>
        <v>14990</v>
      </c>
      <c r="I13" s="163">
        <f>IFERROR(VLOOKUP(MID($G13,4,3),MMWR_TRAD_AGG_NATIONAL[],3,0),0)</f>
        <v>1807</v>
      </c>
      <c r="J13" s="164">
        <f t="shared" si="0"/>
        <v>0.12054703135423615</v>
      </c>
      <c r="K13" s="134"/>
    </row>
    <row r="14" spans="1:11" ht="16.5" customHeight="1" x14ac:dyDescent="0.2">
      <c r="A14" s="130"/>
      <c r="B14" s="323" t="s">
        <v>19</v>
      </c>
      <c r="C14" s="324"/>
      <c r="D14" s="324"/>
      <c r="E14" s="324"/>
      <c r="F14" s="324"/>
      <c r="G14" s="142" t="s">
        <v>205</v>
      </c>
      <c r="H14" s="166">
        <f>IFERROR(VLOOKUP(MID($G14,4,3),MMWR_TRAD_AGG_NATIONAL[],2,0),0)</f>
        <v>218</v>
      </c>
      <c r="I14" s="163">
        <f>IFERROR(VLOOKUP(MID($G14,4,3),MMWR_TRAD_AGG_NATIONAL[],3,0),0)</f>
        <v>42</v>
      </c>
      <c r="J14" s="164">
        <f t="shared" si="0"/>
        <v>0.19266055045871561</v>
      </c>
      <c r="K14" s="134"/>
    </row>
    <row r="15" spans="1:11" ht="16.5" customHeight="1" x14ac:dyDescent="0.2">
      <c r="A15" s="130"/>
      <c r="B15" s="323" t="s">
        <v>87</v>
      </c>
      <c r="C15" s="324"/>
      <c r="D15" s="324"/>
      <c r="E15" s="324"/>
      <c r="F15" s="324"/>
      <c r="G15" s="142" t="s">
        <v>208</v>
      </c>
      <c r="H15" s="166">
        <f>IFERROR(VLOOKUP(MID($G15,4,3),MMWR_TRAD_AGG_NATIONAL[],2,0),0)</f>
        <v>11</v>
      </c>
      <c r="I15" s="163">
        <f>IFERROR(VLOOKUP(MID($G15,4,3),MMWR_TRAD_AGG_NATIONAL[],3,0),0)</f>
        <v>5</v>
      </c>
      <c r="J15" s="164">
        <f t="shared" si="0"/>
        <v>0.45454545454545453</v>
      </c>
      <c r="K15" s="134"/>
    </row>
    <row r="16" spans="1:11" ht="15" x14ac:dyDescent="0.2">
      <c r="A16" s="130"/>
      <c r="B16" s="323" t="s">
        <v>88</v>
      </c>
      <c r="C16" s="324"/>
      <c r="D16" s="324"/>
      <c r="E16" s="324"/>
      <c r="F16" s="324"/>
      <c r="G16" s="142" t="s">
        <v>209</v>
      </c>
      <c r="H16" s="166">
        <f>IFERROR(VLOOKUP(MID($G16,4,3),MMWR_TRAD_AGG_NATIONAL[],2,0),0)</f>
        <v>1</v>
      </c>
      <c r="I16" s="163">
        <f>IFERROR(VLOOKUP(MID($G16,4,3),MMWR_TRAD_AGG_NATIONAL[],3,0),0)</f>
        <v>1</v>
      </c>
      <c r="J16" s="164">
        <f>IF(H16=0, 0,I16/H16)</f>
        <v>1</v>
      </c>
      <c r="K16" s="134"/>
    </row>
    <row r="17" spans="1:11" ht="16.5" customHeight="1" x14ac:dyDescent="0.2">
      <c r="A17" s="130"/>
      <c r="B17" s="323" t="s">
        <v>90</v>
      </c>
      <c r="C17" s="324"/>
      <c r="D17" s="324"/>
      <c r="E17" s="324"/>
      <c r="F17" s="324"/>
      <c r="G17" s="142" t="s">
        <v>210</v>
      </c>
      <c r="H17" s="166">
        <f>IFERROR(VLOOKUP(MID($G17,4,3),MMWR_TRAD_AGG_NATIONAL[],2,0),0)</f>
        <v>16</v>
      </c>
      <c r="I17" s="163">
        <f>IFERROR(VLOOKUP(MID($G17,4,3),MMWR_TRAD_AGG_NATIONAL[],3,0),0)</f>
        <v>0</v>
      </c>
      <c r="J17" s="164">
        <f>IF(H17=0, 0,I17/H17)</f>
        <v>0</v>
      </c>
      <c r="K17" s="134"/>
    </row>
    <row r="18" spans="1:11" ht="16.5" customHeight="1" thickBot="1" x14ac:dyDescent="0.25">
      <c r="A18" s="130"/>
      <c r="B18" s="325" t="s">
        <v>89</v>
      </c>
      <c r="C18" s="326"/>
      <c r="D18" s="326"/>
      <c r="E18" s="326"/>
      <c r="F18" s="326"/>
      <c r="G18" s="142" t="s">
        <v>211</v>
      </c>
      <c r="H18" s="167">
        <f>IFERROR(VLOOKUP(MID($G18,4,3),MMWR_TRAD_AGG_NATIONAL[],2,0),0)</f>
        <v>6</v>
      </c>
      <c r="I18" s="163">
        <f>IFERROR(VLOOKUP(MID($G18,4,3),MMWR_TRAD_AGG_NATIONAL[],3,0),0)</f>
        <v>0</v>
      </c>
      <c r="J18" s="168">
        <f>IF(H18=0, 0,I18/H18)</f>
        <v>0</v>
      </c>
      <c r="K18" s="134"/>
    </row>
    <row r="19" spans="1:11" ht="16.5" customHeight="1" x14ac:dyDescent="0.2">
      <c r="A19" s="130"/>
      <c r="B19" s="330" t="s">
        <v>981</v>
      </c>
      <c r="C19" s="331"/>
      <c r="D19" s="331"/>
      <c r="E19" s="331"/>
      <c r="F19" s="331"/>
      <c r="G19" s="331"/>
      <c r="H19" s="331"/>
      <c r="I19" s="331"/>
      <c r="J19" s="332"/>
      <c r="K19" s="134"/>
    </row>
    <row r="20" spans="1:11" ht="36" customHeight="1" thickBot="1" x14ac:dyDescent="0.25">
      <c r="A20" s="130"/>
      <c r="B20" s="333"/>
      <c r="C20" s="334"/>
      <c r="D20" s="334"/>
      <c r="E20" s="334"/>
      <c r="F20" s="334"/>
      <c r="G20" s="334"/>
      <c r="H20" s="334"/>
      <c r="I20" s="334"/>
      <c r="J20" s="335"/>
      <c r="K20" s="134"/>
    </row>
    <row r="21" spans="1:11" ht="36" customHeight="1" x14ac:dyDescent="0.2">
      <c r="A21" s="130"/>
      <c r="B21" s="282" t="s">
        <v>972</v>
      </c>
      <c r="C21" s="283"/>
      <c r="D21" s="284"/>
      <c r="E21" s="282" t="s">
        <v>973</v>
      </c>
      <c r="F21" s="283"/>
      <c r="G21" s="284"/>
      <c r="H21" s="282" t="s">
        <v>974</v>
      </c>
      <c r="I21" s="283"/>
      <c r="J21" s="284"/>
      <c r="K21" s="134"/>
    </row>
    <row r="22" spans="1:11" ht="29.25" customHeight="1" thickBot="1" x14ac:dyDescent="0.25">
      <c r="A22" s="130"/>
      <c r="B22" s="285"/>
      <c r="C22" s="286"/>
      <c r="D22" s="287"/>
      <c r="E22" s="285"/>
      <c r="F22" s="286"/>
      <c r="G22" s="287"/>
      <c r="H22" s="285"/>
      <c r="I22" s="286"/>
      <c r="J22" s="287"/>
      <c r="K22" s="134"/>
    </row>
    <row r="23" spans="1:11" ht="36" customHeight="1" x14ac:dyDescent="0.35">
      <c r="A23" s="130"/>
      <c r="B23" s="282" t="s">
        <v>966</v>
      </c>
      <c r="C23" s="283"/>
      <c r="D23" s="284"/>
      <c r="E23" s="282" t="s">
        <v>967</v>
      </c>
      <c r="F23" s="283"/>
      <c r="G23" s="284"/>
      <c r="H23" s="144"/>
      <c r="I23" s="144"/>
      <c r="J23" s="144"/>
      <c r="K23" s="134"/>
    </row>
    <row r="24" spans="1:11" ht="29.25" customHeight="1" thickBot="1" x14ac:dyDescent="0.4">
      <c r="A24" s="130"/>
      <c r="B24" s="285"/>
      <c r="C24" s="286"/>
      <c r="D24" s="287"/>
      <c r="E24" s="285"/>
      <c r="F24" s="286"/>
      <c r="G24" s="287"/>
      <c r="H24" s="144"/>
      <c r="I24" s="144"/>
      <c r="J24" s="144"/>
      <c r="K24" s="134"/>
    </row>
    <row r="25" spans="1:11" ht="29.25" customHeight="1" thickBot="1" x14ac:dyDescent="0.25">
      <c r="A25" s="130"/>
      <c r="B25" s="145"/>
      <c r="C25" s="146"/>
      <c r="D25" s="146"/>
      <c r="E25" s="146"/>
      <c r="F25" s="146"/>
      <c r="G25" s="146"/>
      <c r="H25" s="146"/>
      <c r="I25" s="146"/>
      <c r="J25" s="146"/>
      <c r="K25" s="147"/>
    </row>
    <row r="26" spans="1:11" ht="38.25" x14ac:dyDescent="0.2">
      <c r="A26" s="130"/>
      <c r="B26" s="148" t="s">
        <v>23</v>
      </c>
      <c r="C26" s="303"/>
      <c r="D26" s="303"/>
      <c r="E26" s="303"/>
      <c r="F26" s="304"/>
      <c r="G26" s="49" t="s">
        <v>28</v>
      </c>
      <c r="H26" s="49" t="s">
        <v>29</v>
      </c>
      <c r="I26" s="49" t="s">
        <v>30</v>
      </c>
      <c r="J26" s="149" t="s">
        <v>31</v>
      </c>
      <c r="K26" s="134"/>
    </row>
    <row r="27" spans="1:11" ht="16.5" x14ac:dyDescent="0.2">
      <c r="A27" s="130"/>
      <c r="B27" s="300" t="s">
        <v>975</v>
      </c>
      <c r="C27" s="301"/>
      <c r="D27" s="301"/>
      <c r="E27" s="301"/>
      <c r="F27" s="302"/>
      <c r="G27" s="259">
        <v>18011</v>
      </c>
      <c r="H27" s="259">
        <v>18380</v>
      </c>
      <c r="I27" s="259">
        <v>-369</v>
      </c>
      <c r="J27" s="263">
        <v>-0.02</v>
      </c>
      <c r="K27" s="134"/>
    </row>
    <row r="28" spans="1:11" ht="15" x14ac:dyDescent="0.2">
      <c r="A28" s="130"/>
      <c r="B28" s="288" t="s">
        <v>24</v>
      </c>
      <c r="C28" s="289"/>
      <c r="D28" s="289"/>
      <c r="E28" s="289"/>
      <c r="F28" s="290"/>
      <c r="G28" s="260">
        <v>3104</v>
      </c>
      <c r="H28" s="260">
        <v>2857</v>
      </c>
      <c r="I28" s="260">
        <v>247</v>
      </c>
      <c r="J28" s="256">
        <v>8.5999999999999993E-2</v>
      </c>
      <c r="K28" s="134"/>
    </row>
    <row r="29" spans="1:11" ht="15" x14ac:dyDescent="0.2">
      <c r="A29" s="130"/>
      <c r="B29" s="291" t="s">
        <v>25</v>
      </c>
      <c r="C29" s="292"/>
      <c r="D29" s="292"/>
      <c r="E29" s="292"/>
      <c r="F29" s="293"/>
      <c r="G29" s="261">
        <v>1547</v>
      </c>
      <c r="H29" s="261">
        <v>1706</v>
      </c>
      <c r="I29" s="261">
        <v>-159</v>
      </c>
      <c r="J29" s="257">
        <v>-9.2999999999999999E-2</v>
      </c>
      <c r="K29" s="134"/>
    </row>
    <row r="30" spans="1:11" ht="15" x14ac:dyDescent="0.2">
      <c r="A30" s="130"/>
      <c r="B30" s="294" t="s">
        <v>26</v>
      </c>
      <c r="C30" s="295"/>
      <c r="D30" s="295"/>
      <c r="E30" s="295"/>
      <c r="F30" s="296"/>
      <c r="G30" s="261">
        <v>3868</v>
      </c>
      <c r="H30" s="261">
        <v>4071</v>
      </c>
      <c r="I30" s="261">
        <v>-203</v>
      </c>
      <c r="J30" s="257">
        <v>-0.05</v>
      </c>
      <c r="K30" s="134"/>
    </row>
    <row r="31" spans="1:11" ht="15" x14ac:dyDescent="0.2">
      <c r="A31" s="130"/>
      <c r="B31" s="297" t="s">
        <v>27</v>
      </c>
      <c r="C31" s="298"/>
      <c r="D31" s="298"/>
      <c r="E31" s="298"/>
      <c r="F31" s="299"/>
      <c r="G31" s="262">
        <v>9492</v>
      </c>
      <c r="H31" s="262">
        <v>9746</v>
      </c>
      <c r="I31" s="262">
        <v>-254</v>
      </c>
      <c r="J31" s="258">
        <v>-2.5999999999999999E-2</v>
      </c>
      <c r="K31" s="134"/>
    </row>
    <row r="32" spans="1:11" ht="16.5" x14ac:dyDescent="0.2">
      <c r="A32" s="130"/>
      <c r="B32" s="300" t="s">
        <v>243</v>
      </c>
      <c r="C32" s="301"/>
      <c r="D32" s="301"/>
      <c r="E32" s="301"/>
      <c r="F32" s="302"/>
      <c r="G32" s="259">
        <v>175363</v>
      </c>
      <c r="H32" s="259">
        <v>160205</v>
      </c>
      <c r="I32" s="259">
        <v>15158</v>
      </c>
      <c r="J32" s="263">
        <v>9.5000000000000001E-2</v>
      </c>
      <c r="K32" s="134"/>
    </row>
    <row r="33" spans="1:11" ht="15" x14ac:dyDescent="0.2">
      <c r="A33" s="130"/>
      <c r="B33" s="288" t="s">
        <v>24</v>
      </c>
      <c r="C33" s="289"/>
      <c r="D33" s="289"/>
      <c r="E33" s="289"/>
      <c r="F33" s="290"/>
      <c r="G33" s="260">
        <v>27377</v>
      </c>
      <c r="H33" s="260">
        <v>23337</v>
      </c>
      <c r="I33" s="260">
        <v>4040</v>
      </c>
      <c r="J33" s="256">
        <v>0.17299999999999999</v>
      </c>
      <c r="K33" s="134"/>
    </row>
    <row r="34" spans="1:11" ht="15" x14ac:dyDescent="0.2">
      <c r="A34" s="130"/>
      <c r="B34" s="291" t="s">
        <v>25</v>
      </c>
      <c r="C34" s="292"/>
      <c r="D34" s="292"/>
      <c r="E34" s="292"/>
      <c r="F34" s="293"/>
      <c r="G34" s="261">
        <v>12949</v>
      </c>
      <c r="H34" s="261">
        <v>12041</v>
      </c>
      <c r="I34" s="261">
        <v>908</v>
      </c>
      <c r="J34" s="257">
        <v>7.4999999999999997E-2</v>
      </c>
      <c r="K34" s="134"/>
    </row>
    <row r="35" spans="1:11" ht="15" x14ac:dyDescent="0.2">
      <c r="A35" s="130"/>
      <c r="B35" s="294" t="s">
        <v>26</v>
      </c>
      <c r="C35" s="295"/>
      <c r="D35" s="295"/>
      <c r="E35" s="295"/>
      <c r="F35" s="296"/>
      <c r="G35" s="261">
        <v>53914</v>
      </c>
      <c r="H35" s="261">
        <v>48532</v>
      </c>
      <c r="I35" s="261">
        <v>5382</v>
      </c>
      <c r="J35" s="257">
        <v>0.111</v>
      </c>
      <c r="K35" s="134"/>
    </row>
    <row r="36" spans="1:11" ht="15.75" thickBot="1" x14ac:dyDescent="0.25">
      <c r="A36" s="130"/>
      <c r="B36" s="336" t="s">
        <v>27</v>
      </c>
      <c r="C36" s="337"/>
      <c r="D36" s="337"/>
      <c r="E36" s="337"/>
      <c r="F36" s="338"/>
      <c r="G36" s="261">
        <v>81123</v>
      </c>
      <c r="H36" s="261">
        <v>76295</v>
      </c>
      <c r="I36" s="261">
        <v>4828</v>
      </c>
      <c r="J36" s="257">
        <v>6.3E-2</v>
      </c>
      <c r="K36" s="134"/>
    </row>
    <row r="37" spans="1:11" ht="15.75" customHeight="1" thickBot="1" x14ac:dyDescent="0.25">
      <c r="A37" s="130"/>
      <c r="B37" s="327" t="s">
        <v>980</v>
      </c>
      <c r="C37" s="328"/>
      <c r="D37" s="328"/>
      <c r="E37" s="328"/>
      <c r="F37" s="328"/>
      <c r="G37" s="328"/>
      <c r="H37" s="328"/>
      <c r="I37" s="328"/>
      <c r="J37" s="329"/>
      <c r="K37" s="134"/>
    </row>
    <row r="38" spans="1:11" ht="15" customHeight="1" x14ac:dyDescent="0.2">
      <c r="A38" s="150"/>
      <c r="B38" s="151"/>
      <c r="C38" s="151"/>
      <c r="D38" s="151"/>
      <c r="E38" s="151"/>
      <c r="F38" s="151"/>
      <c r="G38" s="151"/>
      <c r="H38" s="151"/>
      <c r="I38" s="151"/>
      <c r="J38" s="151"/>
      <c r="K38" s="147"/>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BD20" sheet="1" autoFilter="0"/>
  <mergeCells count="37">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 ref="B6:F6"/>
    <mergeCell ref="B7:F7"/>
    <mergeCell ref="B8:F8"/>
    <mergeCell ref="B9:F9"/>
    <mergeCell ref="B10:F10"/>
    <mergeCell ref="I3:I4"/>
    <mergeCell ref="J3:J4"/>
    <mergeCell ref="H3:H4"/>
    <mergeCell ref="B2:G3"/>
    <mergeCell ref="B5:F5"/>
    <mergeCell ref="B4:G4"/>
    <mergeCell ref="B21:D22"/>
    <mergeCell ref="E21:G22"/>
    <mergeCell ref="H21:J22"/>
    <mergeCell ref="B33:F33"/>
    <mergeCell ref="B28:F28"/>
    <mergeCell ref="B29:F29"/>
    <mergeCell ref="B30:F30"/>
    <mergeCell ref="B31:F31"/>
    <mergeCell ref="B32:F32"/>
    <mergeCell ref="C26:F26"/>
  </mergeCells>
  <phoneticPr fontId="0" type="noConversion"/>
  <conditionalFormatting sqref="J6:J7 J9 J11:J18">
    <cfRule type="expression" dxfId="438" priority="26" stopIfTrue="1">
      <formula>ISERROR(J6)</formula>
    </cfRule>
  </conditionalFormatting>
  <conditionalFormatting sqref="J8">
    <cfRule type="expression" dxfId="437"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3" t="s">
        <v>304</v>
      </c>
      <c r="D2" s="354"/>
      <c r="E2" s="354"/>
      <c r="F2" s="354"/>
      <c r="G2" s="354"/>
      <c r="H2" s="354"/>
      <c r="I2" s="354"/>
      <c r="J2" s="354"/>
      <c r="K2" s="355"/>
      <c r="L2" s="353" t="s">
        <v>309</v>
      </c>
      <c r="M2" s="354"/>
      <c r="N2" s="354"/>
      <c r="O2" s="355"/>
      <c r="P2" s="28"/>
    </row>
    <row r="3" spans="1:16" ht="24" customHeight="1" thickBot="1" x14ac:dyDescent="0.4">
      <c r="A3" s="25"/>
      <c r="B3" s="29"/>
      <c r="C3" s="356"/>
      <c r="D3" s="357"/>
      <c r="E3" s="357"/>
      <c r="F3" s="357"/>
      <c r="G3" s="357"/>
      <c r="H3" s="357"/>
      <c r="I3" s="357"/>
      <c r="J3" s="357"/>
      <c r="K3" s="358"/>
      <c r="L3" s="356" t="str">
        <f>Transformation!B4</f>
        <v>As of: August 22, 2015</v>
      </c>
      <c r="M3" s="357"/>
      <c r="N3" s="357"/>
      <c r="O3" s="358"/>
      <c r="P3" s="28"/>
    </row>
    <row r="4" spans="1:16" ht="51.75" customHeight="1" thickBot="1" x14ac:dyDescent="0.35">
      <c r="A4" s="30"/>
      <c r="B4" s="249" t="s">
        <v>465</v>
      </c>
      <c r="C4" s="359" t="s">
        <v>313</v>
      </c>
      <c r="D4" s="360"/>
      <c r="E4" s="360"/>
      <c r="F4" s="360"/>
      <c r="G4" s="360"/>
      <c r="H4" s="360"/>
      <c r="I4" s="360"/>
      <c r="J4" s="360"/>
      <c r="K4" s="360"/>
      <c r="L4" s="360"/>
      <c r="M4" s="360"/>
      <c r="N4" s="360"/>
      <c r="O4" s="361"/>
      <c r="P4" s="28"/>
    </row>
    <row r="5" spans="1:16" ht="27" customHeight="1" thickBot="1" x14ac:dyDescent="0.25">
      <c r="A5" s="30"/>
      <c r="B5" s="26"/>
      <c r="C5" s="362" t="s">
        <v>1054</v>
      </c>
      <c r="D5" s="363"/>
      <c r="E5" s="363"/>
      <c r="F5" s="363"/>
      <c r="G5" s="363"/>
      <c r="H5" s="363"/>
      <c r="I5" s="363"/>
      <c r="J5" s="363"/>
      <c r="K5" s="363"/>
      <c r="L5" s="363"/>
      <c r="M5" s="363"/>
      <c r="N5" s="363"/>
      <c r="O5" s="364"/>
      <c r="P5" s="28"/>
    </row>
    <row r="6" spans="1:16" ht="55.5" customHeight="1" x14ac:dyDescent="0.2">
      <c r="A6" s="30"/>
      <c r="B6" s="31"/>
      <c r="C6" s="32" t="s">
        <v>198</v>
      </c>
      <c r="D6" s="365" t="s">
        <v>16</v>
      </c>
      <c r="E6" s="366"/>
      <c r="F6" s="33" t="s">
        <v>201</v>
      </c>
      <c r="G6" s="365" t="s">
        <v>206</v>
      </c>
      <c r="H6" s="367"/>
      <c r="I6" s="33" t="s">
        <v>204</v>
      </c>
      <c r="J6" s="371" t="s">
        <v>14</v>
      </c>
      <c r="K6" s="372"/>
      <c r="L6" s="33" t="s">
        <v>209</v>
      </c>
      <c r="M6" s="368" t="s">
        <v>88</v>
      </c>
      <c r="N6" s="369"/>
      <c r="O6" s="370"/>
      <c r="P6" s="28"/>
    </row>
    <row r="7" spans="1:16" ht="51.75" customHeight="1" x14ac:dyDescent="0.2">
      <c r="A7" s="30"/>
      <c r="B7" s="34"/>
      <c r="C7" s="35" t="s">
        <v>199</v>
      </c>
      <c r="D7" s="341" t="s">
        <v>0</v>
      </c>
      <c r="E7" s="342"/>
      <c r="F7" s="36" t="s">
        <v>202</v>
      </c>
      <c r="G7" s="343" t="s">
        <v>207</v>
      </c>
      <c r="H7" s="343"/>
      <c r="I7" s="36" t="s">
        <v>205</v>
      </c>
      <c r="J7" s="373" t="s">
        <v>19</v>
      </c>
      <c r="K7" s="374"/>
      <c r="L7" s="36" t="s">
        <v>210</v>
      </c>
      <c r="M7" s="381" t="s">
        <v>90</v>
      </c>
      <c r="N7" s="382"/>
      <c r="O7" s="383"/>
      <c r="P7" s="28"/>
    </row>
    <row r="8" spans="1:16" ht="51.75" customHeight="1" thickBot="1" x14ac:dyDescent="0.25">
      <c r="A8" s="25"/>
      <c r="B8" s="28"/>
      <c r="C8" s="37" t="s">
        <v>200</v>
      </c>
      <c r="D8" s="344" t="s">
        <v>18</v>
      </c>
      <c r="E8" s="345"/>
      <c r="F8" s="38" t="s">
        <v>203</v>
      </c>
      <c r="G8" s="346" t="s">
        <v>17</v>
      </c>
      <c r="H8" s="346"/>
      <c r="I8" s="38" t="s">
        <v>208</v>
      </c>
      <c r="J8" s="375" t="s">
        <v>87</v>
      </c>
      <c r="K8" s="376"/>
      <c r="L8" s="38" t="s">
        <v>211</v>
      </c>
      <c r="M8" s="350" t="s">
        <v>89</v>
      </c>
      <c r="N8" s="351"/>
      <c r="O8" s="352"/>
      <c r="P8" s="28"/>
    </row>
    <row r="9" spans="1:16" x14ac:dyDescent="0.2">
      <c r="A9" s="28"/>
      <c r="B9" s="28"/>
      <c r="C9" s="39" t="s">
        <v>714</v>
      </c>
      <c r="D9" s="39" t="s">
        <v>716</v>
      </c>
      <c r="E9" s="39" t="s">
        <v>715</v>
      </c>
      <c r="F9" s="39" t="s">
        <v>718</v>
      </c>
      <c r="G9" s="39" t="s">
        <v>717</v>
      </c>
      <c r="H9" s="39" t="s">
        <v>720</v>
      </c>
      <c r="I9" s="39" t="s">
        <v>719</v>
      </c>
      <c r="J9" s="39" t="s">
        <v>930</v>
      </c>
      <c r="K9" s="39" t="s">
        <v>931</v>
      </c>
      <c r="L9" s="39" t="s">
        <v>933</v>
      </c>
      <c r="M9" s="39" t="s">
        <v>1055</v>
      </c>
      <c r="N9" s="39" t="s">
        <v>934</v>
      </c>
      <c r="O9" s="39" t="s">
        <v>935</v>
      </c>
      <c r="P9" s="28"/>
    </row>
    <row r="10" spans="1:16" ht="15.75" customHeight="1" x14ac:dyDescent="0.2">
      <c r="A10" s="25"/>
      <c r="B10" s="26"/>
      <c r="C10" s="347" t="s">
        <v>302</v>
      </c>
      <c r="D10" s="347"/>
      <c r="E10" s="347"/>
      <c r="F10" s="347"/>
      <c r="G10" s="347"/>
      <c r="H10" s="347"/>
      <c r="I10" s="347"/>
      <c r="J10" s="347"/>
      <c r="K10" s="347"/>
      <c r="L10" s="347"/>
      <c r="M10" s="347"/>
      <c r="N10" s="347"/>
      <c r="O10" s="347"/>
      <c r="P10" s="28"/>
    </row>
    <row r="11" spans="1:16" ht="32.25" customHeight="1" x14ac:dyDescent="0.2">
      <c r="A11" s="25"/>
      <c r="B11" s="26"/>
      <c r="C11" s="348" t="s">
        <v>234</v>
      </c>
      <c r="D11" s="348" t="s">
        <v>140</v>
      </c>
      <c r="E11" s="348" t="s">
        <v>235</v>
      </c>
      <c r="F11" s="348" t="s">
        <v>195</v>
      </c>
      <c r="G11" s="348" t="s">
        <v>212</v>
      </c>
      <c r="H11" s="348" t="s">
        <v>214</v>
      </c>
      <c r="I11" s="348" t="s">
        <v>215</v>
      </c>
      <c r="J11" s="379" t="s">
        <v>937</v>
      </c>
      <c r="K11" s="379" t="s">
        <v>938</v>
      </c>
      <c r="L11" s="377" t="s">
        <v>197</v>
      </c>
      <c r="M11" s="378"/>
      <c r="N11" s="377" t="s">
        <v>196</v>
      </c>
      <c r="O11" s="378"/>
      <c r="P11" s="28"/>
    </row>
    <row r="12" spans="1:16" ht="32.25" customHeight="1" x14ac:dyDescent="0.2">
      <c r="A12" s="25"/>
      <c r="B12" s="26"/>
      <c r="C12" s="349"/>
      <c r="D12" s="349"/>
      <c r="E12" s="349"/>
      <c r="F12" s="349"/>
      <c r="G12" s="349"/>
      <c r="H12" s="349"/>
      <c r="I12" s="349"/>
      <c r="J12" s="380"/>
      <c r="K12" s="380"/>
      <c r="L12" s="40" t="s">
        <v>936</v>
      </c>
      <c r="M12" s="40" t="s">
        <v>943</v>
      </c>
      <c r="N12" s="40" t="s">
        <v>936</v>
      </c>
      <c r="O12" s="40" t="s">
        <v>943</v>
      </c>
      <c r="P12" s="28"/>
    </row>
    <row r="13" spans="1:16" x14ac:dyDescent="0.2">
      <c r="A13" s="25"/>
      <c r="B13" s="41" t="s">
        <v>739</v>
      </c>
      <c r="C13" s="155">
        <f>IF($B13=" ","",IFERROR(INDEX(MMWR_RATING_RO_ROLLUP[],MATCH($B13,MMWR_RATING_RO_ROLLUP[MMWR_RATING_RO_ROLLUP],0),MATCH(C$9,MMWR_RATING_RO_ROLLUP[#Headers],0)),"ERROR"))</f>
        <v>362799</v>
      </c>
      <c r="D13" s="156">
        <f>IF($B13=" ","",IFERROR(INDEX(MMWR_RATING_RO_ROLLUP[],MATCH($B13,MMWR_RATING_RO_ROLLUP[MMWR_RATING_RO_ROLLUP],0),MATCH(D$9,MMWR_RATING_RO_ROLLUP[#Headers],0)),"ERROR"))</f>
        <v>105.42895377329999</v>
      </c>
      <c r="E13" s="157">
        <f>IF($B13=" ","",IFERROR(INDEX(MMWR_RATING_RO_ROLLUP[],MATCH($B13,MMWR_RATING_RO_ROLLUP[MMWR_RATING_RO_ROLLUP],0),MATCH(E$9,MMWR_RATING_RO_ROLLUP[#Headers],0))/$C13,"ERROR"))</f>
        <v>0.27159666923006953</v>
      </c>
      <c r="F13" s="155">
        <f>IF($B13=" ","",IFERROR(INDEX(MMWR_RATING_RO_ROLLUP[],MATCH($B13,MMWR_RATING_RO_ROLLUP[MMWR_RATING_RO_ROLLUP],0),MATCH(F$9,MMWR_RATING_RO_ROLLUP[#Headers],0)),"ERROR"))</f>
        <v>83386</v>
      </c>
      <c r="G13" s="155">
        <f>IF($B13=" ","",IFERROR(INDEX(MMWR_RATING_RO_ROLLUP[],MATCH($B13,MMWR_RATING_RO_ROLLUP[MMWR_RATING_RO_ROLLUP],0),MATCH(G$9,MMWR_RATING_RO_ROLLUP[#Headers],0)),"ERROR"))</f>
        <v>1243664</v>
      </c>
      <c r="H13" s="156">
        <f>IF($B13=" ","",IFERROR(INDEX(MMWR_RATING_RO_ROLLUP[],MATCH($B13,MMWR_RATING_RO_ROLLUP[MMWR_RATING_RO_ROLLUP],0),MATCH(H$9,MMWR_RATING_RO_ROLLUP[#Headers],0)),"ERROR"))</f>
        <v>149.37102151440001</v>
      </c>
      <c r="I13" s="156">
        <f>IF($B13=" ","",IFERROR(INDEX(MMWR_RATING_RO_ROLLUP[],MATCH($B13,MMWR_RATING_RO_ROLLUP[MMWR_RATING_RO_ROLLUP],0),MATCH(I$9,MMWR_RATING_RO_ROLLUP[#Headers],0)),"ERROR"))</f>
        <v>172.05414484939999</v>
      </c>
      <c r="J13" s="158">
        <f>VLOOKUP($B13,MMWR_ACCURACY_RO[],MATCH(J$9,MMWR_ACCURACY_RO[#Headers],0),0)</f>
        <v>0.95451048793219162</v>
      </c>
      <c r="K13" s="158">
        <f>VLOOKUP($B13,MMWR_ACCURACY_RO[],MATCH(K$9,MMWR_ACCURACY_RO[#Headers],0),0)</f>
        <v>0.88046570682525982</v>
      </c>
      <c r="L13" s="158">
        <f>VLOOKUP($B13,MMWR_ACCURACY_RO[],MATCH(L$9,MMWR_ACCURACY_RO[#Headers],0),0)</f>
        <v>0.90459023216668721</v>
      </c>
      <c r="M13" s="158">
        <f>VLOOKUP($B13,MMWR_ACCURACY_RO[],MATCH(M$9,MMWR_ACCURACY_RO[#Headers],0),0)</f>
        <v>7.1397644292206762E-3</v>
      </c>
      <c r="N13" s="158">
        <f>VLOOKUP($B13,MMWR_ACCURACY_RO[],MATCH(N$9,MMWR_ACCURACY_RO[#Headers],0),0)</f>
        <v>0.91036932806301474</v>
      </c>
      <c r="O13" s="158">
        <f>VLOOKUP($B13,MMWR_ACCURACY_RO[],MATCH(O$9,MMWR_ACCURACY_RO[#Headers],0),0)</f>
        <v>8.71643264680543E-3</v>
      </c>
      <c r="P13" s="28"/>
    </row>
    <row r="14" spans="1:16" x14ac:dyDescent="0.2">
      <c r="A14" s="25"/>
      <c r="B14" s="339" t="s">
        <v>742</v>
      </c>
      <c r="C14" s="340"/>
      <c r="D14" s="340"/>
      <c r="E14" s="340"/>
      <c r="F14" s="340"/>
      <c r="G14" s="340"/>
      <c r="H14" s="340"/>
      <c r="I14" s="340"/>
      <c r="J14" s="340"/>
      <c r="K14" s="340"/>
      <c r="L14" s="340"/>
      <c r="M14" s="340"/>
      <c r="N14" s="340"/>
      <c r="O14" s="340"/>
      <c r="P14" s="28"/>
    </row>
    <row r="15" spans="1:16" x14ac:dyDescent="0.2">
      <c r="A15" s="25"/>
      <c r="B15" s="41" t="s">
        <v>738</v>
      </c>
      <c r="C15" s="155">
        <f>IF($B15=" ","",IFERROR(INDEX(MMWR_RATING_RO_ROLLUP[],MATCH($B15,MMWR_RATING_RO_ROLLUP[MMWR_RATING_RO_ROLLUP],0),MATCH(C$9,MMWR_RATING_RO_ROLLUP[#Headers],0)),"ERROR"))</f>
        <v>325853</v>
      </c>
      <c r="D15" s="156">
        <f>IF($B15=" ","",IFERROR(INDEX(MMWR_RATING_RO_ROLLUP[],MATCH($B15,MMWR_RATING_RO_ROLLUP[MMWR_RATING_RO_ROLLUP],0),MATCH(D$9,MMWR_RATING_RO_ROLLUP[#Headers],0)),"ERROR"))</f>
        <v>109.9391044428</v>
      </c>
      <c r="E15" s="157">
        <f>IF($B15=" ","",IFERROR(INDEX(MMWR_RATING_RO_ROLLUP[],MATCH($B15,MMWR_RATING_RO_ROLLUP[MMWR_RATING_RO_ROLLUP],0),MATCH(E$9,MMWR_RATING_RO_ROLLUP[#Headers],0))/$C15,"ERROR"))</f>
        <v>0.28960298048506533</v>
      </c>
      <c r="F15" s="155">
        <f>IF($B15=" ","",IFERROR(INDEX(MMWR_RATING_RO_ROLLUP[],MATCH($B15,MMWR_RATING_RO_ROLLUP[MMWR_RATING_RO_ROLLUP],0),MATCH(F$9,MMWR_RATING_RO_ROLLUP[#Headers],0)),"ERROR"))</f>
        <v>72855</v>
      </c>
      <c r="G15" s="155">
        <f>IF($B15=" ","",IFERROR(INDEX(MMWR_RATING_RO_ROLLUP[],MATCH($B15,MMWR_RATING_RO_ROLLUP[MMWR_RATING_RO_ROLLUP],0),MATCH(G$9,MMWR_RATING_RO_ROLLUP[#Headers],0)),"ERROR"))</f>
        <v>1061279</v>
      </c>
      <c r="H15" s="156">
        <f>IF($B15=" ","",IFERROR(INDEX(MMWR_RATING_RO_ROLLUP[],MATCH($B15,MMWR_RATING_RO_ROLLUP[MMWR_RATING_RO_ROLLUP],0),MATCH(H$9,MMWR_RATING_RO_ROLLUP[#Headers],0)),"ERROR"))</f>
        <v>159.07958273279999</v>
      </c>
      <c r="I15" s="156">
        <f>IF($B15=" ","",IFERROR(INDEX(MMWR_RATING_RO_ROLLUP[],MATCH($B15,MMWR_RATING_RO_ROLLUP[MMWR_RATING_RO_ROLLUP],0),MATCH(I$9,MMWR_RATING_RO_ROLLUP[#Headers],0)),"ERROR"))</f>
        <v>187.1753619925</v>
      </c>
      <c r="J15" s="159"/>
      <c r="K15" s="159"/>
      <c r="L15" s="159"/>
      <c r="M15" s="159"/>
      <c r="N15" s="159"/>
      <c r="O15" s="159"/>
      <c r="P15" s="28"/>
    </row>
    <row r="16" spans="1:16" x14ac:dyDescent="0.2">
      <c r="A16" s="25"/>
      <c r="B16" s="250" t="s">
        <v>379</v>
      </c>
      <c r="C16" s="155">
        <f>IF($B16=" ","",IFERROR(INDEX(MMWR_RATING_RO_ROLLUP[],MATCH($B16,MMWR_RATING_RO_ROLLUP[MMWR_RATING_RO_ROLLUP],0),MATCH(C$9,MMWR_RATING_RO_ROLLUP[#Headers],0)),"ERROR"))</f>
        <v>71114</v>
      </c>
      <c r="D16" s="156">
        <f>IF($B16=" ","",IFERROR(INDEX(MMWR_RATING_RO_ROLLUP[],MATCH($B16,MMWR_RATING_RO_ROLLUP[MMWR_RATING_RO_ROLLUP],0),MATCH(D$9,MMWR_RATING_RO_ROLLUP[#Headers],0)),"ERROR"))</f>
        <v>109.7888320162</v>
      </c>
      <c r="E16" s="157">
        <f>IF($B16=" ","",IFERROR(INDEX(MMWR_RATING_RO_ROLLUP[],MATCH($B16,MMWR_RATING_RO_ROLLUP[MMWR_RATING_RO_ROLLUP],0),MATCH(E$9,MMWR_RATING_RO_ROLLUP[#Headers],0))/$C16,"ERROR"))</f>
        <v>0.29319121410692689</v>
      </c>
      <c r="F16" s="155">
        <f>IF($B16=" ","",IFERROR(INDEX(MMWR_RATING_RO_ROLLUP[],MATCH($B16,MMWR_RATING_RO_ROLLUP[MMWR_RATING_RO_ROLLUP],0),MATCH(F$9,MMWR_RATING_RO_ROLLUP[#Headers],0)),"ERROR"))</f>
        <v>15312</v>
      </c>
      <c r="G16" s="155">
        <f>IF($B16=" ","",IFERROR(INDEX(MMWR_RATING_RO_ROLLUP[],MATCH($B16,MMWR_RATING_RO_ROLLUP[MMWR_RATING_RO_ROLLUP],0),MATCH(G$9,MMWR_RATING_RO_ROLLUP[#Headers],0)),"ERROR"))</f>
        <v>231269</v>
      </c>
      <c r="H16" s="156">
        <f>IF($B16=" ","",IFERROR(INDEX(MMWR_RATING_RO_ROLLUP[],MATCH($B16,MMWR_RATING_RO_ROLLUP[MMWR_RATING_RO_ROLLUP],0),MATCH(H$9,MMWR_RATING_RO_ROLLUP[#Headers],0)),"ERROR"))</f>
        <v>157.82412486940001</v>
      </c>
      <c r="I16" s="156">
        <f>IF($B16=" ","",IFERROR(INDEX(MMWR_RATING_RO_ROLLUP[],MATCH($B16,MMWR_RATING_RO_ROLLUP[MMWR_RATING_RO_ROLLUP],0),MATCH(I$9,MMWR_RATING_RO_ROLLUP[#Headers],0)),"ERROR"))</f>
        <v>189.63302474610001</v>
      </c>
      <c r="J16" s="160">
        <f>IF($B16=" ","",IFERROR(VLOOKUP($B16,MMWR_ACCURACY_RO[],MATCH(J$9,MMWR_ACCURACY_RO[#Headers],0),0),"ERROR"))</f>
        <v>0.94597826908231442</v>
      </c>
      <c r="K16" s="160">
        <f>IF($B16=" ","",IFERROR(VLOOKUP($B16,MMWR_ACCURACY_RO[],MATCH(K$9,MMWR_ACCURACY_RO[#Headers],0),0),"ERROR"))</f>
        <v>0.85144189919359403</v>
      </c>
      <c r="L16" s="160">
        <f>IF($B16=" ","",IFERROR(VLOOKUP($B16,MMWR_ACCURACY_RO[],MATCH(L$9,MMWR_ACCURACY_RO[#Headers],0),0),"ERROR"))</f>
        <v>0.87743686597802939</v>
      </c>
      <c r="M16" s="160">
        <f>IF($B16=" ","",IFERROR(VLOOKUP($B16,MMWR_ACCURACY_RO[],MATCH(M$9,MMWR_ACCURACY_RO[#Headers],0),0),"ERROR"))</f>
        <v>1.6154775009585832E-2</v>
      </c>
      <c r="N16" s="160">
        <f>IF($B16=" ","",IFERROR(VLOOKUP($B16,MMWR_ACCURACY_RO[],MATCH(N$9,MMWR_ACCURACY_RO[#Headers],0),0),"ERROR"))</f>
        <v>0.89301294319795976</v>
      </c>
      <c r="O16" s="160">
        <f>IF($B16=" ","",IFERROR(VLOOKUP($B16,MMWR_ACCURACY_RO[],MATCH(O$9,MMWR_ACCURACY_RO[#Headers],0),0),"ERROR"))</f>
        <v>1.635252208046559E-2</v>
      </c>
      <c r="P16" s="28"/>
    </row>
    <row r="17" spans="1:16" x14ac:dyDescent="0.2">
      <c r="A17" s="25"/>
      <c r="B17" s="8" t="str">
        <f>VLOOKUP($B$16,DISTRICT_RO[],2,0)</f>
        <v>Baltimore VSC</v>
      </c>
      <c r="C17" s="155">
        <f>IF($B17=" ","",IFERROR(INDEX(MMWR_RATING_RO_ROLLUP[],MATCH($B17,MMWR_RATING_RO_ROLLUP[MMWR_RATING_RO_ROLLUP],0),MATCH(C$9,MMWR_RATING_RO_ROLLUP[#Headers],0)),"ERROR"))</f>
        <v>3127</v>
      </c>
      <c r="D17" s="156">
        <f>IF($B17=" ","",IFERROR(INDEX(MMWR_RATING_RO_ROLLUP[],MATCH($B17,MMWR_RATING_RO_ROLLUP[MMWR_RATING_RO_ROLLUP],0),MATCH(D$9,MMWR_RATING_RO_ROLLUP[#Headers],0)),"ERROR"))</f>
        <v>80.698752798200005</v>
      </c>
      <c r="E17" s="157">
        <f>IF($B17=" ","",IFERROR(INDEX(MMWR_RATING_RO_ROLLUP[],MATCH($B17,MMWR_RATING_RO_ROLLUP[MMWR_RATING_RO_ROLLUP],0),MATCH(E$9,MMWR_RATING_RO_ROLLUP[#Headers],0))/$C17,"ERROR"))</f>
        <v>0.13719219699392388</v>
      </c>
      <c r="F17" s="155">
        <f>IF($B17=" ","",IFERROR(INDEX(MMWR_RATING_RO_ROLLUP[],MATCH($B17,MMWR_RATING_RO_ROLLUP[MMWR_RATING_RO_ROLLUP],0),MATCH(F$9,MMWR_RATING_RO_ROLLUP[#Headers],0)),"ERROR"))</f>
        <v>516</v>
      </c>
      <c r="G17" s="155">
        <f>IF($B17=" ","",IFERROR(INDEX(MMWR_RATING_RO_ROLLUP[],MATCH($B17,MMWR_RATING_RO_ROLLUP[MMWR_RATING_RO_ROLLUP],0),MATCH(G$9,MMWR_RATING_RO_ROLLUP[#Headers],0)),"ERROR"))</f>
        <v>5595</v>
      </c>
      <c r="H17" s="156">
        <f>IF($B17=" ","",IFERROR(INDEX(MMWR_RATING_RO_ROLLUP[],MATCH($B17,MMWR_RATING_RO_ROLLUP[MMWR_RATING_RO_ROLLUP],0),MATCH(H$9,MMWR_RATING_RO_ROLLUP[#Headers],0)),"ERROR"))</f>
        <v>156.515503876</v>
      </c>
      <c r="I17" s="156">
        <f>IF($B17=" ","",IFERROR(INDEX(MMWR_RATING_RO_ROLLUP[],MATCH($B17,MMWR_RATING_RO_ROLLUP[MMWR_RATING_RO_ROLLUP],0),MATCH(I$9,MMWR_RATING_RO_ROLLUP[#Headers],0)),"ERROR"))</f>
        <v>238.98588025020001</v>
      </c>
      <c r="J17" s="160">
        <f>IF($B17=" ","",IFERROR(VLOOKUP($B17,MMWR_ACCURACY_RO[],MATCH(J$9,MMWR_ACCURACY_RO[#Headers],0),0),"ERROR"))</f>
        <v>0.93458483652634283</v>
      </c>
      <c r="K17" s="160">
        <f>IF($B17=" ","",IFERROR(VLOOKUP($B17,MMWR_ACCURACY_RO[],MATCH(K$9,MMWR_ACCURACY_RO[#Headers],0),0),"ERROR"))</f>
        <v>0.86612899229415996</v>
      </c>
      <c r="L17" s="160">
        <f>IF($B17=" ","",IFERROR(VLOOKUP($B17,MMWR_ACCURACY_RO[],MATCH(L$9,MMWR_ACCURACY_RO[#Headers],0),0),"ERROR"))</f>
        <v>0.84835657905458473</v>
      </c>
      <c r="M17" s="160">
        <f>IF($B17=" ","",IFERROR(VLOOKUP($B17,MMWR_ACCURACY_RO[],MATCH(M$9,MMWR_ACCURACY_RO[#Headers],0),0),"ERROR"))</f>
        <v>4.6490202491033944E-2</v>
      </c>
      <c r="N17" s="160">
        <f>IF($B17=" ","",IFERROR(VLOOKUP($B17,MMWR_ACCURACY_RO[],MATCH(N$9,MMWR_ACCURACY_RO[#Headers],0),0),"ERROR"))</f>
        <v>0.84672428389324095</v>
      </c>
      <c r="O17" s="160">
        <f>IF($B17=" ","",IFERROR(VLOOKUP($B17,MMWR_ACCURACY_RO[],MATCH(O$9,MMWR_ACCURACY_RO[#Headers],0),0),"ERROR"))</f>
        <v>4.8553838218814892E-2</v>
      </c>
      <c r="P17" s="28"/>
    </row>
    <row r="18" spans="1:16" x14ac:dyDescent="0.2">
      <c r="A18" s="25"/>
      <c r="B18" s="8" t="str">
        <f>VLOOKUP($B$16,DISTRICT_RO[],3,0)</f>
        <v>Boston VSC</v>
      </c>
      <c r="C18" s="155">
        <f>IF($B18=" ","",IFERROR(INDEX(MMWR_RATING_RO_ROLLUP[],MATCH($B18,MMWR_RATING_RO_ROLLUP[MMWR_RATING_RO_ROLLUP],0),MATCH(C$9,MMWR_RATING_RO_ROLLUP[#Headers],0)),"ERROR"))</f>
        <v>3003</v>
      </c>
      <c r="D18" s="156">
        <f>IF($B18=" ","",IFERROR(INDEX(MMWR_RATING_RO_ROLLUP[],MATCH($B18,MMWR_RATING_RO_ROLLUP[MMWR_RATING_RO_ROLLUP],0),MATCH(D$9,MMWR_RATING_RO_ROLLUP[#Headers],0)),"ERROR"))</f>
        <v>102.024975025</v>
      </c>
      <c r="E18" s="157">
        <f>IF($B18=" ","",IFERROR(INDEX(MMWR_RATING_RO_ROLLUP[],MATCH($B18,MMWR_RATING_RO_ROLLUP[MMWR_RATING_RO_ROLLUP],0),MATCH(E$9,MMWR_RATING_RO_ROLLUP[#Headers],0))/$C18,"ERROR"))</f>
        <v>0.33433233433233434</v>
      </c>
      <c r="F18" s="155">
        <f>IF($B18=" ","",IFERROR(INDEX(MMWR_RATING_RO_ROLLUP[],MATCH($B18,MMWR_RATING_RO_ROLLUP[MMWR_RATING_RO_ROLLUP],0),MATCH(F$9,MMWR_RATING_RO_ROLLUP[#Headers],0)),"ERROR"))</f>
        <v>693</v>
      </c>
      <c r="G18" s="155">
        <f>IF($B18=" ","",IFERROR(INDEX(MMWR_RATING_RO_ROLLUP[],MATCH($B18,MMWR_RATING_RO_ROLLUP[MMWR_RATING_RO_ROLLUP],0),MATCH(G$9,MMWR_RATING_RO_ROLLUP[#Headers],0)),"ERROR"))</f>
        <v>9353</v>
      </c>
      <c r="H18" s="156">
        <f>IF($B18=" ","",IFERROR(INDEX(MMWR_RATING_RO_ROLLUP[],MATCH($B18,MMWR_RATING_RO_ROLLUP[MMWR_RATING_RO_ROLLUP],0),MATCH(H$9,MMWR_RATING_RO_ROLLUP[#Headers],0)),"ERROR"))</f>
        <v>163.7662337662</v>
      </c>
      <c r="I18" s="156">
        <f>IF($B18=" ","",IFERROR(INDEX(MMWR_RATING_RO_ROLLUP[],MATCH($B18,MMWR_RATING_RO_ROLLUP[MMWR_RATING_RO_ROLLUP],0),MATCH(I$9,MMWR_RATING_RO_ROLLUP[#Headers],0)),"ERROR"))</f>
        <v>199.95263551799999</v>
      </c>
      <c r="J18" s="160">
        <f>IF($B18=" ","",IFERROR(VLOOKUP($B18,MMWR_ACCURACY_RO[],MATCH(J$9,MMWR_ACCURACY_RO[#Headers],0),0),"ERROR"))</f>
        <v>0.83258888854239843</v>
      </c>
      <c r="K18" s="160">
        <f>IF($B18=" ","",IFERROR(VLOOKUP($B18,MMWR_ACCURACY_RO[],MATCH(K$9,MMWR_ACCURACY_RO[#Headers],0),0),"ERROR"))</f>
        <v>0.72847704129111168</v>
      </c>
      <c r="L18" s="160">
        <f>IF($B18=" ","",IFERROR(VLOOKUP($B18,MMWR_ACCURACY_RO[],MATCH(L$9,MMWR_ACCURACY_RO[#Headers],0),0),"ERROR"))</f>
        <v>0.83333772256728789</v>
      </c>
      <c r="M18" s="160">
        <f>IF($B18=" ","",IFERROR(VLOOKUP($B18,MMWR_ACCURACY_RO[],MATCH(M$9,MMWR_ACCURACY_RO[#Headers],0),0),"ERROR"))</f>
        <v>5.6563560059354999E-2</v>
      </c>
      <c r="N18" s="160">
        <f>IF($B18=" ","",IFERROR(VLOOKUP($B18,MMWR_ACCURACY_RO[],MATCH(N$9,MMWR_ACCURACY_RO[#Headers],0),0),"ERROR"))</f>
        <v>0.89697203766859634</v>
      </c>
      <c r="O18" s="160">
        <f>IF($B18=" ","",IFERROR(VLOOKUP($B18,MMWR_ACCURACY_RO[],MATCH(O$9,MMWR_ACCURACY_RO[#Headers],0),0),"ERROR"))</f>
        <v>5.6536773506483159E-2</v>
      </c>
      <c r="P18" s="28"/>
    </row>
    <row r="19" spans="1:16" x14ac:dyDescent="0.2">
      <c r="A19" s="25"/>
      <c r="B19" s="8" t="str">
        <f>VLOOKUP($B$16,DISTRICT_RO[],4,0)</f>
        <v>Buffalo VSC</v>
      </c>
      <c r="C19" s="155">
        <f>IF($B19=" ","",IFERROR(INDEX(MMWR_RATING_RO_ROLLUP[],MATCH($B19,MMWR_RATING_RO_ROLLUP[MMWR_RATING_RO_ROLLUP],0),MATCH(C$9,MMWR_RATING_RO_ROLLUP[#Headers],0)),"ERROR"))</f>
        <v>3760</v>
      </c>
      <c r="D19" s="156">
        <f>IF($B19=" ","",IFERROR(INDEX(MMWR_RATING_RO_ROLLUP[],MATCH($B19,MMWR_RATING_RO_ROLLUP[MMWR_RATING_RO_ROLLUP],0),MATCH(D$9,MMWR_RATING_RO_ROLLUP[#Headers],0)),"ERROR"))</f>
        <v>94.409574468100004</v>
      </c>
      <c r="E19" s="157">
        <f>IF($B19=" ","",IFERROR(INDEX(MMWR_RATING_RO_ROLLUP[],MATCH($B19,MMWR_RATING_RO_ROLLUP[MMWR_RATING_RO_ROLLUP],0),MATCH(E$9,MMWR_RATING_RO_ROLLUP[#Headers],0))/$C19,"ERROR"))</f>
        <v>0.22978723404255319</v>
      </c>
      <c r="F19" s="155">
        <f>IF($B19=" ","",IFERROR(INDEX(MMWR_RATING_RO_ROLLUP[],MATCH($B19,MMWR_RATING_RO_ROLLUP[MMWR_RATING_RO_ROLLUP],0),MATCH(F$9,MMWR_RATING_RO_ROLLUP[#Headers],0)),"ERROR"))</f>
        <v>588</v>
      </c>
      <c r="G19" s="155">
        <f>IF($B19=" ","",IFERROR(INDEX(MMWR_RATING_RO_ROLLUP[],MATCH($B19,MMWR_RATING_RO_ROLLUP[MMWR_RATING_RO_ROLLUP],0),MATCH(G$9,MMWR_RATING_RO_ROLLUP[#Headers],0)),"ERROR"))</f>
        <v>10408</v>
      </c>
      <c r="H19" s="156">
        <f>IF($B19=" ","",IFERROR(INDEX(MMWR_RATING_RO_ROLLUP[],MATCH($B19,MMWR_RATING_RO_ROLLUP[MMWR_RATING_RO_ROLLUP],0),MATCH(H$9,MMWR_RATING_RO_ROLLUP[#Headers],0)),"ERROR"))</f>
        <v>162.1683673469</v>
      </c>
      <c r="I19" s="156">
        <f>IF($B19=" ","",IFERROR(INDEX(MMWR_RATING_RO_ROLLUP[],MATCH($B19,MMWR_RATING_RO_ROLLUP[MMWR_RATING_RO_ROLLUP],0),MATCH(I$9,MMWR_RATING_RO_ROLLUP[#Headers],0)),"ERROR"))</f>
        <v>207.4119907763</v>
      </c>
      <c r="J19" s="160">
        <f>IF($B19=" ","",IFERROR(VLOOKUP($B19,MMWR_ACCURACY_RO[],MATCH(J$9,MMWR_ACCURACY_RO[#Headers],0),0),"ERROR"))</f>
        <v>0.88777503867063057</v>
      </c>
      <c r="K19" s="160">
        <f>IF($B19=" ","",IFERROR(VLOOKUP($B19,MMWR_ACCURACY_RO[],MATCH(K$9,MMWR_ACCURACY_RO[#Headers],0),0),"ERROR"))</f>
        <v>0.77864214992927872</v>
      </c>
      <c r="L19" s="160">
        <f>IF($B19=" ","",IFERROR(VLOOKUP($B19,MMWR_ACCURACY_RO[],MATCH(L$9,MMWR_ACCURACY_RO[#Headers],0),0),"ERROR"))</f>
        <v>0.8838616785045289</v>
      </c>
      <c r="M19" s="160">
        <f>IF($B19=" ","",IFERROR(VLOOKUP($B19,MMWR_ACCURACY_RO[],MATCH(M$9,MMWR_ACCURACY_RO[#Headers],0),0),"ERROR"))</f>
        <v>4.7077772133462897E-2</v>
      </c>
      <c r="N19" s="160">
        <f>IF($B19=" ","",IFERROR(VLOOKUP($B19,MMWR_ACCURACY_RO[],MATCH(N$9,MMWR_ACCURACY_RO[#Headers],0),0),"ERROR"))</f>
        <v>0.86852391383655392</v>
      </c>
      <c r="O19" s="160">
        <f>IF($B19=" ","",IFERROR(VLOOKUP($B19,MMWR_ACCURACY_RO[],MATCH(O$9,MMWR_ACCURACY_RO[#Headers],0),0),"ERROR"))</f>
        <v>4.7183905315532827E-2</v>
      </c>
      <c r="P19" s="28"/>
    </row>
    <row r="20" spans="1:16" x14ac:dyDescent="0.2">
      <c r="A20" s="25"/>
      <c r="B20" s="8" t="str">
        <f>VLOOKUP($B$16,DISTRICT_RO[],5,0)</f>
        <v>Hartford VSC</v>
      </c>
      <c r="C20" s="155">
        <f>IF($B20=" ","",IFERROR(INDEX(MMWR_RATING_RO_ROLLUP[],MATCH($B20,MMWR_RATING_RO_ROLLUP[MMWR_RATING_RO_ROLLUP],0),MATCH(C$9,MMWR_RATING_RO_ROLLUP[#Headers],0)),"ERROR"))</f>
        <v>2487</v>
      </c>
      <c r="D20" s="156">
        <f>IF($B20=" ","",IFERROR(INDEX(MMWR_RATING_RO_ROLLUP[],MATCH($B20,MMWR_RATING_RO_ROLLUP[MMWR_RATING_RO_ROLLUP],0),MATCH(D$9,MMWR_RATING_RO_ROLLUP[#Headers],0)),"ERROR"))</f>
        <v>114.4016887817</v>
      </c>
      <c r="E20" s="157">
        <f>IF($B20=" ","",IFERROR(INDEX(MMWR_RATING_RO_ROLLUP[],MATCH($B20,MMWR_RATING_RO_ROLLUP[MMWR_RATING_RO_ROLLUP],0),MATCH(E$9,MMWR_RATING_RO_ROLLUP[#Headers],0))/$C20,"ERROR"))</f>
        <v>0.33293124246079614</v>
      </c>
      <c r="F20" s="155">
        <f>IF($B20=" ","",IFERROR(INDEX(MMWR_RATING_RO_ROLLUP[],MATCH($B20,MMWR_RATING_RO_ROLLUP[MMWR_RATING_RO_ROLLUP],0),MATCH(F$9,MMWR_RATING_RO_ROLLUP[#Headers],0)),"ERROR"))</f>
        <v>590</v>
      </c>
      <c r="G20" s="155">
        <f>IF($B20=" ","",IFERROR(INDEX(MMWR_RATING_RO_ROLLUP[],MATCH($B20,MMWR_RATING_RO_ROLLUP[MMWR_RATING_RO_ROLLUP],0),MATCH(G$9,MMWR_RATING_RO_ROLLUP[#Headers],0)),"ERROR"))</f>
        <v>8874</v>
      </c>
      <c r="H20" s="156">
        <f>IF($B20=" ","",IFERROR(INDEX(MMWR_RATING_RO_ROLLUP[],MATCH($B20,MMWR_RATING_RO_ROLLUP[MMWR_RATING_RO_ROLLUP],0),MATCH(H$9,MMWR_RATING_RO_ROLLUP[#Headers],0)),"ERROR"))</f>
        <v>196.8779661017</v>
      </c>
      <c r="I20" s="156">
        <f>IF($B20=" ","",IFERROR(INDEX(MMWR_RATING_RO_ROLLUP[],MATCH($B20,MMWR_RATING_RO_ROLLUP[MMWR_RATING_RO_ROLLUP],0),MATCH(I$9,MMWR_RATING_RO_ROLLUP[#Headers],0)),"ERROR"))</f>
        <v>175.36894297949999</v>
      </c>
      <c r="J20" s="160">
        <f>IF($B20=" ","",IFERROR(VLOOKUP($B20,MMWR_ACCURACY_RO[],MATCH(J$9,MMWR_ACCURACY_RO[#Headers],0),0),"ERROR"))</f>
        <v>0.93634586818856991</v>
      </c>
      <c r="K20" s="160">
        <f>IF($B20=" ","",IFERROR(VLOOKUP($B20,MMWR_ACCURACY_RO[],MATCH(K$9,MMWR_ACCURACY_RO[#Headers],0),0),"ERROR"))</f>
        <v>0.83326688815060923</v>
      </c>
      <c r="L20" s="160">
        <f>IF($B20=" ","",IFERROR(VLOOKUP($B20,MMWR_ACCURACY_RO[],MATCH(L$9,MMWR_ACCURACY_RO[#Headers],0),0),"ERROR"))</f>
        <v>0.92617741466470604</v>
      </c>
      <c r="M20" s="160">
        <f>IF($B20=" ","",IFERROR(VLOOKUP($B20,MMWR_ACCURACY_RO[],MATCH(M$9,MMWR_ACCURACY_RO[#Headers],0),0),"ERROR"))</f>
        <v>3.9299517285578532E-2</v>
      </c>
      <c r="N20" s="160">
        <f>IF($B20=" ","",IFERROR(VLOOKUP($B20,MMWR_ACCURACY_RO[],MATCH(N$9,MMWR_ACCURACY_RO[#Headers],0),0),"ERROR"))</f>
        <v>0.98116096259719621</v>
      </c>
      <c r="O20" s="160">
        <f>IF($B20=" ","",IFERROR(VLOOKUP($B20,MMWR_ACCURACY_RO[],MATCH(O$9,MMWR_ACCURACY_RO[#Headers],0),0),"ERROR"))</f>
        <v>2.181423874731479E-2</v>
      </c>
      <c r="P20" s="28"/>
    </row>
    <row r="21" spans="1:16" x14ac:dyDescent="0.2">
      <c r="A21" s="25"/>
      <c r="B21" s="8" t="str">
        <f>VLOOKUP($B$16,DISTRICT_RO[],6,0)</f>
        <v>Huntington VSC</v>
      </c>
      <c r="C21" s="155">
        <f>IF($B21=" ","",IFERROR(INDEX(MMWR_RATING_RO_ROLLUP[],MATCH($B21,MMWR_RATING_RO_ROLLUP[MMWR_RATING_RO_ROLLUP],0),MATCH(C$9,MMWR_RATING_RO_ROLLUP[#Headers],0)),"ERROR"))</f>
        <v>3649</v>
      </c>
      <c r="D21" s="156">
        <f>IF($B21=" ","",IFERROR(INDEX(MMWR_RATING_RO_ROLLUP[],MATCH($B21,MMWR_RATING_RO_ROLLUP[MMWR_RATING_RO_ROLLUP],0),MATCH(D$9,MMWR_RATING_RO_ROLLUP[#Headers],0)),"ERROR"))</f>
        <v>116.4708139216</v>
      </c>
      <c r="E21" s="157">
        <f>IF($B21=" ","",IFERROR(INDEX(MMWR_RATING_RO_ROLLUP[],MATCH($B21,MMWR_RATING_RO_ROLLUP[MMWR_RATING_RO_ROLLUP],0),MATCH(E$9,MMWR_RATING_RO_ROLLUP[#Headers],0))/$C21,"ERROR"))</f>
        <v>0.30200054809536858</v>
      </c>
      <c r="F21" s="155">
        <f>IF($B21=" ","",IFERROR(INDEX(MMWR_RATING_RO_ROLLUP[],MATCH($B21,MMWR_RATING_RO_ROLLUP[MMWR_RATING_RO_ROLLUP],0),MATCH(F$9,MMWR_RATING_RO_ROLLUP[#Headers],0)),"ERROR"))</f>
        <v>1296</v>
      </c>
      <c r="G21" s="155">
        <f>IF($B21=" ","",IFERROR(INDEX(MMWR_RATING_RO_ROLLUP[],MATCH($B21,MMWR_RATING_RO_ROLLUP[MMWR_RATING_RO_ROLLUP],0),MATCH(G$9,MMWR_RATING_RO_ROLLUP[#Headers],0)),"ERROR"))</f>
        <v>16732</v>
      </c>
      <c r="H21" s="156">
        <f>IF($B21=" ","",IFERROR(INDEX(MMWR_RATING_RO_ROLLUP[],MATCH($B21,MMWR_RATING_RO_ROLLUP[MMWR_RATING_RO_ROLLUP],0),MATCH(H$9,MMWR_RATING_RO_ROLLUP[#Headers],0)),"ERROR"))</f>
        <v>144.03626543210001</v>
      </c>
      <c r="I21" s="156">
        <f>IF($B21=" ","",IFERROR(INDEX(MMWR_RATING_RO_ROLLUP[],MATCH($B21,MMWR_RATING_RO_ROLLUP[MMWR_RATING_RO_ROLLUP],0),MATCH(I$9,MMWR_RATING_RO_ROLLUP[#Headers],0)),"ERROR"))</f>
        <v>178.37879512309999</v>
      </c>
      <c r="J21" s="160">
        <f>IF($B21=" ","",IFERROR(VLOOKUP($B21,MMWR_ACCURACY_RO[],MATCH(J$9,MMWR_ACCURACY_RO[#Headers],0),0),"ERROR"))</f>
        <v>0.89772613887071928</v>
      </c>
      <c r="K21" s="160">
        <f>IF($B21=" ","",IFERROR(VLOOKUP($B21,MMWR_ACCURACY_RO[],MATCH(K$9,MMWR_ACCURACY_RO[#Headers],0),0),"ERROR"))</f>
        <v>0.83736235688762495</v>
      </c>
      <c r="L21" s="160">
        <f>IF($B21=" ","",IFERROR(VLOOKUP($B21,MMWR_ACCURACY_RO[],MATCH(L$9,MMWR_ACCURACY_RO[#Headers],0),0),"ERROR"))</f>
        <v>0.90065387479148451</v>
      </c>
      <c r="M21" s="160">
        <f>IF($B21=" ","",IFERROR(VLOOKUP($B21,MMWR_ACCURACY_RO[],MATCH(M$9,MMWR_ACCURACY_RO[#Headers],0),0),"ERROR"))</f>
        <v>4.2578938260772997E-2</v>
      </c>
      <c r="N21" s="160">
        <f>IF($B21=" ","",IFERROR(VLOOKUP($B21,MMWR_ACCURACY_RO[],MATCH(N$9,MMWR_ACCURACY_RO[#Headers],0),0),"ERROR"))</f>
        <v>0.9306136032499075</v>
      </c>
      <c r="O21" s="160">
        <f>IF($B21=" ","",IFERROR(VLOOKUP($B21,MMWR_ACCURACY_RO[],MATCH(O$9,MMWR_ACCURACY_RO[#Headers],0),0),"ERROR"))</f>
        <v>4.1368126299368486E-2</v>
      </c>
      <c r="P21" s="28"/>
    </row>
    <row r="22" spans="1:16" x14ac:dyDescent="0.2">
      <c r="A22" s="25"/>
      <c r="B22" s="8" t="str">
        <f>VLOOKUP($B$16,DISTRICT_RO[],7,0)</f>
        <v>Manchester VSC</v>
      </c>
      <c r="C22" s="155">
        <f>IF($B22=" ","",IFERROR(INDEX(MMWR_RATING_RO_ROLLUP[],MATCH($B22,MMWR_RATING_RO_ROLLUP[MMWR_RATING_RO_ROLLUP],0),MATCH(C$9,MMWR_RATING_RO_ROLLUP[#Headers],0)),"ERROR"))</f>
        <v>1423</v>
      </c>
      <c r="D22" s="156">
        <f>IF($B22=" ","",IFERROR(INDEX(MMWR_RATING_RO_ROLLUP[],MATCH($B22,MMWR_RATING_RO_ROLLUP[MMWR_RATING_RO_ROLLUP],0),MATCH(D$9,MMWR_RATING_RO_ROLLUP[#Headers],0)),"ERROR"))</f>
        <v>106.7624736472</v>
      </c>
      <c r="E22" s="157">
        <f>IF($B22=" ","",IFERROR(INDEX(MMWR_RATING_RO_ROLLUP[],MATCH($B22,MMWR_RATING_RO_ROLLUP[MMWR_RATING_RO_ROLLUP],0),MATCH(E$9,MMWR_RATING_RO_ROLLUP[#Headers],0))/$C22,"ERROR"))</f>
        <v>0.24877020379479972</v>
      </c>
      <c r="F22" s="155">
        <f>IF($B22=" ","",IFERROR(INDEX(MMWR_RATING_RO_ROLLUP[],MATCH($B22,MMWR_RATING_RO_ROLLUP[MMWR_RATING_RO_ROLLUP],0),MATCH(F$9,MMWR_RATING_RO_ROLLUP[#Headers],0)),"ERROR"))</f>
        <v>297</v>
      </c>
      <c r="G22" s="155">
        <f>IF($B22=" ","",IFERROR(INDEX(MMWR_RATING_RO_ROLLUP[],MATCH($B22,MMWR_RATING_RO_ROLLUP[MMWR_RATING_RO_ROLLUP],0),MATCH(G$9,MMWR_RATING_RO_ROLLUP[#Headers],0)),"ERROR"))</f>
        <v>4357</v>
      </c>
      <c r="H22" s="156">
        <f>IF($B22=" ","",IFERROR(INDEX(MMWR_RATING_RO_ROLLUP[],MATCH($B22,MMWR_RATING_RO_ROLLUP[MMWR_RATING_RO_ROLLUP],0),MATCH(H$9,MMWR_RATING_RO_ROLLUP[#Headers],0)),"ERROR"))</f>
        <v>167.2053872054</v>
      </c>
      <c r="I22" s="156">
        <f>IF($B22=" ","",IFERROR(INDEX(MMWR_RATING_RO_ROLLUP[],MATCH($B22,MMWR_RATING_RO_ROLLUP[MMWR_RATING_RO_ROLLUP],0),MATCH(I$9,MMWR_RATING_RO_ROLLUP[#Headers],0)),"ERROR"))</f>
        <v>192.0980032132</v>
      </c>
      <c r="J22" s="160">
        <f>IF($B22=" ","",IFERROR(VLOOKUP($B22,MMWR_ACCURACY_RO[],MATCH(J$9,MMWR_ACCURACY_RO[#Headers],0),0),"ERROR"))</f>
        <v>0.97038707409636038</v>
      </c>
      <c r="K22" s="160">
        <f>IF($B22=" ","",IFERROR(VLOOKUP($B22,MMWR_ACCURACY_RO[],MATCH(K$9,MMWR_ACCURACY_RO[#Headers],0),0),"ERROR"))</f>
        <v>0.95511337868480728</v>
      </c>
      <c r="L22" s="160">
        <f>IF($B22=" ","",IFERROR(VLOOKUP($B22,MMWR_ACCURACY_RO[],MATCH(L$9,MMWR_ACCURACY_RO[#Headers],0),0),"ERROR"))</f>
        <v>0.9113165818631912</v>
      </c>
      <c r="M22" s="160">
        <f>IF($B22=" ","",IFERROR(VLOOKUP($B22,MMWR_ACCURACY_RO[],MATCH(M$9,MMWR_ACCURACY_RO[#Headers],0),0),"ERROR"))</f>
        <v>4.0565564837001418E-2</v>
      </c>
      <c r="N22" s="160">
        <f>IF($B22=" ","",IFERROR(VLOOKUP($B22,MMWR_ACCURACY_RO[],MATCH(N$9,MMWR_ACCURACY_RO[#Headers],0),0),"ERROR"))</f>
        <v>0.92428788734355638</v>
      </c>
      <c r="O22" s="160">
        <f>IF($B22=" ","",IFERROR(VLOOKUP($B22,MMWR_ACCURACY_RO[],MATCH(O$9,MMWR_ACCURACY_RO[#Headers],0),0),"ERROR"))</f>
        <v>3.5225778992118109E-2</v>
      </c>
      <c r="P22" s="28"/>
    </row>
    <row r="23" spans="1:16" x14ac:dyDescent="0.2">
      <c r="A23" s="25"/>
      <c r="B23" s="8" t="str">
        <f>VLOOKUP($B$16,DISTRICT_RO[],8,0)</f>
        <v>New York VSC</v>
      </c>
      <c r="C23" s="155">
        <f>IF($B23=" ","",IFERROR(INDEX(MMWR_RATING_RO_ROLLUP[],MATCH($B23,MMWR_RATING_RO_ROLLUP[MMWR_RATING_RO_ROLLUP],0),MATCH(C$9,MMWR_RATING_RO_ROLLUP[#Headers],0)),"ERROR"))</f>
        <v>4517</v>
      </c>
      <c r="D23" s="156">
        <f>IF($B23=" ","",IFERROR(INDEX(MMWR_RATING_RO_ROLLUP[],MATCH($B23,MMWR_RATING_RO_ROLLUP[MMWR_RATING_RO_ROLLUP],0),MATCH(D$9,MMWR_RATING_RO_ROLLUP[#Headers],0)),"ERROR"))</f>
        <v>94.009740978500005</v>
      </c>
      <c r="E23" s="157">
        <f>IF($B23=" ","",IFERROR(INDEX(MMWR_RATING_RO_ROLLUP[],MATCH($B23,MMWR_RATING_RO_ROLLUP[MMWR_RATING_RO_ROLLUP],0),MATCH(E$9,MMWR_RATING_RO_ROLLUP[#Headers],0))/$C23,"ERROR"))</f>
        <v>0.23533318574274961</v>
      </c>
      <c r="F23" s="155">
        <f>IF($B23=" ","",IFERROR(INDEX(MMWR_RATING_RO_ROLLUP[],MATCH($B23,MMWR_RATING_RO_ROLLUP[MMWR_RATING_RO_ROLLUP],0),MATCH(F$9,MMWR_RATING_RO_ROLLUP[#Headers],0)),"ERROR"))</f>
        <v>878</v>
      </c>
      <c r="G23" s="155">
        <f>IF($B23=" ","",IFERROR(INDEX(MMWR_RATING_RO_ROLLUP[],MATCH($B23,MMWR_RATING_RO_ROLLUP[MMWR_RATING_RO_ROLLUP],0),MATCH(G$9,MMWR_RATING_RO_ROLLUP[#Headers],0)),"ERROR"))</f>
        <v>12786</v>
      </c>
      <c r="H23" s="156">
        <f>IF($B23=" ","",IFERROR(INDEX(MMWR_RATING_RO_ROLLUP[],MATCH($B23,MMWR_RATING_RO_ROLLUP[MMWR_RATING_RO_ROLLUP],0),MATCH(H$9,MMWR_RATING_RO_ROLLUP[#Headers],0)),"ERROR"))</f>
        <v>149.97266514809999</v>
      </c>
      <c r="I23" s="156">
        <f>IF($B23=" ","",IFERROR(INDEX(MMWR_RATING_RO_ROLLUP[],MATCH($B23,MMWR_RATING_RO_ROLLUP[MMWR_RATING_RO_ROLLUP],0),MATCH(I$9,MMWR_RATING_RO_ROLLUP[#Headers],0)),"ERROR"))</f>
        <v>191.3965274519</v>
      </c>
      <c r="J23" s="160">
        <f>IF($B23=" ","",IFERROR(VLOOKUP($B23,MMWR_ACCURACY_RO[],MATCH(J$9,MMWR_ACCURACY_RO[#Headers],0),0),"ERROR"))</f>
        <v>0.93423904904388533</v>
      </c>
      <c r="K23" s="160">
        <f>IF($B23=" ","",IFERROR(VLOOKUP($B23,MMWR_ACCURACY_RO[],MATCH(K$9,MMWR_ACCURACY_RO[#Headers],0),0),"ERROR"))</f>
        <v>0.9006803425887554</v>
      </c>
      <c r="L23" s="160">
        <f>IF($B23=" ","",IFERROR(VLOOKUP($B23,MMWR_ACCURACY_RO[],MATCH(L$9,MMWR_ACCURACY_RO[#Headers],0),0),"ERROR"))</f>
        <v>0.91794230241321662</v>
      </c>
      <c r="M23" s="160">
        <f>IF($B23=" ","",IFERROR(VLOOKUP($B23,MMWR_ACCURACY_RO[],MATCH(M$9,MMWR_ACCURACY_RO[#Headers],0),0),"ERROR"))</f>
        <v>4.2144137791640689E-2</v>
      </c>
      <c r="N23" s="160">
        <f>IF($B23=" ","",IFERROR(VLOOKUP($B23,MMWR_ACCURACY_RO[],MATCH(N$9,MMWR_ACCURACY_RO[#Headers],0),0),"ERROR"))</f>
        <v>0.91954811804712078</v>
      </c>
      <c r="O23" s="160">
        <f>IF($B23=" ","",IFERROR(VLOOKUP($B23,MMWR_ACCURACY_RO[],MATCH(O$9,MMWR_ACCURACY_RO[#Headers],0),0),"ERROR"))</f>
        <v>4.1016390859065978E-2</v>
      </c>
      <c r="P23" s="28"/>
    </row>
    <row r="24" spans="1:16" x14ac:dyDescent="0.2">
      <c r="A24" s="25"/>
      <c r="B24" s="8" t="str">
        <f>VLOOKUP($B$16,DISTRICT_RO[],9,0)</f>
        <v>Newark VSC</v>
      </c>
      <c r="C24" s="155">
        <f>IF($B24=" ","",IFERROR(INDEX(MMWR_RATING_RO_ROLLUP[],MATCH($B24,MMWR_RATING_RO_ROLLUP[MMWR_RATING_RO_ROLLUP],0),MATCH(C$9,MMWR_RATING_RO_ROLLUP[#Headers],0)),"ERROR"))</f>
        <v>2468</v>
      </c>
      <c r="D24" s="156">
        <f>IF($B24=" ","",IFERROR(INDEX(MMWR_RATING_RO_ROLLUP[],MATCH($B24,MMWR_RATING_RO_ROLLUP[MMWR_RATING_RO_ROLLUP],0),MATCH(D$9,MMWR_RATING_RO_ROLLUP[#Headers],0)),"ERROR"))</f>
        <v>95.709076175000007</v>
      </c>
      <c r="E24" s="157">
        <f>IF($B24=" ","",IFERROR(INDEX(MMWR_RATING_RO_ROLLUP[],MATCH($B24,MMWR_RATING_RO_ROLLUP[MMWR_RATING_RO_ROLLUP],0),MATCH(E$9,MMWR_RATING_RO_ROLLUP[#Headers],0))/$C24,"ERROR"))</f>
        <v>0.25688816855753649</v>
      </c>
      <c r="F24" s="155">
        <f>IF($B24=" ","",IFERROR(INDEX(MMWR_RATING_RO_ROLLUP[],MATCH($B24,MMWR_RATING_RO_ROLLUP[MMWR_RATING_RO_ROLLUP],0),MATCH(F$9,MMWR_RATING_RO_ROLLUP[#Headers],0)),"ERROR"))</f>
        <v>462</v>
      </c>
      <c r="G24" s="155">
        <f>IF($B24=" ","",IFERROR(INDEX(MMWR_RATING_RO_ROLLUP[],MATCH($B24,MMWR_RATING_RO_ROLLUP[MMWR_RATING_RO_ROLLUP],0),MATCH(G$9,MMWR_RATING_RO_ROLLUP[#Headers],0)),"ERROR"))</f>
        <v>6828</v>
      </c>
      <c r="H24" s="156">
        <f>IF($B24=" ","",IFERROR(INDEX(MMWR_RATING_RO_ROLLUP[],MATCH($B24,MMWR_RATING_RO_ROLLUP[MMWR_RATING_RO_ROLLUP],0),MATCH(H$9,MMWR_RATING_RO_ROLLUP[#Headers],0)),"ERROR"))</f>
        <v>163.62121212119999</v>
      </c>
      <c r="I24" s="156">
        <f>IF($B24=" ","",IFERROR(INDEX(MMWR_RATING_RO_ROLLUP[],MATCH($B24,MMWR_RATING_RO_ROLLUP[MMWR_RATING_RO_ROLLUP],0),MATCH(I$9,MMWR_RATING_RO_ROLLUP[#Headers],0)),"ERROR"))</f>
        <v>167.1006151142</v>
      </c>
      <c r="J24" s="160">
        <f>IF($B24=" ","",IFERROR(VLOOKUP($B24,MMWR_ACCURACY_RO[],MATCH(J$9,MMWR_ACCURACY_RO[#Headers],0),0),"ERROR"))</f>
        <v>0.97154805988111059</v>
      </c>
      <c r="K24" s="160">
        <f>IF($B24=" ","",IFERROR(VLOOKUP($B24,MMWR_ACCURACY_RO[],MATCH(K$9,MMWR_ACCURACY_RO[#Headers],0),0),"ERROR"))</f>
        <v>0.94127507988894132</v>
      </c>
      <c r="L24" s="160">
        <f>IF($B24=" ","",IFERROR(VLOOKUP($B24,MMWR_ACCURACY_RO[],MATCH(L$9,MMWR_ACCURACY_RO[#Headers],0),0),"ERROR"))</f>
        <v>0.88824193018242081</v>
      </c>
      <c r="M24" s="160">
        <f>IF($B24=" ","",IFERROR(VLOOKUP($B24,MMWR_ACCURACY_RO[],MATCH(M$9,MMWR_ACCURACY_RO[#Headers],0),0),"ERROR"))</f>
        <v>4.1997036812878787E-2</v>
      </c>
      <c r="N24" s="160">
        <f>IF($B24=" ","",IFERROR(VLOOKUP($B24,MMWR_ACCURACY_RO[],MATCH(N$9,MMWR_ACCURACY_RO[#Headers],0),0),"ERROR"))</f>
        <v>0.86306732432248312</v>
      </c>
      <c r="O24" s="160">
        <f>IF($B24=" ","",IFERROR(VLOOKUP($B24,MMWR_ACCURACY_RO[],MATCH(O$9,MMWR_ACCURACY_RO[#Headers],0),0),"ERROR"))</f>
        <v>4.3553770663386046E-2</v>
      </c>
      <c r="P24" s="28"/>
    </row>
    <row r="25" spans="1:16" x14ac:dyDescent="0.2">
      <c r="A25" s="25"/>
      <c r="B25" s="8" t="str">
        <f>VLOOKUP($B$16,DISTRICT_RO[],10,0)</f>
        <v>Philadelphia VSC</v>
      </c>
      <c r="C25" s="155">
        <f>IF($B25=" ","",IFERROR(INDEX(MMWR_RATING_RO_ROLLUP[],MATCH($B25,MMWR_RATING_RO_ROLLUP[MMWR_RATING_RO_ROLLUP],0),MATCH(C$9,MMWR_RATING_RO_ROLLUP[#Headers],0)),"ERROR"))</f>
        <v>7928</v>
      </c>
      <c r="D25" s="156">
        <f>IF($B25=" ","",IFERROR(INDEX(MMWR_RATING_RO_ROLLUP[],MATCH($B25,MMWR_RATING_RO_ROLLUP[MMWR_RATING_RO_ROLLUP],0),MATCH(D$9,MMWR_RATING_RO_ROLLUP[#Headers],0)),"ERROR"))</f>
        <v>134.66536326939999</v>
      </c>
      <c r="E25" s="157">
        <f>IF($B25=" ","",IFERROR(INDEX(MMWR_RATING_RO_ROLLUP[],MATCH($B25,MMWR_RATING_RO_ROLLUP[MMWR_RATING_RO_ROLLUP],0),MATCH(E$9,MMWR_RATING_RO_ROLLUP[#Headers],0))/$C25,"ERROR"))</f>
        <v>0.38534308779011101</v>
      </c>
      <c r="F25" s="155">
        <f>IF($B25=" ","",IFERROR(INDEX(MMWR_RATING_RO_ROLLUP[],MATCH($B25,MMWR_RATING_RO_ROLLUP[MMWR_RATING_RO_ROLLUP],0),MATCH(F$9,MMWR_RATING_RO_ROLLUP[#Headers],0)),"ERROR"))</f>
        <v>1694</v>
      </c>
      <c r="G25" s="155">
        <f>IF($B25=" ","",IFERROR(INDEX(MMWR_RATING_RO_ROLLUP[],MATCH($B25,MMWR_RATING_RO_ROLLUP[MMWR_RATING_RO_ROLLUP],0),MATCH(G$9,MMWR_RATING_RO_ROLLUP[#Headers],0)),"ERROR"))</f>
        <v>26905</v>
      </c>
      <c r="H25" s="156">
        <f>IF($B25=" ","",IFERROR(INDEX(MMWR_RATING_RO_ROLLUP[],MATCH($B25,MMWR_RATING_RO_ROLLUP[MMWR_RATING_RO_ROLLUP],0),MATCH(H$9,MMWR_RATING_RO_ROLLUP[#Headers],0)),"ERROR"))</f>
        <v>173.41440377800001</v>
      </c>
      <c r="I25" s="156">
        <f>IF($B25=" ","",IFERROR(INDEX(MMWR_RATING_RO_ROLLUP[],MATCH($B25,MMWR_RATING_RO_ROLLUP[MMWR_RATING_RO_ROLLUP],0),MATCH(I$9,MMWR_RATING_RO_ROLLUP[#Headers],0)),"ERROR"))</f>
        <v>226.4830328935</v>
      </c>
      <c r="J25" s="160">
        <f>IF($B25=" ","",IFERROR(VLOOKUP($B25,MMWR_ACCURACY_RO[],MATCH(J$9,MMWR_ACCURACY_RO[#Headers],0),0),"ERROR"))</f>
        <v>0.95339916421216919</v>
      </c>
      <c r="K25" s="160">
        <f>IF($B25=" ","",IFERROR(VLOOKUP($B25,MMWR_ACCURACY_RO[],MATCH(K$9,MMWR_ACCURACY_RO[#Headers],0),0),"ERROR"))</f>
        <v>0.91084966635223419</v>
      </c>
      <c r="L25" s="160">
        <f>IF($B25=" ","",IFERROR(VLOOKUP($B25,MMWR_ACCURACY_RO[],MATCH(L$9,MMWR_ACCURACY_RO[#Headers],0),0),"ERROR"))</f>
        <v>0.87681282287685147</v>
      </c>
      <c r="M25" s="160">
        <f>IF($B25=" ","",IFERROR(VLOOKUP($B25,MMWR_ACCURACY_RO[],MATCH(M$9,MMWR_ACCURACY_RO[#Headers],0),0),"ERROR"))</f>
        <v>4.7229135821489902E-2</v>
      </c>
      <c r="N25" s="160">
        <f>IF($B25=" ","",IFERROR(VLOOKUP($B25,MMWR_ACCURACY_RO[],MATCH(N$9,MMWR_ACCURACY_RO[#Headers],0),0),"ERROR"))</f>
        <v>0.9132764718463211</v>
      </c>
      <c r="O25" s="160">
        <f>IF($B25=" ","",IFERROR(VLOOKUP($B25,MMWR_ACCURACY_RO[],MATCH(O$9,MMWR_ACCURACY_RO[#Headers],0),0),"ERROR"))</f>
        <v>4.5010074060673588E-2</v>
      </c>
      <c r="P25" s="28"/>
    </row>
    <row r="26" spans="1:16" x14ac:dyDescent="0.2">
      <c r="A26" s="25"/>
      <c r="B26" s="8" t="str">
        <f>VLOOKUP($B$16,DISTRICT_RO[],11,0)</f>
        <v>Pittsburgh VSC</v>
      </c>
      <c r="C26" s="155">
        <f>IF($B26=" ","",IFERROR(INDEX(MMWR_RATING_RO_ROLLUP[],MATCH($B26,MMWR_RATING_RO_ROLLUP[MMWR_RATING_RO_ROLLUP],0),MATCH(C$9,MMWR_RATING_RO_ROLLUP[#Headers],0)),"ERROR"))</f>
        <v>5175</v>
      </c>
      <c r="D26" s="156">
        <f>IF($B26=" ","",IFERROR(INDEX(MMWR_RATING_RO_ROLLUP[],MATCH($B26,MMWR_RATING_RO_ROLLUP[MMWR_RATING_RO_ROLLUP],0),MATCH(D$9,MMWR_RATING_RO_ROLLUP[#Headers],0)),"ERROR"))</f>
        <v>128.24367149759999</v>
      </c>
      <c r="E26" s="157">
        <f>IF($B26=" ","",IFERROR(INDEX(MMWR_RATING_RO_ROLLUP[],MATCH($B26,MMWR_RATING_RO_ROLLUP[MMWR_RATING_RO_ROLLUP],0),MATCH(E$9,MMWR_RATING_RO_ROLLUP[#Headers],0))/$C26,"ERROR"))</f>
        <v>0.33507246376811595</v>
      </c>
      <c r="F26" s="155">
        <f>IF($B26=" ","",IFERROR(INDEX(MMWR_RATING_RO_ROLLUP[],MATCH($B26,MMWR_RATING_RO_ROLLUP[MMWR_RATING_RO_ROLLUP],0),MATCH(F$9,MMWR_RATING_RO_ROLLUP[#Headers],0)),"ERROR"))</f>
        <v>716</v>
      </c>
      <c r="G26" s="155">
        <f>IF($B26=" ","",IFERROR(INDEX(MMWR_RATING_RO_ROLLUP[],MATCH($B26,MMWR_RATING_RO_ROLLUP[MMWR_RATING_RO_ROLLUP],0),MATCH(G$9,MMWR_RATING_RO_ROLLUP[#Headers],0)),"ERROR"))</f>
        <v>10609</v>
      </c>
      <c r="H26" s="156">
        <f>IF($B26=" ","",IFERROR(INDEX(MMWR_RATING_RO_ROLLUP[],MATCH($B26,MMWR_RATING_RO_ROLLUP[MMWR_RATING_RO_ROLLUP],0),MATCH(H$9,MMWR_RATING_RO_ROLLUP[#Headers],0)),"ERROR"))</f>
        <v>178.85335195530001</v>
      </c>
      <c r="I26" s="156">
        <f>IF($B26=" ","",IFERROR(INDEX(MMWR_RATING_RO_ROLLUP[],MATCH($B26,MMWR_RATING_RO_ROLLUP[MMWR_RATING_RO_ROLLUP],0),MATCH(I$9,MMWR_RATING_RO_ROLLUP[#Headers],0)),"ERROR"))</f>
        <v>204.34715807329999</v>
      </c>
      <c r="J26" s="160">
        <f>IF($B26=" ","",IFERROR(VLOOKUP($B26,MMWR_ACCURACY_RO[],MATCH(J$9,MMWR_ACCURACY_RO[#Headers],0),0),"ERROR"))</f>
        <v>0.95914265536095789</v>
      </c>
      <c r="K26" s="160">
        <f>IF($B26=" ","",IFERROR(VLOOKUP($B26,MMWR_ACCURACY_RO[],MATCH(K$9,MMWR_ACCURACY_RO[#Headers],0),0),"ERROR"))</f>
        <v>0.90262857142857145</v>
      </c>
      <c r="L26" s="160">
        <f>IF($B26=" ","",IFERROR(VLOOKUP($B26,MMWR_ACCURACY_RO[],MATCH(L$9,MMWR_ACCURACY_RO[#Headers],0),0),"ERROR"))</f>
        <v>0.90275422375535852</v>
      </c>
      <c r="M26" s="160">
        <f>IF($B26=" ","",IFERROR(VLOOKUP($B26,MMWR_ACCURACY_RO[],MATCH(M$9,MMWR_ACCURACY_RO[#Headers],0),0),"ERROR"))</f>
        <v>4.4725363827753599E-2</v>
      </c>
      <c r="N26" s="160">
        <f>IF($B26=" ","",IFERROR(VLOOKUP($B26,MMWR_ACCURACY_RO[],MATCH(N$9,MMWR_ACCURACY_RO[#Headers],0),0),"ERROR"))</f>
        <v>0.93275407278698108</v>
      </c>
      <c r="O26" s="160">
        <f>IF($B26=" ","",IFERROR(VLOOKUP($B26,MMWR_ACCURACY_RO[],MATCH(O$9,MMWR_ACCURACY_RO[#Headers],0),0),"ERROR"))</f>
        <v>4.0793681728530796E-2</v>
      </c>
      <c r="P26" s="28"/>
    </row>
    <row r="27" spans="1:16" x14ac:dyDescent="0.2">
      <c r="A27" s="25"/>
      <c r="B27" s="8" t="str">
        <f>VLOOKUP($B$16,DISTRICT_RO[],12,0)</f>
        <v>Providence VSC</v>
      </c>
      <c r="C27" s="155">
        <f>IF($B27=" ","",IFERROR(INDEX(MMWR_RATING_RO_ROLLUP[],MATCH($B27,MMWR_RATING_RO_ROLLUP[MMWR_RATING_RO_ROLLUP],0),MATCH(C$9,MMWR_RATING_RO_ROLLUP[#Headers],0)),"ERROR"))</f>
        <v>3591</v>
      </c>
      <c r="D27" s="156">
        <f>IF($B27=" ","",IFERROR(INDEX(MMWR_RATING_RO_ROLLUP[],MATCH($B27,MMWR_RATING_RO_ROLLUP[MMWR_RATING_RO_ROLLUP],0),MATCH(D$9,MMWR_RATING_RO_ROLLUP[#Headers],0)),"ERROR"))</f>
        <v>149.62935115569999</v>
      </c>
      <c r="E27" s="157">
        <f>IF($B27=" ","",IFERROR(INDEX(MMWR_RATING_RO_ROLLUP[],MATCH($B27,MMWR_RATING_RO_ROLLUP[MMWR_RATING_RO_ROLLUP],0),MATCH(E$9,MMWR_RATING_RO_ROLLUP[#Headers],0))/$C27,"ERROR"))</f>
        <v>0.46950710108604843</v>
      </c>
      <c r="F27" s="155">
        <f>IF($B27=" ","",IFERROR(INDEX(MMWR_RATING_RO_ROLLUP[],MATCH($B27,MMWR_RATING_RO_ROLLUP[MMWR_RATING_RO_ROLLUP],0),MATCH(F$9,MMWR_RATING_RO_ROLLUP[#Headers],0)),"ERROR"))</f>
        <v>1685</v>
      </c>
      <c r="G27" s="155">
        <f>IF($B27=" ","",IFERROR(INDEX(MMWR_RATING_RO_ROLLUP[],MATCH($B27,MMWR_RATING_RO_ROLLUP[MMWR_RATING_RO_ROLLUP],0),MATCH(G$9,MMWR_RATING_RO_ROLLUP[#Headers],0)),"ERROR"))</f>
        <v>27009</v>
      </c>
      <c r="H27" s="156">
        <f>IF($B27=" ","",IFERROR(INDEX(MMWR_RATING_RO_ROLLUP[],MATCH($B27,MMWR_RATING_RO_ROLLUP[MMWR_RATING_RO_ROLLUP],0),MATCH(H$9,MMWR_RATING_RO_ROLLUP[#Headers],0)),"ERROR"))</f>
        <v>89.496735904999994</v>
      </c>
      <c r="I27" s="156">
        <f>IF($B27=" ","",IFERROR(INDEX(MMWR_RATING_RO_ROLLUP[],MATCH($B27,MMWR_RATING_RO_ROLLUP[MMWR_RATING_RO_ROLLUP],0),MATCH(I$9,MMWR_RATING_RO_ROLLUP[#Headers],0)),"ERROR"))</f>
        <v>85.887593024500006</v>
      </c>
      <c r="J27" s="160">
        <f>IF($B27=" ","",IFERROR(VLOOKUP($B27,MMWR_ACCURACY_RO[],MATCH(J$9,MMWR_ACCURACY_RO[#Headers],0),0),"ERROR"))</f>
        <v>0.96170220080560609</v>
      </c>
      <c r="K27" s="160">
        <f>IF($B27=" ","",IFERROR(VLOOKUP($B27,MMWR_ACCURACY_RO[],MATCH(K$9,MMWR_ACCURACY_RO[#Headers],0),0),"ERROR"))</f>
        <v>0.83831604636973767</v>
      </c>
      <c r="L27" s="160">
        <f>IF($B27=" ","",IFERROR(VLOOKUP($B27,MMWR_ACCURACY_RO[],MATCH(L$9,MMWR_ACCURACY_RO[#Headers],0),0),"ERROR"))</f>
        <v>0.87284225371367308</v>
      </c>
      <c r="M27" s="160">
        <f>IF($B27=" ","",IFERROR(VLOOKUP($B27,MMWR_ACCURACY_RO[],MATCH(M$9,MMWR_ACCURACY_RO[#Headers],0),0),"ERROR"))</f>
        <v>5.5146907500185804E-2</v>
      </c>
      <c r="N27" s="160">
        <f>IF($B27=" ","",IFERROR(VLOOKUP($B27,MMWR_ACCURACY_RO[],MATCH(N$9,MMWR_ACCURACY_RO[#Headers],0),0),"ERROR"))</f>
        <v>0.95333317161131736</v>
      </c>
      <c r="O27" s="160">
        <f>IF($B27=" ","",IFERROR(VLOOKUP($B27,MMWR_ACCURACY_RO[],MATCH(O$9,MMWR_ACCURACY_RO[#Headers],0),0),"ERROR"))</f>
        <v>3.776793994045647E-2</v>
      </c>
      <c r="P27" s="28"/>
    </row>
    <row r="28" spans="1:16" x14ac:dyDescent="0.2">
      <c r="A28" s="25"/>
      <c r="B28" s="8" t="str">
        <f>VLOOKUP($B$16,DISTRICT_RO[],13,0)</f>
        <v>Roanoke VSC</v>
      </c>
      <c r="C28" s="155">
        <f>IF($B28=" ","",IFERROR(INDEX(MMWR_RATING_RO_ROLLUP[],MATCH($B28,MMWR_RATING_RO_ROLLUP[MMWR_RATING_RO_ROLLUP],0),MATCH(C$9,MMWR_RATING_RO_ROLLUP[#Headers],0)),"ERROR"))</f>
        <v>11129</v>
      </c>
      <c r="D28" s="156">
        <f>IF($B28=" ","",IFERROR(INDEX(MMWR_RATING_RO_ROLLUP[],MATCH($B28,MMWR_RATING_RO_ROLLUP[MMWR_RATING_RO_ROLLUP],0),MATCH(D$9,MMWR_RATING_RO_ROLLUP[#Headers],0)),"ERROR"))</f>
        <v>95.826219786099998</v>
      </c>
      <c r="E28" s="157">
        <f>IF($B28=" ","",IFERROR(INDEX(MMWR_RATING_RO_ROLLUP[],MATCH($B28,MMWR_RATING_RO_ROLLUP[MMWR_RATING_RO_ROLLUP],0),MATCH(E$9,MMWR_RATING_RO_ROLLUP[#Headers],0))/$C28,"ERROR"))</f>
        <v>0.25456015814538591</v>
      </c>
      <c r="F28" s="155">
        <f>IF($B28=" ","",IFERROR(INDEX(MMWR_RATING_RO_ROLLUP[],MATCH($B28,MMWR_RATING_RO_ROLLUP[MMWR_RATING_RO_ROLLUP],0),MATCH(F$9,MMWR_RATING_RO_ROLLUP[#Headers],0)),"ERROR"))</f>
        <v>2326</v>
      </c>
      <c r="G28" s="155">
        <f>IF($B28=" ","",IFERROR(INDEX(MMWR_RATING_RO_ROLLUP[],MATCH($B28,MMWR_RATING_RO_ROLLUP[MMWR_RATING_RO_ROLLUP],0),MATCH(G$9,MMWR_RATING_RO_ROLLUP[#Headers],0)),"ERROR"))</f>
        <v>33690</v>
      </c>
      <c r="H28" s="156">
        <f>IF($B28=" ","",IFERROR(INDEX(MMWR_RATING_RO_ROLLUP[],MATCH($B28,MMWR_RATING_RO_ROLLUP[MMWR_RATING_RO_ROLLUP],0),MATCH(H$9,MMWR_RATING_RO_ROLLUP[#Headers],0)),"ERROR"))</f>
        <v>161.86715391230001</v>
      </c>
      <c r="I28" s="156">
        <f>IF($B28=" ","",IFERROR(INDEX(MMWR_RATING_RO_ROLLUP[],MATCH($B28,MMWR_RATING_RO_ROLLUP[MMWR_RATING_RO_ROLLUP],0),MATCH(I$9,MMWR_RATING_RO_ROLLUP[#Headers],0)),"ERROR"))</f>
        <v>197.9051350549</v>
      </c>
      <c r="J28" s="160">
        <f>IF($B28=" ","",IFERROR(VLOOKUP($B28,MMWR_ACCURACY_RO[],MATCH(J$9,MMWR_ACCURACY_RO[#Headers],0),0),"ERROR"))</f>
        <v>0.97028414686982167</v>
      </c>
      <c r="K28" s="160">
        <f>IF($B28=" ","",IFERROR(VLOOKUP($B28,MMWR_ACCURACY_RO[],MATCH(K$9,MMWR_ACCURACY_RO[#Headers],0),0),"ERROR"))</f>
        <v>0.89088285688520163</v>
      </c>
      <c r="L28" s="160">
        <f>IF($B28=" ","",IFERROR(VLOOKUP($B28,MMWR_ACCURACY_RO[],MATCH(L$9,MMWR_ACCURACY_RO[#Headers],0),0),"ERROR"))</f>
        <v>0.9108343084831767</v>
      </c>
      <c r="M28" s="160">
        <f>IF($B28=" ","",IFERROR(VLOOKUP($B28,MMWR_ACCURACY_RO[],MATCH(M$9,MMWR_ACCURACY_RO[#Headers],0),0),"ERROR"))</f>
        <v>4.6327199228885195E-2</v>
      </c>
      <c r="N28" s="160">
        <f>IF($B28=" ","",IFERROR(VLOOKUP($B28,MMWR_ACCURACY_RO[],MATCH(N$9,MMWR_ACCURACY_RO[#Headers],0),0),"ERROR"))</f>
        <v>0.93104003136573199</v>
      </c>
      <c r="O28" s="160">
        <f>IF($B28=" ","",IFERROR(VLOOKUP($B28,MMWR_ACCURACY_RO[],MATCH(O$9,MMWR_ACCURACY_RO[#Headers],0),0),"ERROR"))</f>
        <v>4.1393317421084104E-2</v>
      </c>
      <c r="P28" s="28"/>
    </row>
    <row r="29" spans="1:16" x14ac:dyDescent="0.2">
      <c r="A29" s="25"/>
      <c r="B29" s="8" t="str">
        <f>VLOOKUP($B$16,DISTRICT_RO[],14,0)</f>
        <v>Togus VSC</v>
      </c>
      <c r="C29" s="155">
        <f>IF($B29=" ","",IFERROR(INDEX(MMWR_RATING_RO_ROLLUP[],MATCH($B29,MMWR_RATING_RO_ROLLUP[MMWR_RATING_RO_ROLLUP],0),MATCH(C$9,MMWR_RATING_RO_ROLLUP[#Headers],0)),"ERROR"))</f>
        <v>4279</v>
      </c>
      <c r="D29" s="156">
        <f>IF($B29=" ","",IFERROR(INDEX(MMWR_RATING_RO_ROLLUP[],MATCH($B29,MMWR_RATING_RO_ROLLUP[MMWR_RATING_RO_ROLLUP],0),MATCH(D$9,MMWR_RATING_RO_ROLLUP[#Headers],0)),"ERROR"))</f>
        <v>126.31689647109999</v>
      </c>
      <c r="E29" s="157">
        <f>IF($B29=" ","",IFERROR(INDEX(MMWR_RATING_RO_ROLLUP[],MATCH($B29,MMWR_RATING_RO_ROLLUP[MMWR_RATING_RO_ROLLUP],0),MATCH(E$9,MMWR_RATING_RO_ROLLUP[#Headers],0))/$C29,"ERROR"))</f>
        <v>0.32157046038794113</v>
      </c>
      <c r="F29" s="155">
        <f>IF($B29=" ","",IFERROR(INDEX(MMWR_RATING_RO_ROLLUP[],MATCH($B29,MMWR_RATING_RO_ROLLUP[MMWR_RATING_RO_ROLLUP],0),MATCH(F$9,MMWR_RATING_RO_ROLLUP[#Headers],0)),"ERROR"))</f>
        <v>1136</v>
      </c>
      <c r="G29" s="155">
        <f>IF($B29=" ","",IFERROR(INDEX(MMWR_RATING_RO_ROLLUP[],MATCH($B29,MMWR_RATING_RO_ROLLUP[MMWR_RATING_RO_ROLLUP],0),MATCH(G$9,MMWR_RATING_RO_ROLLUP[#Headers],0)),"ERROR"))</f>
        <v>17709</v>
      </c>
      <c r="H29" s="156">
        <f>IF($B29=" ","",IFERROR(INDEX(MMWR_RATING_RO_ROLLUP[],MATCH($B29,MMWR_RATING_RO_ROLLUP[MMWR_RATING_RO_ROLLUP],0),MATCH(H$9,MMWR_RATING_RO_ROLLUP[#Headers],0)),"ERROR"))</f>
        <v>180.73767605629999</v>
      </c>
      <c r="I29" s="156">
        <f>IF($B29=" ","",IFERROR(INDEX(MMWR_RATING_RO_ROLLUP[],MATCH($B29,MMWR_RATING_RO_ROLLUP[MMWR_RATING_RO_ROLLUP],0),MATCH(I$9,MMWR_RATING_RO_ROLLUP[#Headers],0)),"ERROR"))</f>
        <v>211.91478909029999</v>
      </c>
      <c r="J29" s="160">
        <f>IF($B29=" ","",IFERROR(VLOOKUP($B29,MMWR_ACCURACY_RO[],MATCH(J$9,MMWR_ACCURACY_RO[#Headers],0),0),"ERROR"))</f>
        <v>0.97216825069015667</v>
      </c>
      <c r="K29" s="160">
        <f>IF($B29=" ","",IFERROR(VLOOKUP($B29,MMWR_ACCURACY_RO[],MATCH(K$9,MMWR_ACCURACY_RO[#Headers],0),0),"ERROR"))</f>
        <v>0.87072751809593907</v>
      </c>
      <c r="L29" s="160">
        <f>IF($B29=" ","",IFERROR(VLOOKUP($B29,MMWR_ACCURACY_RO[],MATCH(L$9,MMWR_ACCURACY_RO[#Headers],0),0),"ERROR"))</f>
        <v>0.88527238196198121</v>
      </c>
      <c r="M29" s="160">
        <f>IF($B29=" ","",IFERROR(VLOOKUP($B29,MMWR_ACCURACY_RO[],MATCH(M$9,MMWR_ACCURACY_RO[#Headers],0),0),"ERROR"))</f>
        <v>5.3904934598517758E-2</v>
      </c>
      <c r="N29" s="160">
        <f>IF($B29=" ","",IFERROR(VLOOKUP($B29,MMWR_ACCURACY_RO[],MATCH(N$9,MMWR_ACCURACY_RO[#Headers],0),0),"ERROR"))</f>
        <v>0.95207134517653547</v>
      </c>
      <c r="O29" s="160">
        <f>IF($B29=" ","",IFERROR(VLOOKUP($B29,MMWR_ACCURACY_RO[],MATCH(O$9,MMWR_ACCURACY_RO[#Headers],0),0),"ERROR"))</f>
        <v>3.7256718307833621E-2</v>
      </c>
      <c r="P29" s="28"/>
    </row>
    <row r="30" spans="1:16" x14ac:dyDescent="0.2">
      <c r="A30" s="25"/>
      <c r="B30" s="8" t="str">
        <f>VLOOKUP($B$16,DISTRICT_RO[],15,0)</f>
        <v>White River Junction VSC</v>
      </c>
      <c r="C30" s="155">
        <f>IF($B30=" ","",IFERROR(INDEX(MMWR_RATING_RO_ROLLUP[],MATCH($B30,MMWR_RATING_RO_ROLLUP[MMWR_RATING_RO_ROLLUP],0),MATCH(C$9,MMWR_RATING_RO_ROLLUP[#Headers],0)),"ERROR"))</f>
        <v>685</v>
      </c>
      <c r="D30" s="156">
        <f>IF($B30=" ","",IFERROR(INDEX(MMWR_RATING_RO_ROLLUP[],MATCH($B30,MMWR_RATING_RO_ROLLUP[MMWR_RATING_RO_ROLLUP],0),MATCH(D$9,MMWR_RATING_RO_ROLLUP[#Headers],0)),"ERROR"))</f>
        <v>116.797080292</v>
      </c>
      <c r="E30" s="157">
        <f>IF($B30=" ","",IFERROR(INDEX(MMWR_RATING_RO_ROLLUP[],MATCH($B30,MMWR_RATING_RO_ROLLUP[MMWR_RATING_RO_ROLLUP],0),MATCH(E$9,MMWR_RATING_RO_ROLLUP[#Headers],0))/$C30,"ERROR"))</f>
        <v>0.41459854014598541</v>
      </c>
      <c r="F30" s="155">
        <f>IF($B30=" ","",IFERROR(INDEX(MMWR_RATING_RO_ROLLUP[],MATCH($B30,MMWR_RATING_RO_ROLLUP[MMWR_RATING_RO_ROLLUP],0),MATCH(F$9,MMWR_RATING_RO_ROLLUP[#Headers],0)),"ERROR"))</f>
        <v>124</v>
      </c>
      <c r="G30" s="155">
        <f>IF($B30=" ","",IFERROR(INDEX(MMWR_RATING_RO_ROLLUP[],MATCH($B30,MMWR_RATING_RO_ROLLUP[MMWR_RATING_RO_ROLLUP],0),MATCH(G$9,MMWR_RATING_RO_ROLLUP[#Headers],0)),"ERROR"))</f>
        <v>2125</v>
      </c>
      <c r="H30" s="156">
        <f>IF($B30=" ","",IFERROR(INDEX(MMWR_RATING_RO_ROLLUP[],MATCH($B30,MMWR_RATING_RO_ROLLUP[MMWR_RATING_RO_ROLLUP],0),MATCH(H$9,MMWR_RATING_RO_ROLLUP[#Headers],0)),"ERROR"))</f>
        <v>161.12903225810001</v>
      </c>
      <c r="I30" s="156">
        <f>IF($B30=" ","",IFERROR(INDEX(MMWR_RATING_RO_ROLLUP[],MATCH($B30,MMWR_RATING_RO_ROLLUP[MMWR_RATING_RO_ROLLUP],0),MATCH(I$9,MMWR_RATING_RO_ROLLUP[#Headers],0)),"ERROR"))</f>
        <v>189.3388235294</v>
      </c>
      <c r="J30" s="160">
        <f>IF($B30=" ","",IFERROR(VLOOKUP($B30,MMWR_ACCURACY_RO[],MATCH(J$9,MMWR_ACCURACY_RO[#Headers],0),0),"ERROR"))</f>
        <v>0.93122995629450489</v>
      </c>
      <c r="K30" s="160">
        <f>IF($B30=" ","",IFERROR(VLOOKUP($B30,MMWR_ACCURACY_RO[],MATCH(K$9,MMWR_ACCURACY_RO[#Headers],0),0),"ERROR"))</f>
        <v>0.86016865079365079</v>
      </c>
      <c r="L30" s="160">
        <f>IF($B30=" ","",IFERROR(VLOOKUP($B30,MMWR_ACCURACY_RO[],MATCH(L$9,MMWR_ACCURACY_RO[#Headers],0),0),"ERROR"))</f>
        <v>0.83642540469528082</v>
      </c>
      <c r="M30" s="160">
        <f>IF($B30=" ","",IFERROR(VLOOKUP($B30,MMWR_ACCURACY_RO[],MATCH(M$9,MMWR_ACCURACY_RO[#Headers],0),0),"ERROR"))</f>
        <v>5.1250249650439839E-2</v>
      </c>
      <c r="N30" s="160">
        <f>IF($B30=" ","",IFERROR(VLOOKUP($B30,MMWR_ACCURACY_RO[],MATCH(N$9,MMWR_ACCURACY_RO[#Headers],0),0),"ERROR"))</f>
        <v>0.89578717977998545</v>
      </c>
      <c r="O30" s="160">
        <f>IF($B30=" ","",IFERROR(VLOOKUP($B30,MMWR_ACCURACY_RO[],MATCH(O$9,MMWR_ACCURACY_RO[#Headers],0),0),"ERROR"))</f>
        <v>3.1792449818775097E-2</v>
      </c>
      <c r="P30" s="28"/>
    </row>
    <row r="31" spans="1:16" x14ac:dyDescent="0.2">
      <c r="A31" s="25"/>
      <c r="B31" s="8" t="str">
        <f>VLOOKUP($B$16,DISTRICT_RO[],16,0)</f>
        <v>Wilmington VSC</v>
      </c>
      <c r="C31" s="155">
        <f>IF($B31=" ","",IFERROR(INDEX(MMWR_RATING_RO_ROLLUP[],MATCH($B31,MMWR_RATING_RO_ROLLUP[MMWR_RATING_RO_ROLLUP],0),MATCH(C$9,MMWR_RATING_RO_ROLLUP[#Headers],0)),"ERROR"))</f>
        <v>802</v>
      </c>
      <c r="D31" s="156">
        <f>IF($B31=" ","",IFERROR(INDEX(MMWR_RATING_RO_ROLLUP[],MATCH($B31,MMWR_RATING_RO_ROLLUP[MMWR_RATING_RO_ROLLUP],0),MATCH(D$9,MMWR_RATING_RO_ROLLUP[#Headers],0)),"ERROR"))</f>
        <v>101.3952618454</v>
      </c>
      <c r="E31" s="157">
        <f>IF($B31=" ","",IFERROR(INDEX(MMWR_RATING_RO_ROLLUP[],MATCH($B31,MMWR_RATING_RO_ROLLUP[MMWR_RATING_RO_ROLLUP],0),MATCH(E$9,MMWR_RATING_RO_ROLLUP[#Headers],0))/$C31,"ERROR"))</f>
        <v>0.24937655860349128</v>
      </c>
      <c r="F31" s="155">
        <f>IF($B31=" ","",IFERROR(INDEX(MMWR_RATING_RO_ROLLUP[],MATCH($B31,MMWR_RATING_RO_ROLLUP[MMWR_RATING_RO_ROLLUP],0),MATCH(F$9,MMWR_RATING_RO_ROLLUP[#Headers],0)),"ERROR"))</f>
        <v>93</v>
      </c>
      <c r="G31" s="155">
        <f>IF($B31=" ","",IFERROR(INDEX(MMWR_RATING_RO_ROLLUP[],MATCH($B31,MMWR_RATING_RO_ROLLUP[MMWR_RATING_RO_ROLLUP],0),MATCH(G$9,MMWR_RATING_RO_ROLLUP[#Headers],0)),"ERROR"))</f>
        <v>1893</v>
      </c>
      <c r="H31" s="156">
        <f>IF($B31=" ","",IFERROR(INDEX(MMWR_RATING_RO_ROLLUP[],MATCH($B31,MMWR_RATING_RO_ROLLUP[MMWR_RATING_RO_ROLLUP],0),MATCH(H$9,MMWR_RATING_RO_ROLLUP[#Headers],0)),"ERROR"))</f>
        <v>203.78494623660001</v>
      </c>
      <c r="I31" s="156">
        <f>IF($B31=" ","",IFERROR(INDEX(MMWR_RATING_RO_ROLLUP[],MATCH($B31,MMWR_RATING_RO_ROLLUP[MMWR_RATING_RO_ROLLUP],0),MATCH(I$9,MMWR_RATING_RO_ROLLUP[#Headers],0)),"ERROR"))</f>
        <v>229.06708927630001</v>
      </c>
      <c r="J31" s="160">
        <f>IF($B31=" ","",IFERROR(VLOOKUP($B31,MMWR_ACCURACY_RO[],MATCH(J$9,MMWR_ACCURACY_RO[#Headers],0),0),"ERROR"))</f>
        <v>0.90053841612252272</v>
      </c>
      <c r="K31" s="160">
        <f>IF($B31=" ","",IFERROR(VLOOKUP($B31,MMWR_ACCURACY_RO[],MATCH(K$9,MMWR_ACCURACY_RO[#Headers],0),0),"ERROR"))</f>
        <v>0.82313105326876523</v>
      </c>
      <c r="L31" s="160">
        <f>IF($B31=" ","",IFERROR(VLOOKUP($B31,MMWR_ACCURACY_RO[],MATCH(L$9,MMWR_ACCURACY_RO[#Headers],0),0),"ERROR"))</f>
        <v>0.8658925122439125</v>
      </c>
      <c r="M31" s="160">
        <f>IF($B31=" ","",IFERROR(VLOOKUP($B31,MMWR_ACCURACY_RO[],MATCH(M$9,MMWR_ACCURACY_RO[#Headers],0),0),"ERROR"))</f>
        <v>4.3207438523814402E-2</v>
      </c>
      <c r="N31" s="160">
        <f>IF($B31=" ","",IFERROR(VLOOKUP($B31,MMWR_ACCURACY_RO[],MATCH(N$9,MMWR_ACCURACY_RO[#Headers],0),0),"ERROR"))</f>
        <v>0.90125622698722097</v>
      </c>
      <c r="O31" s="160">
        <f>IF($B31=" ","",IFERROR(VLOOKUP($B31,MMWR_ACCURACY_RO[],MATCH(O$9,MMWR_ACCURACY_RO[#Headers],0),0),"ERROR"))</f>
        <v>4.6341368632415648E-2</v>
      </c>
      <c r="P31" s="28"/>
    </row>
    <row r="32" spans="1:16" x14ac:dyDescent="0.2">
      <c r="A32" s="25"/>
      <c r="B32" s="8" t="str">
        <f>VLOOKUP($B$16,DISTRICT_RO[],17,0)</f>
        <v>Winston-Salem VSC</v>
      </c>
      <c r="C32" s="155">
        <f>IF($B32=" ","",IFERROR(INDEX(MMWR_RATING_RO_ROLLUP[],MATCH($B32,MMWR_RATING_RO_ROLLUP[MMWR_RATING_RO_ROLLUP],0),MATCH(C$9,MMWR_RATING_RO_ROLLUP[#Headers],0)),"ERROR"))</f>
        <v>13091</v>
      </c>
      <c r="D32" s="156">
        <f>IF($B32=" ","",IFERROR(INDEX(MMWR_RATING_RO_ROLLUP[],MATCH($B32,MMWR_RATING_RO_ROLLUP[MMWR_RATING_RO_ROLLUP],0),MATCH(D$9,MMWR_RATING_RO_ROLLUP[#Headers],0)),"ERROR"))</f>
        <v>101.95027117870001</v>
      </c>
      <c r="E32" s="157">
        <f>IF($B32=" ","",IFERROR(INDEX(MMWR_RATING_RO_ROLLUP[],MATCH($B32,MMWR_RATING_RO_ROLLUP[MMWR_RATING_RO_ROLLUP],0),MATCH(E$9,MMWR_RATING_RO_ROLLUP[#Headers],0))/$C32,"ERROR"))</f>
        <v>0.26002597204186084</v>
      </c>
      <c r="F32" s="155">
        <f>IF($B32=" ","",IFERROR(INDEX(MMWR_RATING_RO_ROLLUP[],MATCH($B32,MMWR_RATING_RO_ROLLUP[MMWR_RATING_RO_ROLLUP],0),MATCH(F$9,MMWR_RATING_RO_ROLLUP[#Headers],0)),"ERROR"))</f>
        <v>2218</v>
      </c>
      <c r="G32" s="155">
        <f>IF($B32=" ","",IFERROR(INDEX(MMWR_RATING_RO_ROLLUP[],MATCH($B32,MMWR_RATING_RO_ROLLUP[MMWR_RATING_RO_ROLLUP],0),MATCH(G$9,MMWR_RATING_RO_ROLLUP[#Headers],0)),"ERROR"))</f>
        <v>36396</v>
      </c>
      <c r="H32" s="156">
        <f>IF($B32=" ","",IFERROR(INDEX(MMWR_RATING_RO_ROLLUP[],MATCH($B32,MMWR_RATING_RO_ROLLUP[MMWR_RATING_RO_ROLLUP],0),MATCH(H$9,MMWR_RATING_RO_ROLLUP[#Headers],0)),"ERROR"))</f>
        <v>168.55725879170001</v>
      </c>
      <c r="I32" s="156">
        <f>IF($B32=" ","",IFERROR(INDEX(MMWR_RATING_RO_ROLLUP[],MATCH($B32,MMWR_RATING_RO_ROLLUP[MMWR_RATING_RO_ROLLUP],0),MATCH(I$9,MMWR_RATING_RO_ROLLUP[#Headers],0)),"ERROR"))</f>
        <v>211.20040663809999</v>
      </c>
      <c r="J32" s="160">
        <f>IF($B32=" ","",IFERROR(VLOOKUP($B32,MMWR_ACCURACY_RO[],MATCH(J$9,MMWR_ACCURACY_RO[#Headers],0),0),"ERROR"))</f>
        <v>0.94515933903599847</v>
      </c>
      <c r="K32" s="160">
        <f>IF($B32=" ","",IFERROR(VLOOKUP($B32,MMWR_ACCURACY_RO[],MATCH(K$9,MMWR_ACCURACY_RO[#Headers],0),0),"ERROR"))</f>
        <v>0.79584413289349665</v>
      </c>
      <c r="L32" s="160">
        <f>IF($B32=" ","",IFERROR(VLOOKUP($B32,MMWR_ACCURACY_RO[],MATCH(L$9,MMWR_ACCURACY_RO[#Headers],0),0),"ERROR"))</f>
        <v>0.83248171547567706</v>
      </c>
      <c r="M32" s="160">
        <f>IF($B32=" ","",IFERROR(VLOOKUP($B32,MMWR_ACCURACY_RO[],MATCH(M$9,MMWR_ACCURACY_RO[#Headers],0),0),"ERROR"))</f>
        <v>5.2326796219906983E-2</v>
      </c>
      <c r="N32" s="160">
        <f>IF($B32=" ","",IFERROR(VLOOKUP($B32,MMWR_ACCURACY_RO[],MATCH(N$9,MMWR_ACCURACY_RO[#Headers],0),0),"ERROR"))</f>
        <v>0.92127833283277349</v>
      </c>
      <c r="O32" s="160">
        <f>IF($B32=" ","",IFERROR(VLOOKUP($B32,MMWR_ACCURACY_RO[],MATCH(O$9,MMWR_ACCURACY_RO[#Headers],0),0),"ERROR"))</f>
        <v>4.2473187310051161E-2</v>
      </c>
      <c r="P32" s="28"/>
    </row>
    <row r="33" spans="1:16" x14ac:dyDescent="0.2">
      <c r="A33" s="25"/>
      <c r="B33" s="339" t="s">
        <v>743</v>
      </c>
      <c r="C33" s="340"/>
      <c r="D33" s="340"/>
      <c r="E33" s="340"/>
      <c r="F33" s="340"/>
      <c r="G33" s="340"/>
      <c r="H33" s="340"/>
      <c r="I33" s="340"/>
      <c r="J33" s="340"/>
      <c r="K33" s="340"/>
      <c r="L33" s="340"/>
      <c r="M33" s="340"/>
      <c r="N33" s="340"/>
      <c r="O33" s="340"/>
      <c r="P33" s="28"/>
    </row>
    <row r="34" spans="1:16" x14ac:dyDescent="0.2">
      <c r="A34" s="25"/>
      <c r="B34" s="11" t="s">
        <v>706</v>
      </c>
      <c r="C34" s="155">
        <f>IF($B34=" ","",IFERROR(INDEX(MMWR_RATING_RO_ROLLUP[],MATCH($B34,MMWR_RATING_RO_ROLLUP[MMWR_RATING_RO_ROLLUP],0),MATCH(C$9,MMWR_RATING_RO_ROLLUP[#Headers],0)),"ERROR"))</f>
        <v>19557</v>
      </c>
      <c r="D34" s="156">
        <f>IF($B34=" ","",IFERROR(INDEX(MMWR_RATING_RO_ROLLUP[],MATCH($B34,MMWR_RATING_RO_ROLLUP[MMWR_RATING_RO_ROLLUP],0),MATCH(D$9,MMWR_RATING_RO_ROLLUP[#Headers],0)),"ERROR"))</f>
        <v>61.343150790000003</v>
      </c>
      <c r="E34" s="157">
        <f>IF($B34=" ","",IFERROR(INDEX(MMWR_RATING_RO_ROLLUP[],MATCH($B34,MMWR_RATING_RO_ROLLUP[MMWR_RATING_RO_ROLLUP],0),MATCH(E$9,MMWR_RATING_RO_ROLLUP[#Headers],0))/$C34,"ERROR"))</f>
        <v>9.7918903717339065E-2</v>
      </c>
      <c r="F34" s="155">
        <f>IF($B34=" ","",IFERROR(INDEX(MMWR_RATING_RO_ROLLUP[],MATCH($B34,MMWR_RATING_RO_ROLLUP[MMWR_RATING_RO_ROLLUP],0),MATCH(F$9,MMWR_RATING_RO_ROLLUP[#Headers],0)),"ERROR"))</f>
        <v>7917</v>
      </c>
      <c r="G34" s="155">
        <f>IF($B34=" ","",IFERROR(INDEX(MMWR_RATING_RO_ROLLUP[],MATCH($B34,MMWR_RATING_RO_ROLLUP[MMWR_RATING_RO_ROLLUP],0),MATCH(G$9,MMWR_RATING_RO_ROLLUP[#Headers],0)),"ERROR"))</f>
        <v>136416</v>
      </c>
      <c r="H34" s="156">
        <f>IF($B34=" ","",IFERROR(INDEX(MMWR_RATING_RO_ROLLUP[],MATCH($B34,MMWR_RATING_RO_ROLLUP[MMWR_RATING_RO_ROLLUP],0),MATCH(H$9,MMWR_RATING_RO_ROLLUP[#Headers],0)),"ERROR"))</f>
        <v>66.383604900799995</v>
      </c>
      <c r="I34" s="156">
        <f>IF($B34=" ","",IFERROR(INDEX(MMWR_RATING_RO_ROLLUP[],MATCH($B34,MMWR_RATING_RO_ROLLUP[MMWR_RATING_RO_ROLLUP],0),MATCH(I$9,MMWR_RATING_RO_ROLLUP[#Headers],0)),"ERROR"))</f>
        <v>64.438042458400005</v>
      </c>
      <c r="J34" s="42"/>
      <c r="K34" s="254">
        <f>IF($B34=" ","",IFERROR(VLOOKUP($B34,MMWR_ACCURACY_RO[],MATCH(K$49,MMWR_ACCURACY_RO[#Headers],0),0),"ERROR"))</f>
        <v>0.94246964737261441</v>
      </c>
      <c r="L34" s="254">
        <f>IF($B34=" ","",IFERROR(VLOOKUP($B34,MMWR_ACCURACY_RO[],MATCH(L$49,MMWR_ACCURACY_RO[#Headers],0),0),"ERROR"))</f>
        <v>0.96812348377268675</v>
      </c>
      <c r="M34" s="254">
        <f>IF($B34=" ","",IFERROR(VLOOKUP($B34,MMWR_ACCURACY_RO[],MATCH(M$49,MMWR_ACCURACY_RO[#Headers],0),0),"ERROR"))</f>
        <v>1.5248741409886577E-2</v>
      </c>
      <c r="N34" s="254">
        <f>IF($B34=" ","",IFERROR(VLOOKUP($B34,MMWR_ACCURACY_RO[],MATCH(N$49,MMWR_ACCURACY_RO[#Headers],0),0),"ERROR"))</f>
        <v>0.96389630432598183</v>
      </c>
      <c r="O34" s="254">
        <f>IF($B34=" ","",IFERROR(VLOOKUP($B34,MMWR_ACCURACY_RO[],MATCH(O$49,MMWR_ACCURACY_RO[#Headers],0),0),"ERROR"))</f>
        <v>1.9891014158988439E-2</v>
      </c>
      <c r="P34" s="28"/>
    </row>
    <row r="35" spans="1:16" x14ac:dyDescent="0.2">
      <c r="A35" s="25"/>
      <c r="B35" s="12" t="s">
        <v>218</v>
      </c>
      <c r="C35" s="155">
        <f>IF($B35=" ","",IFERROR(INDEX(MMWR_RATING_RO_ROLLUP[],MATCH($B35,MMWR_RATING_RO_ROLLUP[MMWR_RATING_RO_ROLLUP],0),MATCH(C$9,MMWR_RATING_RO_ROLLUP[#Headers],0)),"ERROR"))</f>
        <v>5820</v>
      </c>
      <c r="D35" s="156">
        <f>IF($B35=" ","",IFERROR(INDEX(MMWR_RATING_RO_ROLLUP[],MATCH($B35,MMWR_RATING_RO_ROLLUP[MMWR_RATING_RO_ROLLUP],0),MATCH(D$9,MMWR_RATING_RO_ROLLUP[#Headers],0)),"ERROR"))</f>
        <v>66.989175257699998</v>
      </c>
      <c r="E35" s="157">
        <f>IF($B35=" ","",IFERROR(INDEX(MMWR_RATING_RO_ROLLUP[],MATCH($B35,MMWR_RATING_RO_ROLLUP[MMWR_RATING_RO_ROLLUP],0),MATCH(E$9,MMWR_RATING_RO_ROLLUP[#Headers],0))/$C35,"ERROR"))</f>
        <v>0.11443298969072165</v>
      </c>
      <c r="F35" s="155">
        <f>IF($B35=" ","",IFERROR(INDEX(MMWR_RATING_RO_ROLLUP[],MATCH($B35,MMWR_RATING_RO_ROLLUP[MMWR_RATING_RO_ROLLUP],0),MATCH(F$9,MMWR_RATING_RO_ROLLUP[#Headers],0)),"ERROR"))</f>
        <v>2656</v>
      </c>
      <c r="G35" s="155">
        <f>IF($B35=" ","",IFERROR(INDEX(MMWR_RATING_RO_ROLLUP[],MATCH($B35,MMWR_RATING_RO_ROLLUP[MMWR_RATING_RO_ROLLUP],0),MATCH(G$9,MMWR_RATING_RO_ROLLUP[#Headers],0)),"ERROR"))</f>
        <v>43601</v>
      </c>
      <c r="H35" s="156">
        <f>IF($B35=" ","",IFERROR(INDEX(MMWR_RATING_RO_ROLLUP[],MATCH($B35,MMWR_RATING_RO_ROLLUP[MMWR_RATING_RO_ROLLUP],0),MATCH(H$9,MMWR_RATING_RO_ROLLUP[#Headers],0)),"ERROR"))</f>
        <v>75.394201807200005</v>
      </c>
      <c r="I35" s="156">
        <f>IF($B35=" ","",IFERROR(INDEX(MMWR_RATING_RO_ROLLUP[],MATCH($B35,MMWR_RATING_RO_ROLLUP[MMWR_RATING_RO_ROLLUP],0),MATCH(I$9,MMWR_RATING_RO_ROLLUP[#Headers],0)),"ERROR"))</f>
        <v>72.595834957899996</v>
      </c>
      <c r="J35" s="42"/>
      <c r="K35" s="254">
        <f>IF($B35=" ","",IFERROR(VLOOKUP($B35,MMWR_ACCURACY_RO[],MATCH(K$49,MMWR_ACCURACY_RO[#Headers],0),0),"ERROR"))</f>
        <v>0.87499687398404491</v>
      </c>
      <c r="L35" s="254">
        <f>IF($B35=" ","",IFERROR(VLOOKUP($B35,MMWR_ACCURACY_RO[],MATCH(L$49,MMWR_ACCURACY_RO[#Headers],0),0),"ERROR"))</f>
        <v>0.95330987426214653</v>
      </c>
      <c r="M35" s="254">
        <f>IF($B35=" ","",IFERROR(VLOOKUP($B35,MMWR_ACCURACY_RO[],MATCH(M$49,MMWR_ACCURACY_RO[#Headers],0),0),"ERROR"))</f>
        <v>3.6007169912451217E-2</v>
      </c>
      <c r="N35" s="254">
        <f>IF($B35=" ","",IFERROR(VLOOKUP($B35,MMWR_ACCURACY_RO[],MATCH(N$49,MMWR_ACCURACY_RO[#Headers],0),0),"ERROR"))</f>
        <v>0.94151817235213831</v>
      </c>
      <c r="O35" s="254">
        <f>IF($B35=" ","",IFERROR(VLOOKUP($B35,MMWR_ACCURACY_RO[],MATCH(O$49,MMWR_ACCURACY_RO[#Headers],0),0),"ERROR"))</f>
        <v>4.2929305125536388E-2</v>
      </c>
      <c r="P35" s="28"/>
    </row>
    <row r="36" spans="1:16" x14ac:dyDescent="0.2">
      <c r="A36" s="43"/>
      <c r="B36" s="12" t="s">
        <v>217</v>
      </c>
      <c r="C36" s="155">
        <f>IF($B36=" ","",IFERROR(INDEX(MMWR_RATING_RO_ROLLUP[],MATCH($B36,MMWR_RATING_RO_ROLLUP[MMWR_RATING_RO_ROLLUP],0),MATCH(C$9,MMWR_RATING_RO_ROLLUP[#Headers],0)),"ERROR"))</f>
        <v>5188</v>
      </c>
      <c r="D36" s="156">
        <f>IF($B36=" ","",IFERROR(INDEX(MMWR_RATING_RO_ROLLUP[],MATCH($B36,MMWR_RATING_RO_ROLLUP[MMWR_RATING_RO_ROLLUP],0),MATCH(D$9,MMWR_RATING_RO_ROLLUP[#Headers],0)),"ERROR"))</f>
        <v>56.402081727099997</v>
      </c>
      <c r="E36" s="157">
        <f>IF($B36=" ","",IFERROR(INDEX(MMWR_RATING_RO_ROLLUP[],MATCH($B36,MMWR_RATING_RO_ROLLUP[MMWR_RATING_RO_ROLLUP],0),MATCH(E$9,MMWR_RATING_RO_ROLLUP[#Headers],0))/$C36,"ERROR"))</f>
        <v>9.3292212798766386E-2</v>
      </c>
      <c r="F36" s="155">
        <f>IF($B36=" ","",IFERROR(INDEX(MMWR_RATING_RO_ROLLUP[],MATCH($B36,MMWR_RATING_RO_ROLLUP[MMWR_RATING_RO_ROLLUP],0),MATCH(F$9,MMWR_RATING_RO_ROLLUP[#Headers],0)),"ERROR"))</f>
        <v>1775</v>
      </c>
      <c r="G36" s="155">
        <f>IF($B36=" ","",IFERROR(INDEX(MMWR_RATING_RO_ROLLUP[],MATCH($B36,MMWR_RATING_RO_ROLLUP[MMWR_RATING_RO_ROLLUP],0),MATCH(G$9,MMWR_RATING_RO_ROLLUP[#Headers],0)),"ERROR"))</f>
        <v>38286</v>
      </c>
      <c r="H36" s="156">
        <f>IF($B36=" ","",IFERROR(INDEX(MMWR_RATING_RO_ROLLUP[],MATCH($B36,MMWR_RATING_RO_ROLLUP[MMWR_RATING_RO_ROLLUP],0),MATCH(H$9,MMWR_RATING_RO_ROLLUP[#Headers],0)),"ERROR"))</f>
        <v>56.4214084507</v>
      </c>
      <c r="I36" s="156">
        <f>IF($B36=" ","",IFERROR(INDEX(MMWR_RATING_RO_ROLLUP[],MATCH($B36,MMWR_RATING_RO_ROLLUP[MMWR_RATING_RO_ROLLUP],0),MATCH(I$9,MMWR_RATING_RO_ROLLUP[#Headers],0)),"ERROR"))</f>
        <v>55.053021992399998</v>
      </c>
      <c r="J36" s="42"/>
      <c r="K36" s="254">
        <f>IF($B36=" ","",IFERROR(VLOOKUP($B36,MMWR_ACCURACY_RO[],MATCH(K$49,MMWR_ACCURACY_RO[#Headers],0),0),"ERROR"))</f>
        <v>0.95182394634332079</v>
      </c>
      <c r="L36" s="254">
        <f>IF($B36=" ","",IFERROR(VLOOKUP($B36,MMWR_ACCURACY_RO[],MATCH(L$49,MMWR_ACCURACY_RO[#Headers],0),0),"ERROR"))</f>
        <v>0.95346117649031581</v>
      </c>
      <c r="M36" s="254">
        <f>IF($B36=" ","",IFERROR(VLOOKUP($B36,MMWR_ACCURACY_RO[],MATCH(M$49,MMWR_ACCURACY_RO[#Headers],0),0),"ERROR"))</f>
        <v>3.0790613258238082E-2</v>
      </c>
      <c r="N36" s="254">
        <f>IF($B36=" ","",IFERROR(VLOOKUP($B36,MMWR_ACCURACY_RO[],MATCH(N$49,MMWR_ACCURACY_RO[#Headers],0),0),"ERROR"))</f>
        <v>0.98790875472638884</v>
      </c>
      <c r="O36" s="254">
        <f>IF($B36=" ","",IFERROR(VLOOKUP($B36,MMWR_ACCURACY_RO[],MATCH(O$49,MMWR_ACCURACY_RO[#Headers],0),0),"ERROR"))</f>
        <v>1.5286980222886583E-2</v>
      </c>
      <c r="P36" s="28"/>
    </row>
    <row r="37" spans="1:16" x14ac:dyDescent="0.2">
      <c r="A37" s="25"/>
      <c r="B37" s="12" t="s">
        <v>220</v>
      </c>
      <c r="C37" s="155">
        <f>IF($B37=" ","",IFERROR(INDEX(MMWR_RATING_RO_ROLLUP[],MATCH($B37,MMWR_RATING_RO_ROLLUP[MMWR_RATING_RO_ROLLUP],0),MATCH(C$9,MMWR_RATING_RO_ROLLUP[#Headers],0)),"ERROR"))</f>
        <v>8098</v>
      </c>
      <c r="D37" s="156">
        <f>IF($B37=" ","",IFERROR(INDEX(MMWR_RATING_RO_ROLLUP[],MATCH($B37,MMWR_RATING_RO_ROLLUP[MMWR_RATING_RO_ROLLUP],0),MATCH(D$9,MMWR_RATING_RO_ROLLUP[#Headers],0)),"ERROR"))</f>
        <v>54.049394912300002</v>
      </c>
      <c r="E37" s="157">
        <f>IF($B37=" ","",IFERROR(INDEX(MMWR_RATING_RO_ROLLUP[],MATCH($B37,MMWR_RATING_RO_ROLLUP[MMWR_RATING_RO_ROLLUP],0),MATCH(E$9,MMWR_RATING_RO_ROLLUP[#Headers],0))/$C37,"ERROR"))</f>
        <v>6.6806618918251418E-2</v>
      </c>
      <c r="F37" s="155">
        <f>IF($B37=" ","",IFERROR(INDEX(MMWR_RATING_RO_ROLLUP[],MATCH($B37,MMWR_RATING_RO_ROLLUP[MMWR_RATING_RO_ROLLUP],0),MATCH(F$9,MMWR_RATING_RO_ROLLUP[#Headers],0)),"ERROR"))</f>
        <v>3240</v>
      </c>
      <c r="G37" s="155">
        <f>IF($B37=" ","",IFERROR(INDEX(MMWR_RATING_RO_ROLLUP[],MATCH($B37,MMWR_RATING_RO_ROLLUP[MMWR_RATING_RO_ROLLUP],0),MATCH(G$9,MMWR_RATING_RO_ROLLUP[#Headers],0)),"ERROR"))</f>
        <v>49790</v>
      </c>
      <c r="H37" s="156">
        <f>IF($B37=" ","",IFERROR(INDEX(MMWR_RATING_RO_ROLLUP[],MATCH($B37,MMWR_RATING_RO_ROLLUP[MMWR_RATING_RO_ROLLUP],0),MATCH(H$9,MMWR_RATING_RO_ROLLUP[#Headers],0)),"ERROR"))</f>
        <v>66.099074074100002</v>
      </c>
      <c r="I37" s="156">
        <f>IF($B37=" ","",IFERROR(INDEX(MMWR_RATING_RO_ROLLUP[],MATCH($B37,MMWR_RATING_RO_ROLLUP[MMWR_RATING_RO_ROLLUP],0),MATCH(I$9,MMWR_RATING_RO_ROLLUP[#Headers],0)),"ERROR"))</f>
        <v>64.990861618799997</v>
      </c>
      <c r="J37" s="42"/>
      <c r="K37" s="254">
        <f>IF($B37=" ","",IFERROR(VLOOKUP($B37,MMWR_ACCURACY_RO[],MATCH(K$49,MMWR_ACCURACY_RO[#Headers],0),0),"ERROR"))</f>
        <v>1</v>
      </c>
      <c r="L37" s="254">
        <f>IF($B37=" ","",IFERROR(VLOOKUP($B37,MMWR_ACCURACY_RO[],MATCH(L$49,MMWR_ACCURACY_RO[#Headers],0),0),"ERROR"))</f>
        <v>0.9920093664438947</v>
      </c>
      <c r="M37" s="254">
        <f>IF($B37=" ","",IFERROR(VLOOKUP($B37,MMWR_ACCURACY_RO[],MATCH(M$49,MMWR_ACCURACY_RO[#Headers],0),0),"ERROR"))</f>
        <v>9.5752801700201215E-3</v>
      </c>
      <c r="N37" s="254">
        <f>IF($B37=" ","",IFERROR(VLOOKUP($B37,MMWR_ACCURACY_RO[],MATCH(N$49,MMWR_ACCURACY_RO[#Headers],0),0),"ERROR"))</f>
        <v>0.96349001134633128</v>
      </c>
      <c r="O37" s="254">
        <f>IF($B37=" ","",IFERROR(VLOOKUP($B37,MMWR_ACCURACY_RO[],MATCH(O$49,MMWR_ACCURACY_RO[#Headers],0),0),"ERROR"))</f>
        <v>3.6496758070326651E-2</v>
      </c>
      <c r="P37" s="28"/>
    </row>
    <row r="38" spans="1:16" x14ac:dyDescent="0.2">
      <c r="A38" s="25"/>
      <c r="B38" s="13" t="s">
        <v>232</v>
      </c>
      <c r="C38" s="155">
        <f>IF($B38=" ","",IFERROR(INDEX(MMWR_RATING_RO_ROLLUP[],MATCH($B38,MMWR_RATING_RO_ROLLUP[MMWR_RATING_RO_ROLLUP],0),MATCH(C$9,MMWR_RATING_RO_ROLLUP[#Headers],0)),"ERROR"))</f>
        <v>451</v>
      </c>
      <c r="D38" s="156">
        <f>IF($B38=" ","",IFERROR(INDEX(MMWR_RATING_RO_ROLLUP[],MATCH($B38,MMWR_RATING_RO_ROLLUP[MMWR_RATING_RO_ROLLUP],0),MATCH(D$9,MMWR_RATING_RO_ROLLUP[#Headers],0)),"ERROR"))</f>
        <v>176.28603104210001</v>
      </c>
      <c r="E38" s="157">
        <f>IF($B38=" ","",IFERROR(INDEX(MMWR_RATING_RO_ROLLUP[],MATCH($B38,MMWR_RATING_RO_ROLLUP[MMWR_RATING_RO_ROLLUP],0),MATCH(E$9,MMWR_RATING_RO_ROLLUP[#Headers],0))/$C38,"ERROR"))</f>
        <v>0.49667405764966743</v>
      </c>
      <c r="F38" s="155">
        <f>IF($B38=" ","",IFERROR(INDEX(MMWR_RATING_RO_ROLLUP[],MATCH($B38,MMWR_RATING_RO_ROLLUP[MMWR_RATING_RO_ROLLUP],0),MATCH(F$9,MMWR_RATING_RO_ROLLUP[#Headers],0)),"ERROR"))</f>
        <v>246</v>
      </c>
      <c r="G38" s="155">
        <f>IF($B38=" ","",IFERROR(INDEX(MMWR_RATING_RO_ROLLUP[],MATCH($B38,MMWR_RATING_RO_ROLLUP[MMWR_RATING_RO_ROLLUP],0),MATCH(G$9,MMWR_RATING_RO_ROLLUP[#Headers],0)),"ERROR"))</f>
        <v>4739</v>
      </c>
      <c r="H38" s="156">
        <f>IF($B38=" ","",IFERROR(INDEX(MMWR_RATING_RO_ROLLUP[],MATCH($B38,MMWR_RATING_RO_ROLLUP[MMWR_RATING_RO_ROLLUP],0),MATCH(H$9,MMWR_RATING_RO_ROLLUP[#Headers],0)),"ERROR"))</f>
        <v>44.727642276399997</v>
      </c>
      <c r="I38" s="156">
        <f>IF($B38=" ","",IFERROR(INDEX(MMWR_RATING_RO_ROLLUP[],MATCH($B38,MMWR_RATING_RO_ROLLUP[MMWR_RATING_RO_ROLLUP],0),MATCH(I$9,MMWR_RATING_RO_ROLLUP[#Headers],0)),"ERROR"))</f>
        <v>59.395231061399997</v>
      </c>
      <c r="J38" s="42"/>
      <c r="K38" s="42"/>
      <c r="L38" s="42"/>
      <c r="M38" s="42"/>
      <c r="N38" s="42"/>
      <c r="O38" s="42"/>
      <c r="P38" s="28"/>
    </row>
    <row r="39" spans="1:16" x14ac:dyDescent="0.2">
      <c r="A39" s="25"/>
      <c r="B39" s="339" t="s">
        <v>926</v>
      </c>
      <c r="C39" s="340"/>
      <c r="D39" s="340"/>
      <c r="E39" s="340"/>
      <c r="F39" s="340"/>
      <c r="G39" s="340"/>
      <c r="H39" s="340"/>
      <c r="I39" s="340"/>
      <c r="J39" s="340"/>
      <c r="K39" s="340"/>
      <c r="L39" s="340"/>
      <c r="M39" s="340"/>
      <c r="N39" s="340"/>
      <c r="O39" s="340"/>
      <c r="P39" s="28"/>
    </row>
    <row r="40" spans="1:16" x14ac:dyDescent="0.2">
      <c r="A40" s="25"/>
      <c r="B40" s="44" t="s">
        <v>707</v>
      </c>
      <c r="C40" s="155">
        <f>IF($B40=" ","",IFERROR(INDEX(MMWR_RATING_RO_ROLLUP[],MATCH($B40,MMWR_RATING_RO_ROLLUP[MMWR_RATING_RO_ROLLUP],0),MATCH(C$9,MMWR_RATING_RO_ROLLUP[#Headers],0)),"ERROR"))</f>
        <v>8283</v>
      </c>
      <c r="D40" s="156">
        <f>IF($B40=" ","",IFERROR(INDEX(MMWR_RATING_RO_ROLLUP[],MATCH($B40,MMWR_RATING_RO_ROLLUP[MMWR_RATING_RO_ROLLUP],0),MATCH(D$9,MMWR_RATING_RO_ROLLUP[#Headers],0)),"ERROR"))</f>
        <v>70.354098756499994</v>
      </c>
      <c r="E40" s="157">
        <f>IF($B40=" ","",IFERROR(INDEX(MMWR_RATING_RO_ROLLUP[],MATCH($B40,MMWR_RATING_RO_ROLLUP[MMWR_RATING_RO_ROLLUP],0),MATCH(E$9,MMWR_RATING_RO_ROLLUP[#Headers],0))/$C40,"ERROR"))</f>
        <v>0.13968368948448628</v>
      </c>
      <c r="F40" s="155">
        <f>IF($B40=" ","",IFERROR(INDEX(MMWR_RATING_RO_ROLLUP[],MATCH($B40,MMWR_RATING_RO_ROLLUP[MMWR_RATING_RO_ROLLUP],0),MATCH(F$9,MMWR_RATING_RO_ROLLUP[#Headers],0)),"ERROR"))</f>
        <v>1325</v>
      </c>
      <c r="G40" s="155">
        <f>IF($B40=" ","",IFERROR(INDEX(MMWR_RATING_RO_ROLLUP[],MATCH($B40,MMWR_RATING_RO_ROLLUP[MMWR_RATING_RO_ROLLUP],0),MATCH(G$9,MMWR_RATING_RO_ROLLUP[#Headers],0)),"ERROR"))</f>
        <v>23037</v>
      </c>
      <c r="H40" s="156">
        <f>IF($B40=" ","",IFERROR(INDEX(MMWR_RATING_RO_ROLLUP[],MATCH($B40,MMWR_RATING_RO_ROLLUP[MMWR_RATING_RO_ROLLUP],0),MATCH(H$9,MMWR_RATING_RO_ROLLUP[#Headers],0)),"ERROR"))</f>
        <v>125.8203773585</v>
      </c>
      <c r="I40" s="156">
        <f>IF($B40=" ","",IFERROR(INDEX(MMWR_RATING_RO_ROLLUP[],MATCH($B40,MMWR_RATING_RO_ROLLUP[MMWR_RATING_RO_ROLLUP],0),MATCH(I$9,MMWR_RATING_RO_ROLLUP[#Headers],0)),"ERROR"))</f>
        <v>133.30980596430001</v>
      </c>
      <c r="J40" s="42"/>
      <c r="K40" s="42"/>
      <c r="L40" s="42"/>
      <c r="M40" s="42"/>
      <c r="N40" s="42"/>
      <c r="O40" s="42"/>
      <c r="P40" s="28"/>
    </row>
    <row r="41" spans="1:16" x14ac:dyDescent="0.2">
      <c r="A41" s="25"/>
      <c r="B41" s="45" t="s">
        <v>968</v>
      </c>
      <c r="C41" s="155">
        <f>IF($B41=" ","",IFERROR(INDEX(MMWR_RATING_RO_ROLLUP[],MATCH($B41,MMWR_RATING_RO_ROLLUP[MMWR_RATING_RO_ROLLUP],0),MATCH(C$9,MMWR_RATING_RO_ROLLUP[#Headers],0)),"ERROR"))</f>
        <v>3687</v>
      </c>
      <c r="D41" s="156">
        <f>IF($B41=" ","",IFERROR(INDEX(MMWR_RATING_RO_ROLLUP[],MATCH($B41,MMWR_RATING_RO_ROLLUP[MMWR_RATING_RO_ROLLUP],0),MATCH(D$9,MMWR_RATING_RO_ROLLUP[#Headers],0)),"ERROR"))</f>
        <v>64.390832655300002</v>
      </c>
      <c r="E41" s="157">
        <f>IF($B41=" ","",IFERROR(INDEX(MMWR_RATING_RO_ROLLUP[],MATCH($B41,MMWR_RATING_RO_ROLLUP[MMWR_RATING_RO_ROLLUP],0),MATCH(E$9,MMWR_RATING_RO_ROLLUP[#Headers],0))/$C41,"ERROR"))</f>
        <v>0.11499864388391647</v>
      </c>
      <c r="F41" s="155">
        <f>IF($B41=" ","",IFERROR(INDEX(MMWR_RATING_RO_ROLLUP[],MATCH($B41,MMWR_RATING_RO_ROLLUP[MMWR_RATING_RO_ROLLUP],0),MATCH(F$9,MMWR_RATING_RO_ROLLUP[#Headers],0)),"ERROR"))</f>
        <v>715</v>
      </c>
      <c r="G41" s="155">
        <f>IF($B41=" ","",IFERROR(INDEX(MMWR_RATING_RO_ROLLUP[],MATCH($B41,MMWR_RATING_RO_ROLLUP[MMWR_RATING_RO_ROLLUP],0),MATCH(G$9,MMWR_RATING_RO_ROLLUP[#Headers],0)),"ERROR"))</f>
        <v>11941</v>
      </c>
      <c r="H41" s="156">
        <f>IF($B41=" ","",IFERROR(INDEX(MMWR_RATING_RO_ROLLUP[],MATCH($B41,MMWR_RATING_RO_ROLLUP[MMWR_RATING_RO_ROLLUP],0),MATCH(H$9,MMWR_RATING_RO_ROLLUP[#Headers],0)),"ERROR"))</f>
        <v>102.3006993007</v>
      </c>
      <c r="I41" s="156">
        <f>IF($B41=" ","",IFERROR(INDEX(MMWR_RATING_RO_ROLLUP[],MATCH($B41,MMWR_RATING_RO_ROLLUP[MMWR_RATING_RO_ROLLUP],0),MATCH(I$9,MMWR_RATING_RO_ROLLUP[#Headers],0)),"ERROR"))</f>
        <v>115.80579515949999</v>
      </c>
      <c r="J41" s="42"/>
      <c r="K41" s="42"/>
      <c r="L41" s="42"/>
      <c r="M41" s="42"/>
      <c r="N41" s="42"/>
      <c r="O41" s="42"/>
      <c r="P41" s="28"/>
    </row>
    <row r="42" spans="1:16" x14ac:dyDescent="0.2">
      <c r="A42" s="25"/>
      <c r="B42" s="45" t="s">
        <v>969</v>
      </c>
      <c r="C42" s="155">
        <f>IF($B42=" ","",IFERROR(INDEX(MMWR_RATING_RO_ROLLUP[],MATCH($B42,MMWR_RATING_RO_ROLLUP[MMWR_RATING_RO_ROLLUP],0),MATCH(C$9,MMWR_RATING_RO_ROLLUP[#Headers],0)),"ERROR"))</f>
        <v>4067</v>
      </c>
      <c r="D42" s="156">
        <f>IF($B42=" ","",IFERROR(INDEX(MMWR_RATING_RO_ROLLUP[],MATCH($B42,MMWR_RATING_RO_ROLLUP[MMWR_RATING_RO_ROLLUP],0),MATCH(D$9,MMWR_RATING_RO_ROLLUP[#Headers],0)),"ERROR"))</f>
        <v>77.603639045999998</v>
      </c>
      <c r="E42" s="157">
        <f>IF($B42=" ","",IFERROR(INDEX(MMWR_RATING_RO_ROLLUP[],MATCH($B42,MMWR_RATING_RO_ROLLUP[MMWR_RATING_RO_ROLLUP],0),MATCH(E$9,MMWR_RATING_RO_ROLLUP[#Headers],0))/$C42,"ERROR"))</f>
        <v>0.16867469879518071</v>
      </c>
      <c r="F42" s="155">
        <f>IF($B42=" ","",IFERROR(INDEX(MMWR_RATING_RO_ROLLUP[],MATCH($B42,MMWR_RATING_RO_ROLLUP[MMWR_RATING_RO_ROLLUP],0),MATCH(F$9,MMWR_RATING_RO_ROLLUP[#Headers],0)),"ERROR"))</f>
        <v>575</v>
      </c>
      <c r="G42" s="155">
        <f>IF($B42=" ","",IFERROR(INDEX(MMWR_RATING_RO_ROLLUP[],MATCH($B42,MMWR_RATING_RO_ROLLUP[MMWR_RATING_RO_ROLLUP],0),MATCH(G$9,MMWR_RATING_RO_ROLLUP[#Headers],0)),"ERROR"))</f>
        <v>10496</v>
      </c>
      <c r="H42" s="156">
        <f>IF($B42=" ","",IFERROR(INDEX(MMWR_RATING_RO_ROLLUP[],MATCH($B42,MMWR_RATING_RO_ROLLUP[MMWR_RATING_RO_ROLLUP],0),MATCH(H$9,MMWR_RATING_RO_ROLLUP[#Headers],0)),"ERROR"))</f>
        <v>155.28</v>
      </c>
      <c r="I42" s="156">
        <f>IF($B42=" ","",IFERROR(INDEX(MMWR_RATING_RO_ROLLUP[],MATCH($B42,MMWR_RATING_RO_ROLLUP[MMWR_RATING_RO_ROLLUP],0),MATCH(I$9,MMWR_RATING_RO_ROLLUP[#Headers],0)),"ERROR"))</f>
        <v>150.02419969510001</v>
      </c>
      <c r="J42" s="42"/>
      <c r="K42" s="42"/>
      <c r="L42" s="42"/>
      <c r="M42" s="42"/>
      <c r="N42" s="42"/>
      <c r="O42" s="42"/>
      <c r="P42" s="28"/>
    </row>
    <row r="43" spans="1:16" x14ac:dyDescent="0.2">
      <c r="A43" s="25"/>
      <c r="B43" s="46" t="s">
        <v>316</v>
      </c>
      <c r="C43" s="155">
        <f>IF($B43=" ","",IFERROR(INDEX(MMWR_RATING_RO_ROLLUP[],MATCH($B43,MMWR_RATING_RO_ROLLUP[MMWR_RATING_RO_ROLLUP],0),MATCH(C$9,MMWR_RATING_RO_ROLLUP[#Headers],0)),"ERROR"))</f>
        <v>529</v>
      </c>
      <c r="D43" s="156">
        <f>IF($B43=" ","",IFERROR(INDEX(MMWR_RATING_RO_ROLLUP[],MATCH($B43,MMWR_RATING_RO_ROLLUP[MMWR_RATING_RO_ROLLUP],0),MATCH(D$9,MMWR_RATING_RO_ROLLUP[#Headers],0)),"ERROR"))</f>
        <v>56.181474480200002</v>
      </c>
      <c r="E43" s="157">
        <f>IF($B43=" ","",IFERROR(INDEX(MMWR_RATING_RO_ROLLUP[],MATCH($B43,MMWR_RATING_RO_ROLLUP[MMWR_RATING_RO_ROLLUP],0),MATCH(E$9,MMWR_RATING_RO_ROLLUP[#Headers],0))/$C43,"ERROR"))</f>
        <v>8.8846880907372403E-2</v>
      </c>
      <c r="F43" s="155">
        <f>IF($B43=" ","",IFERROR(INDEX(MMWR_RATING_RO_ROLLUP[],MATCH($B43,MMWR_RATING_RO_ROLLUP[MMWR_RATING_RO_ROLLUP],0),MATCH(F$9,MMWR_RATING_RO_ROLLUP[#Headers],0)),"ERROR"))</f>
        <v>35</v>
      </c>
      <c r="G43" s="155">
        <f>IF($B43=" ","",IFERROR(INDEX(MMWR_RATING_RO_ROLLUP[],MATCH($B43,MMWR_RATING_RO_ROLLUP[MMWR_RATING_RO_ROLLUP],0),MATCH(G$9,MMWR_RATING_RO_ROLLUP[#Headers],0)),"ERROR"))</f>
        <v>600</v>
      </c>
      <c r="H43" s="156">
        <f>IF($B43=" ","",IFERROR(INDEX(MMWR_RATING_RO_ROLLUP[],MATCH($B43,MMWR_RATING_RO_ROLLUP[MMWR_RATING_RO_ROLLUP],0),MATCH(H$9,MMWR_RATING_RO_ROLLUP[#Headers],0)),"ERROR"))</f>
        <v>122.3142857143</v>
      </c>
      <c r="I43" s="156">
        <f>IF($B43=" ","",IFERROR(INDEX(MMWR_RATING_RO_ROLLUP[],MATCH($B43,MMWR_RATING_RO_ROLLUP[MMWR_RATING_RO_ROLLUP],0),MATCH(I$9,MMWR_RATING_RO_ROLLUP[#Headers],0)),"ERROR"))</f>
        <v>189.2783333333</v>
      </c>
      <c r="J43" s="42"/>
      <c r="K43" s="42"/>
      <c r="L43" s="42"/>
      <c r="M43" s="42"/>
      <c r="N43" s="42"/>
      <c r="O43" s="42"/>
      <c r="P43" s="28"/>
    </row>
    <row r="44" spans="1:16" x14ac:dyDescent="0.2">
      <c r="A44" s="25"/>
      <c r="B44" s="339" t="s">
        <v>744</v>
      </c>
      <c r="C44" s="340"/>
      <c r="D44" s="340"/>
      <c r="E44" s="340"/>
      <c r="F44" s="340"/>
      <c r="G44" s="340"/>
      <c r="H44" s="340"/>
      <c r="I44" s="340"/>
      <c r="J44" s="340"/>
      <c r="K44" s="340"/>
      <c r="L44" s="340"/>
      <c r="M44" s="340"/>
      <c r="N44" s="340"/>
      <c r="O44" s="340"/>
      <c r="P44" s="28"/>
    </row>
    <row r="45" spans="1:16" x14ac:dyDescent="0.2">
      <c r="A45" s="25"/>
      <c r="B45" s="44" t="s">
        <v>705</v>
      </c>
      <c r="C45" s="155">
        <f>IF($B45=" ","",IFERROR(INDEX(MMWR_RATING_RO_ROLLUP[],MATCH($B45,MMWR_RATING_RO_ROLLUP[MMWR_RATING_RO_ROLLUP],0),MATCH(C$9,MMWR_RATING_RO_ROLLUP[#Headers],0)),"ERROR"))</f>
        <v>9106</v>
      </c>
      <c r="D45" s="156">
        <f>IF($B45=" ","",IFERROR(INDEX(MMWR_RATING_RO_ROLLUP[],MATCH($B45,MMWR_RATING_RO_ROLLUP[MMWR_RATING_RO_ROLLUP],0),MATCH(D$9,MMWR_RATING_RO_ROLLUP[#Headers],0)),"ERROR"))</f>
        <v>70.623874368499997</v>
      </c>
      <c r="E45" s="157">
        <f>IF($B45=" ","",IFERROR(INDEX(MMWR_RATING_RO_ROLLUP[],MATCH($B45,MMWR_RATING_RO_ROLLUP[MMWR_RATING_RO_ROLLUP],0),MATCH(E$9,MMWR_RATING_RO_ROLLUP[#Headers],0))/$C45,"ERROR"))</f>
        <v>0.12025038436195915</v>
      </c>
      <c r="F45" s="155">
        <f>IF($B45=" ","",IFERROR(INDEX(MMWR_RATING_RO_ROLLUP[],MATCH($B45,MMWR_RATING_RO_ROLLUP[MMWR_RATING_RO_ROLLUP],0),MATCH(F$9,MMWR_RATING_RO_ROLLUP[#Headers],0)),"ERROR"))</f>
        <v>1289</v>
      </c>
      <c r="G45" s="155">
        <f>IF($B45=" ","",IFERROR(INDEX(MMWR_RATING_RO_ROLLUP[],MATCH($B45,MMWR_RATING_RO_ROLLUP[MMWR_RATING_RO_ROLLUP],0),MATCH(G$9,MMWR_RATING_RO_ROLLUP[#Headers],0)),"ERROR"))</f>
        <v>22932</v>
      </c>
      <c r="H45" s="156">
        <f>IF($B45=" ","",IFERROR(INDEX(MMWR_RATING_RO_ROLLUP[],MATCH($B45,MMWR_RATING_RO_ROLLUP[MMWR_RATING_RO_ROLLUP],0),MATCH(H$9,MMWR_RATING_RO_ROLLUP[#Headers],0)),"ERROR"))</f>
        <v>134.55236617529999</v>
      </c>
      <c r="I45" s="156">
        <f>IF($B45=" ","",IFERROR(INDEX(MMWR_RATING_RO_ROLLUP[],MATCH($B45,MMWR_RATING_RO_ROLLUP[MMWR_RATING_RO_ROLLUP],0),MATCH(I$9,MMWR_RATING_RO_ROLLUP[#Headers],0)),"ERROR"))</f>
        <v>151.35300017439999</v>
      </c>
      <c r="J45" s="42"/>
      <c r="K45" s="42"/>
      <c r="L45" s="42"/>
      <c r="M45" s="42"/>
      <c r="N45" s="42"/>
      <c r="O45" s="42"/>
      <c r="P45" s="28"/>
    </row>
    <row r="46" spans="1:16" x14ac:dyDescent="0.2">
      <c r="A46" s="25"/>
      <c r="B46" s="45" t="s">
        <v>219</v>
      </c>
      <c r="C46" s="155">
        <f>IF($B46=" ","",IFERROR(INDEX(MMWR_RATING_RO_ROLLUP[],MATCH($B46,MMWR_RATING_RO_ROLLUP[MMWR_RATING_RO_ROLLUP],0),MATCH(C$9,MMWR_RATING_RO_ROLLUP[#Headers],0)),"ERROR"))</f>
        <v>3447</v>
      </c>
      <c r="D46" s="156">
        <f>IF($B46=" ","",IFERROR(INDEX(MMWR_RATING_RO_ROLLUP[],MATCH($B46,MMWR_RATING_RO_ROLLUP[MMWR_RATING_RO_ROLLUP],0),MATCH(D$9,MMWR_RATING_RO_ROLLUP[#Headers],0)),"ERROR"))</f>
        <v>65.427038004099998</v>
      </c>
      <c r="E46" s="157">
        <f>IF($B46=" ","",IFERROR(INDEX(MMWR_RATING_RO_ROLLUP[],MATCH($B46,MMWR_RATING_RO_ROLLUP[MMWR_RATING_RO_ROLLUP],0),MATCH(E$9,MMWR_RATING_RO_ROLLUP[#Headers],0))/$C46,"ERROR"))</f>
        <v>7.9489411082100378E-2</v>
      </c>
      <c r="F46" s="155">
        <f>IF($B46=" ","",IFERROR(INDEX(MMWR_RATING_RO_ROLLUP[],MATCH($B46,MMWR_RATING_RO_ROLLUP[MMWR_RATING_RO_ROLLUP],0),MATCH(F$9,MMWR_RATING_RO_ROLLUP[#Headers],0)),"ERROR"))</f>
        <v>647</v>
      </c>
      <c r="G46" s="155">
        <f>IF($B46=" ","",IFERROR(INDEX(MMWR_RATING_RO_ROLLUP[],MATCH($B46,MMWR_RATING_RO_ROLLUP[MMWR_RATING_RO_ROLLUP],0),MATCH(G$9,MMWR_RATING_RO_ROLLUP[#Headers],0)),"ERROR"))</f>
        <v>11892</v>
      </c>
      <c r="H46" s="156">
        <f>IF($B46=" ","",IFERROR(INDEX(MMWR_RATING_RO_ROLLUP[],MATCH($B46,MMWR_RATING_RO_ROLLUP[MMWR_RATING_RO_ROLLUP],0),MATCH(H$9,MMWR_RATING_RO_ROLLUP[#Headers],0)),"ERROR"))</f>
        <v>131.3060278207</v>
      </c>
      <c r="I46" s="156">
        <f>IF($B46=" ","",IFERROR(INDEX(MMWR_RATING_RO_ROLLUP[],MATCH($B46,MMWR_RATING_RO_ROLLUP[MMWR_RATING_RO_ROLLUP],0),MATCH(I$9,MMWR_RATING_RO_ROLLUP[#Headers],0)),"ERROR"))</f>
        <v>168.4955432223</v>
      </c>
      <c r="J46" s="42"/>
      <c r="K46" s="42"/>
      <c r="L46" s="42"/>
      <c r="M46" s="42"/>
      <c r="N46" s="42"/>
      <c r="O46" s="42"/>
      <c r="P46" s="28"/>
    </row>
    <row r="47" spans="1:16" x14ac:dyDescent="0.2">
      <c r="A47" s="25"/>
      <c r="B47" s="45" t="s">
        <v>221</v>
      </c>
      <c r="C47" s="155">
        <f>IF($B47=" ","",IFERROR(INDEX(MMWR_RATING_RO_ROLLUP[],MATCH($B47,MMWR_RATING_RO_ROLLUP[MMWR_RATING_RO_ROLLUP],0),MATCH(C$9,MMWR_RATING_RO_ROLLUP[#Headers],0)),"ERROR"))</f>
        <v>5094</v>
      </c>
      <c r="D47" s="156">
        <f>IF($B47=" ","",IFERROR(INDEX(MMWR_RATING_RO_ROLLUP[],MATCH($B47,MMWR_RATING_RO_ROLLUP[MMWR_RATING_RO_ROLLUP],0),MATCH(D$9,MMWR_RATING_RO_ROLLUP[#Headers],0)),"ERROR"))</f>
        <v>72.735374950899995</v>
      </c>
      <c r="E47" s="157">
        <f>IF($B47=" ","",IFERROR(INDEX(MMWR_RATING_RO_ROLLUP[],MATCH($B47,MMWR_RATING_RO_ROLLUP[MMWR_RATING_RO_ROLLUP],0),MATCH(E$9,MMWR_RATING_RO_ROLLUP[#Headers],0))/$C47,"ERROR"))</f>
        <v>0.14075382803297998</v>
      </c>
      <c r="F47" s="155">
        <f>IF($B47=" ","",IFERROR(INDEX(MMWR_RATING_RO_ROLLUP[],MATCH($B47,MMWR_RATING_RO_ROLLUP[MMWR_RATING_RO_ROLLUP],0),MATCH(F$9,MMWR_RATING_RO_ROLLUP[#Headers],0)),"ERROR"))</f>
        <v>547</v>
      </c>
      <c r="G47" s="155">
        <f>IF($B47=" ","",IFERROR(INDEX(MMWR_RATING_RO_ROLLUP[],MATCH($B47,MMWR_RATING_RO_ROLLUP[MMWR_RATING_RO_ROLLUP],0),MATCH(G$9,MMWR_RATING_RO_ROLLUP[#Headers],0)),"ERROR"))</f>
        <v>9189</v>
      </c>
      <c r="H47" s="156">
        <f>IF($B47=" ","",IFERROR(INDEX(MMWR_RATING_RO_ROLLUP[],MATCH($B47,MMWR_RATING_RO_ROLLUP[MMWR_RATING_RO_ROLLUP],0),MATCH(H$9,MMWR_RATING_RO_ROLLUP[#Headers],0)),"ERROR"))</f>
        <v>143.06032906760001</v>
      </c>
      <c r="I47" s="156">
        <f>IF($B47=" ","",IFERROR(INDEX(MMWR_RATING_RO_ROLLUP[],MATCH($B47,MMWR_RATING_RO_ROLLUP[MMWR_RATING_RO_ROLLUP],0),MATCH(I$9,MMWR_RATING_RO_ROLLUP[#Headers],0)),"ERROR"))</f>
        <v>130.3412776145</v>
      </c>
      <c r="J47" s="42"/>
      <c r="K47" s="42"/>
      <c r="L47" s="42"/>
      <c r="M47" s="42"/>
      <c r="N47" s="42"/>
      <c r="O47" s="42"/>
      <c r="P47" s="28"/>
    </row>
    <row r="48" spans="1:16" x14ac:dyDescent="0.2">
      <c r="A48" s="25"/>
      <c r="B48" s="47" t="s">
        <v>317</v>
      </c>
      <c r="C48" s="155">
        <f>IF($B48=" ","",IFERROR(INDEX(MMWR_RATING_RO_ROLLUP[],MATCH($B48,MMWR_RATING_RO_ROLLUP[MMWR_RATING_RO_ROLLUP],0),MATCH(C$9,MMWR_RATING_RO_ROLLUP[#Headers],0)),"ERROR"))</f>
        <v>565</v>
      </c>
      <c r="D48" s="156">
        <f>IF($B48=" ","",IFERROR(INDEX(MMWR_RATING_RO_ROLLUP[],MATCH($B48,MMWR_RATING_RO_ROLLUP[MMWR_RATING_RO_ROLLUP],0),MATCH(D$9,MMWR_RATING_RO_ROLLUP[#Headers],0)),"ERROR"))</f>
        <v>83.292035398199999</v>
      </c>
      <c r="E48" s="157">
        <f>IF($B48=" ","",IFERROR(INDEX(MMWR_RATING_RO_ROLLUP[],MATCH($B48,MMWR_RATING_RO_ROLLUP[MMWR_RATING_RO_ROLLUP],0),MATCH(E$9,MMWR_RATING_RO_ROLLUP[#Headers],0))/$C48,"ERROR"))</f>
        <v>0.18407079646017699</v>
      </c>
      <c r="F48" s="155">
        <f>IF($B48=" ","",IFERROR(INDEX(MMWR_RATING_RO_ROLLUP[],MATCH($B48,MMWR_RATING_RO_ROLLUP[MMWR_RATING_RO_ROLLUP],0),MATCH(F$9,MMWR_RATING_RO_ROLLUP[#Headers],0)),"ERROR"))</f>
        <v>95</v>
      </c>
      <c r="G48" s="155">
        <f>IF($B48=" ","",IFERROR(INDEX(MMWR_RATING_RO_ROLLUP[],MATCH($B48,MMWR_RATING_RO_ROLLUP[MMWR_RATING_RO_ROLLUP],0),MATCH(G$9,MMWR_RATING_RO_ROLLUP[#Headers],0)),"ERROR"))</f>
        <v>1851</v>
      </c>
      <c r="H48" s="156">
        <f>IF($B48=" ","",IFERROR(INDEX(MMWR_RATING_RO_ROLLUP[],MATCH($B48,MMWR_RATING_RO_ROLLUP[MMWR_RATING_RO_ROLLUP],0),MATCH(H$9,MMWR_RATING_RO_ROLLUP[#Headers],0)),"ERROR"))</f>
        <v>107.6736842105</v>
      </c>
      <c r="I48" s="156">
        <f>IF($B48=" ","",IFERROR(INDEX(MMWR_RATING_RO_ROLLUP[],MATCH($B48,MMWR_RATING_RO_ROLLUP[MMWR_RATING_RO_ROLLUP],0),MATCH(I$9,MMWR_RATING_RO_ROLLUP[#Headers],0)),"ERROR"))</f>
        <v>145.52782279850001</v>
      </c>
      <c r="J48" s="42"/>
      <c r="K48" s="42"/>
      <c r="L48" s="42"/>
      <c r="M48" s="42"/>
      <c r="N48" s="42"/>
      <c r="O48" s="42"/>
      <c r="P48" s="28"/>
    </row>
    <row r="49" spans="1:16" ht="12" customHeight="1" x14ac:dyDescent="0.2">
      <c r="A49" s="25"/>
      <c r="B49" s="26"/>
      <c r="C49" s="26"/>
      <c r="D49" s="26"/>
      <c r="E49" s="26"/>
      <c r="F49" s="26"/>
      <c r="G49" s="26"/>
      <c r="H49" s="26"/>
      <c r="I49" s="26"/>
      <c r="J49" s="26"/>
      <c r="K49" s="27" t="s">
        <v>932</v>
      </c>
      <c r="L49" s="27" t="s">
        <v>939</v>
      </c>
      <c r="M49" s="27" t="s">
        <v>940</v>
      </c>
      <c r="N49" s="27" t="s">
        <v>941</v>
      </c>
      <c r="O49" s="27" t="s">
        <v>942</v>
      </c>
      <c r="P49" s="28"/>
    </row>
    <row r="50" spans="1:16" hidden="1" x14ac:dyDescent="0.2"/>
    <row r="51" spans="1:16" hidden="1" x14ac:dyDescent="0.2"/>
    <row r="52" spans="1:16" hidden="1" x14ac:dyDescent="0.2"/>
  </sheetData>
  <sheetProtection password="BD20" sheet="1" autoFilter="0"/>
  <protectedRanges>
    <protectedRange sqref="C45:K48 C40:K43 C13:K13 C34:K38 C15:K32" name="SOJ"/>
  </protectedRanges>
  <mergeCells count="33">
    <mergeCell ref="J7:K7"/>
    <mergeCell ref="J8:K8"/>
    <mergeCell ref="I11:I12"/>
    <mergeCell ref="L11:M11"/>
    <mergeCell ref="N11:O11"/>
    <mergeCell ref="J11:J12"/>
    <mergeCell ref="K11:K12"/>
    <mergeCell ref="M7:O7"/>
    <mergeCell ref="L2:O2"/>
    <mergeCell ref="L3:O3"/>
    <mergeCell ref="C4:O4"/>
    <mergeCell ref="C5:O5"/>
    <mergeCell ref="D6:E6"/>
    <mergeCell ref="G6:H6"/>
    <mergeCell ref="C2:K3"/>
    <mergeCell ref="M6:O6"/>
    <mergeCell ref="J6:K6"/>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s>
  <conditionalFormatting sqref="A1:P3 P6:P8 L6:M8 A6:J8 A5:P5 A4 C4:P4 A9:P49">
    <cfRule type="expression" dxfId="436" priority="2">
      <formula>IF(OR(ISERROR(A1),A1="ERROR"),TRUE,FALSE)</formula>
    </cfRule>
  </conditionalFormatting>
  <conditionalFormatting sqref="B4">
    <cfRule type="expression" dxfId="435"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3" t="s">
        <v>303</v>
      </c>
      <c r="D2" s="354"/>
      <c r="E2" s="354"/>
      <c r="F2" s="354"/>
      <c r="G2" s="354"/>
      <c r="H2" s="354"/>
      <c r="I2" s="354"/>
      <c r="J2" s="353" t="s">
        <v>309</v>
      </c>
      <c r="K2" s="354"/>
      <c r="L2" s="354"/>
      <c r="M2" s="355"/>
      <c r="N2" s="28"/>
    </row>
    <row r="3" spans="1:16" ht="24" customHeight="1" thickBot="1" x14ac:dyDescent="0.4">
      <c r="A3" s="25"/>
      <c r="B3" s="29"/>
      <c r="C3" s="356"/>
      <c r="D3" s="357"/>
      <c r="E3" s="357"/>
      <c r="F3" s="357"/>
      <c r="G3" s="357"/>
      <c r="H3" s="357"/>
      <c r="I3" s="357"/>
      <c r="J3" s="356" t="str">
        <f>Transformation!B4</f>
        <v>As of: August 22, 2015</v>
      </c>
      <c r="K3" s="357"/>
      <c r="L3" s="357"/>
      <c r="M3" s="358"/>
      <c r="N3" s="28"/>
    </row>
    <row r="4" spans="1:16" ht="51" customHeight="1" thickBot="1" x14ac:dyDescent="0.35">
      <c r="A4" s="30"/>
      <c r="B4" s="249" t="s">
        <v>465</v>
      </c>
      <c r="C4" s="359" t="s">
        <v>982</v>
      </c>
      <c r="D4" s="360"/>
      <c r="E4" s="360"/>
      <c r="F4" s="360"/>
      <c r="G4" s="360"/>
      <c r="H4" s="360"/>
      <c r="I4" s="360"/>
      <c r="J4" s="360"/>
      <c r="K4" s="360"/>
      <c r="L4" s="360"/>
      <c r="M4" s="361"/>
      <c r="N4" s="28"/>
      <c r="O4" s="22"/>
      <c r="P4" s="23"/>
    </row>
    <row r="5" spans="1:16" ht="27" customHeight="1" thickBot="1" x14ac:dyDescent="0.25">
      <c r="A5" s="30"/>
      <c r="B5" s="48"/>
      <c r="C5" s="362" t="s">
        <v>1054</v>
      </c>
      <c r="D5" s="363"/>
      <c r="E5" s="363"/>
      <c r="F5" s="363"/>
      <c r="G5" s="363"/>
      <c r="H5" s="363"/>
      <c r="I5" s="363"/>
      <c r="J5" s="363"/>
      <c r="K5" s="363"/>
      <c r="L5" s="363"/>
      <c r="M5" s="363"/>
      <c r="N5" s="363"/>
      <c r="O5" s="364"/>
    </row>
    <row r="6" spans="1:16" ht="55.5" customHeight="1" x14ac:dyDescent="0.2">
      <c r="A6" s="30"/>
      <c r="B6" s="31"/>
      <c r="C6" s="32" t="s">
        <v>198</v>
      </c>
      <c r="D6" s="365" t="s">
        <v>16</v>
      </c>
      <c r="E6" s="366"/>
      <c r="F6" s="33" t="s">
        <v>201</v>
      </c>
      <c r="G6" s="365" t="s">
        <v>206</v>
      </c>
      <c r="H6" s="367"/>
      <c r="I6" s="33" t="s">
        <v>204</v>
      </c>
      <c r="J6" s="49" t="s">
        <v>14</v>
      </c>
      <c r="K6" s="33" t="s">
        <v>209</v>
      </c>
      <c r="L6" s="371" t="s">
        <v>88</v>
      </c>
      <c r="M6" s="384"/>
      <c r="N6" s="28"/>
    </row>
    <row r="7" spans="1:16" ht="51.75" customHeight="1" x14ac:dyDescent="0.2">
      <c r="A7" s="30"/>
      <c r="B7" s="34"/>
      <c r="C7" s="35" t="s">
        <v>199</v>
      </c>
      <c r="D7" s="341" t="s">
        <v>0</v>
      </c>
      <c r="E7" s="342"/>
      <c r="F7" s="36" t="s">
        <v>202</v>
      </c>
      <c r="G7" s="343" t="s">
        <v>207</v>
      </c>
      <c r="H7" s="343"/>
      <c r="I7" s="36" t="s">
        <v>205</v>
      </c>
      <c r="J7" s="50" t="s">
        <v>19</v>
      </c>
      <c r="K7" s="36" t="s">
        <v>210</v>
      </c>
      <c r="L7" s="385" t="s">
        <v>90</v>
      </c>
      <c r="M7" s="386"/>
      <c r="N7" s="28"/>
    </row>
    <row r="8" spans="1:16" ht="51.75" customHeight="1" thickBot="1" x14ac:dyDescent="0.25">
      <c r="A8" s="25"/>
      <c r="B8" s="28"/>
      <c r="C8" s="37" t="s">
        <v>200</v>
      </c>
      <c r="D8" s="344" t="s">
        <v>18</v>
      </c>
      <c r="E8" s="345"/>
      <c r="F8" s="38" t="s">
        <v>203</v>
      </c>
      <c r="G8" s="346" t="s">
        <v>17</v>
      </c>
      <c r="H8" s="346"/>
      <c r="I8" s="38" t="s">
        <v>208</v>
      </c>
      <c r="J8" s="51" t="s">
        <v>87</v>
      </c>
      <c r="K8" s="38" t="s">
        <v>211</v>
      </c>
      <c r="L8" s="387" t="s">
        <v>89</v>
      </c>
      <c r="M8" s="388"/>
      <c r="N8" s="28"/>
    </row>
    <row r="9" spans="1:16" x14ac:dyDescent="0.2">
      <c r="A9" s="28"/>
      <c r="B9" s="28"/>
      <c r="C9" s="39" t="s">
        <v>709</v>
      </c>
      <c r="D9" s="39" t="s">
        <v>711</v>
      </c>
      <c r="E9" s="39" t="s">
        <v>710</v>
      </c>
      <c r="F9" s="39" t="s">
        <v>713</v>
      </c>
      <c r="G9" s="39" t="s">
        <v>712</v>
      </c>
      <c r="H9" s="39" t="s">
        <v>723</v>
      </c>
      <c r="I9" s="39" t="s">
        <v>722</v>
      </c>
      <c r="J9" s="39"/>
      <c r="K9" s="39"/>
      <c r="L9" s="39"/>
      <c r="M9" s="39"/>
      <c r="N9" s="28"/>
    </row>
    <row r="10" spans="1:16" ht="15.75" customHeight="1" x14ac:dyDescent="0.2">
      <c r="A10" s="25"/>
      <c r="B10" s="26"/>
      <c r="C10" s="347" t="s">
        <v>302</v>
      </c>
      <c r="D10" s="347"/>
      <c r="E10" s="347"/>
      <c r="F10" s="347"/>
      <c r="G10" s="347"/>
      <c r="H10" s="347"/>
      <c r="I10" s="347"/>
      <c r="J10" s="347"/>
      <c r="K10" s="347"/>
      <c r="L10" s="347"/>
      <c r="M10" s="389"/>
      <c r="N10" s="28"/>
    </row>
    <row r="11" spans="1:16" ht="64.5" customHeight="1" x14ac:dyDescent="0.2">
      <c r="A11" s="25"/>
      <c r="B11" s="26"/>
      <c r="C11" s="52" t="s">
        <v>234</v>
      </c>
      <c r="D11" s="52" t="s">
        <v>140</v>
      </c>
      <c r="E11" s="52" t="s">
        <v>235</v>
      </c>
      <c r="F11" s="52" t="s">
        <v>195</v>
      </c>
      <c r="G11" s="52" t="s">
        <v>212</v>
      </c>
      <c r="H11" s="52" t="s">
        <v>214</v>
      </c>
      <c r="I11" s="52" t="s">
        <v>215</v>
      </c>
      <c r="J11" s="391" t="s">
        <v>983</v>
      </c>
      <c r="K11" s="392"/>
      <c r="L11" s="392"/>
      <c r="M11" s="393"/>
      <c r="N11" s="28"/>
    </row>
    <row r="12" spans="1:16" x14ac:dyDescent="0.2">
      <c r="A12" s="25"/>
      <c r="B12" s="41" t="s">
        <v>739</v>
      </c>
      <c r="C12" s="155">
        <f>IF($B12=" ","",IFERROR(INDEX(MMWR_RATING_RO_ROLLUP[],MATCH($B12,MMWR_RATING_RO_ROLLUP[MMWR_RATING_RO_ROLLUP],0),MATCH(C$9,MMWR_RATING_RO_ROLLUP[#Headers],0)),"ERROR"))</f>
        <v>362799</v>
      </c>
      <c r="D12" s="156">
        <f>IF($B12=" ","",IFERROR(INDEX(MMWR_RATING_RO_ROLLUP[],MATCH($B12,MMWR_RATING_RO_ROLLUP[MMWR_RATING_RO_ROLLUP],0),MATCH(D$9,MMWR_RATING_RO_ROLLUP[#Headers],0)),"ERROR"))</f>
        <v>105.42895377329999</v>
      </c>
      <c r="E12" s="157">
        <f>IF($B12=" ","",IFERROR(INDEX(MMWR_RATING_RO_ROLLUP[],MATCH($B12,MMWR_RATING_RO_ROLLUP[MMWR_RATING_RO_ROLLUP],0),MATCH(E$9,MMWR_RATING_RO_ROLLUP[#Headers],0))/$C12,"ERROR"))</f>
        <v>0.27159666923006953</v>
      </c>
      <c r="F12" s="155">
        <f>IF($B12=" ","",IFERROR(INDEX(MMWR_RATING_RO_ROLLUP[],MATCH($B12,MMWR_RATING_RO_ROLLUP[MMWR_RATING_RO_ROLLUP],0),MATCH(F$9,MMWR_RATING_RO_ROLLUP[#Headers],0)),"ERROR"))</f>
        <v>83386</v>
      </c>
      <c r="G12" s="155">
        <f>IF($B12=" ","",IFERROR(INDEX(MMWR_RATING_RO_ROLLUP[],MATCH($B12,MMWR_RATING_RO_ROLLUP[MMWR_RATING_RO_ROLLUP],0),MATCH(G$9,MMWR_RATING_RO_ROLLUP[#Headers],0)),"ERROR"))</f>
        <v>1243664</v>
      </c>
      <c r="H12" s="156">
        <f>IF($B12=" ","",IFERROR(INDEX(MMWR_RATING_RO_ROLLUP[],MATCH($B12,MMWR_RATING_RO_ROLLUP[MMWR_RATING_RO_ROLLUP],0),MATCH(H$9,MMWR_RATING_RO_ROLLUP[#Headers],0)),"ERROR"))</f>
        <v>149.37102151440001</v>
      </c>
      <c r="I12" s="156">
        <f>IF($B12=" ","",IFERROR(INDEX(MMWR_RATING_RO_ROLLUP[],MATCH($B12,MMWR_RATING_RO_ROLLUP[MMWR_RATING_RO_ROLLUP],0),MATCH(I$9,MMWR_RATING_RO_ROLLUP[#Headers],0)),"ERROR"))</f>
        <v>172.05414484939999</v>
      </c>
      <c r="J12" s="42"/>
      <c r="K12" s="42"/>
      <c r="L12" s="42"/>
      <c r="M12" s="42"/>
      <c r="N12" s="28"/>
    </row>
    <row r="13" spans="1:16" x14ac:dyDescent="0.2">
      <c r="A13" s="25"/>
      <c r="B13" s="339" t="s">
        <v>742</v>
      </c>
      <c r="C13" s="340"/>
      <c r="D13" s="340"/>
      <c r="E13" s="340"/>
      <c r="F13" s="340"/>
      <c r="G13" s="340"/>
      <c r="H13" s="340"/>
      <c r="I13" s="340"/>
      <c r="J13" s="340"/>
      <c r="K13" s="340"/>
      <c r="L13" s="340"/>
      <c r="M13" s="390"/>
      <c r="N13" s="28"/>
    </row>
    <row r="14" spans="1:16" x14ac:dyDescent="0.2">
      <c r="A14" s="25"/>
      <c r="B14" s="41" t="s">
        <v>738</v>
      </c>
      <c r="C14" s="155">
        <f>IF($B14=" ","",IFERROR(INDEX(MMWR_RATING_RO_ROLLUP[],MATCH($B14,MMWR_RATING_RO_ROLLUP[MMWR_RATING_RO_ROLLUP],0),MATCH(C$9,MMWR_RATING_RO_ROLLUP[#Headers],0)),"ERROR"))</f>
        <v>325853</v>
      </c>
      <c r="D14" s="156">
        <f>IF($B14=" ","",IFERROR(INDEX(MMWR_RATING_RO_ROLLUP[],MATCH($B14,MMWR_RATING_RO_ROLLUP[MMWR_RATING_RO_ROLLUP],0),MATCH(D$9,MMWR_RATING_RO_ROLLUP[#Headers],0)),"ERROR"))</f>
        <v>109.9391044428</v>
      </c>
      <c r="E14" s="157">
        <f>IF($B14=" ","",IFERROR(INDEX(MMWR_RATING_RO_ROLLUP[],MATCH($B14,MMWR_RATING_RO_ROLLUP[MMWR_RATING_RO_ROLLUP],0),MATCH(E$9,MMWR_RATING_RO_ROLLUP[#Headers],0))/$C14,"ERROR"))</f>
        <v>0.28960298048506533</v>
      </c>
      <c r="F14" s="155">
        <f>IF($B14=" ","",IFERROR(INDEX(MMWR_RATING_RO_ROLLUP[],MATCH($B14,MMWR_RATING_RO_ROLLUP[MMWR_RATING_RO_ROLLUP],0),MATCH(F$9,MMWR_RATING_RO_ROLLUP[#Headers],0)),"ERROR"))</f>
        <v>72855</v>
      </c>
      <c r="G14" s="155">
        <f>IF($B14=" ","",IFERROR(INDEX(MMWR_RATING_RO_ROLLUP[],MATCH($B14,MMWR_RATING_RO_ROLLUP[MMWR_RATING_RO_ROLLUP],0),MATCH(G$9,MMWR_RATING_RO_ROLLUP[#Headers],0)),"ERROR"))</f>
        <v>1061280</v>
      </c>
      <c r="H14" s="156">
        <f>IF($B14=" ","",IFERROR(INDEX(MMWR_RATING_RO_ROLLUP[],MATCH($B14,MMWR_RATING_RO_ROLLUP[MMWR_RATING_RO_ROLLUP],0),MATCH(H$9,MMWR_RATING_RO_ROLLUP[#Headers],0)),"ERROR"))</f>
        <v>159.07958273279999</v>
      </c>
      <c r="I14" s="156">
        <f>IF($B14=" ","",IFERROR(INDEX(MMWR_RATING_RO_ROLLUP[],MATCH($B14,MMWR_RATING_RO_ROLLUP[MMWR_RATING_RO_ROLLUP],0),MATCH(I$9,MMWR_RATING_RO_ROLLUP[#Headers],0)),"ERROR"))</f>
        <v>187.1755917383</v>
      </c>
      <c r="J14" s="42"/>
      <c r="K14" s="42"/>
      <c r="L14" s="42"/>
      <c r="M14" s="42"/>
      <c r="N14" s="28"/>
    </row>
    <row r="15" spans="1:16" x14ac:dyDescent="0.2">
      <c r="A15" s="25"/>
      <c r="B15" s="250" t="s">
        <v>379</v>
      </c>
      <c r="C15" s="155">
        <f>IF($B15=" ","",IFERROR(INDEX(MMWR_RATING_RO_ROLLUP[],MATCH($B15,MMWR_RATING_RO_ROLLUP[MMWR_RATING_RO_ROLLUP],0),MATCH(C$9,MMWR_RATING_RO_ROLLUP[#Headers],0)),"ERROR"))</f>
        <v>71606</v>
      </c>
      <c r="D15" s="156">
        <f>IF($B15=" ","",IFERROR(INDEX(MMWR_RATING_RO_ROLLUP[],MATCH($B15,MMWR_RATING_RO_ROLLUP[MMWR_RATING_RO_ROLLUP],0),MATCH(D$9,MMWR_RATING_RO_ROLLUP[#Headers],0)),"ERROR"))</f>
        <v>111.3710722565</v>
      </c>
      <c r="E15" s="157">
        <f>IF($B15=" ","",IFERROR(INDEX(MMWR_RATING_RO_ROLLUP[],MATCH($B15,MMWR_RATING_RO_ROLLUP[MMWR_RATING_RO_ROLLUP],0),MATCH(E$9,MMWR_RATING_RO_ROLLUP[#Headers],0))/$C15,"ERROR"))</f>
        <v>0.29634388179761473</v>
      </c>
      <c r="F15" s="155">
        <f>IF($B15=" ","",IFERROR(INDEX(MMWR_RATING_RO_ROLLUP[],MATCH($B15,MMWR_RATING_RO_ROLLUP[MMWR_RATING_RO_ROLLUP],0),MATCH(F$9,MMWR_RATING_RO_ROLLUP[#Headers],0)),"ERROR"))</f>
        <v>15517</v>
      </c>
      <c r="G15" s="155">
        <f>IF($B15=" ","",IFERROR(INDEX(MMWR_RATING_RO_ROLLUP[],MATCH($B15,MMWR_RATING_RO_ROLLUP[MMWR_RATING_RO_ROLLUP],0),MATCH(G$9,MMWR_RATING_RO_ROLLUP[#Headers],0)),"ERROR"))</f>
        <v>233966</v>
      </c>
      <c r="H15" s="156">
        <f>IF($B15=" ","",IFERROR(INDEX(MMWR_RATING_RO_ROLLUP[],MATCH($B15,MMWR_RATING_RO_ROLLUP[MMWR_RATING_RO_ROLLUP],0),MATCH(H$9,MMWR_RATING_RO_ROLLUP[#Headers],0)),"ERROR"))</f>
        <v>157.83521299220001</v>
      </c>
      <c r="I15" s="156">
        <f>IF($B15=" ","",IFERROR(INDEX(MMWR_RATING_RO_ROLLUP[],MATCH($B15,MMWR_RATING_RO_ROLLUP[MMWR_RATING_RO_ROLLUP],0),MATCH(I$9,MMWR_RATING_RO_ROLLUP[#Headers],0)),"ERROR"))</f>
        <v>192.14557243359999</v>
      </c>
      <c r="J15" s="42"/>
      <c r="K15" s="42"/>
      <c r="L15" s="42"/>
      <c r="M15" s="42"/>
      <c r="N15" s="28"/>
    </row>
    <row r="16" spans="1:16" x14ac:dyDescent="0.2">
      <c r="A16" s="25"/>
      <c r="B16" s="8" t="str">
        <f>VLOOKUP($B$15,DISTRICT_RO[],2,0)</f>
        <v>Baltimore VSC</v>
      </c>
      <c r="C16" s="155">
        <f>IF($B16=" ","",IFERROR(INDEX(MMWR_RATING_RO_ROLLUP[],MATCH($B16,MMWR_RATING_RO_ROLLUP[MMWR_RATING_RO_ROLLUP],0),MATCH(C$9,MMWR_RATING_RO_ROLLUP[#Headers],0)),"ERROR"))</f>
        <v>4739</v>
      </c>
      <c r="D16" s="156">
        <f>IF($B16=" ","",IFERROR(INDEX(MMWR_RATING_RO_ROLLUP[],MATCH($B16,MMWR_RATING_RO_ROLLUP[MMWR_RATING_RO_ROLLUP],0),MATCH(D$9,MMWR_RATING_RO_ROLLUP[#Headers],0)),"ERROR"))</f>
        <v>124.235703735</v>
      </c>
      <c r="E16" s="157">
        <f>IF($B16=" ","",IFERROR(INDEX(MMWR_RATING_RO_ROLLUP[],MATCH($B16,MMWR_RATING_RO_ROLLUP[MMWR_RATING_RO_ROLLUP],0),MATCH(E$9,MMWR_RATING_RO_ROLLUP[#Headers],0))/$C16,"ERROR"))</f>
        <v>0.31019202363367798</v>
      </c>
      <c r="F16" s="155">
        <f>IF($B16=" ","",IFERROR(INDEX(MMWR_RATING_RO_ROLLUP[],MATCH($B16,MMWR_RATING_RO_ROLLUP[MMWR_RATING_RO_ROLLUP],0),MATCH(F$9,MMWR_RATING_RO_ROLLUP[#Headers],0)),"ERROR"))</f>
        <v>1222</v>
      </c>
      <c r="G16" s="155">
        <f>IF($B16=" ","",IFERROR(INDEX(MMWR_RATING_RO_ROLLUP[],MATCH($B16,MMWR_RATING_RO_ROLLUP[MMWR_RATING_RO_ROLLUP],0),MATCH(G$9,MMWR_RATING_RO_ROLLUP[#Headers],0)),"ERROR"))</f>
        <v>17826</v>
      </c>
      <c r="H16" s="156">
        <f>IF($B16=" ","",IFERROR(INDEX(MMWR_RATING_RO_ROLLUP[],MATCH($B16,MMWR_RATING_RO_ROLLUP[MMWR_RATING_RO_ROLLUP],0),MATCH(H$9,MMWR_RATING_RO_ROLLUP[#Headers],0)),"ERROR"))</f>
        <v>190.7651391162</v>
      </c>
      <c r="I16" s="156">
        <f>IF($B16=" ","",IFERROR(INDEX(MMWR_RATING_RO_ROLLUP[],MATCH($B16,MMWR_RATING_RO_ROLLUP[MMWR_RATING_RO_ROLLUP],0),MATCH(I$9,MMWR_RATING_RO_ROLLUP[#Headers],0)),"ERROR"))</f>
        <v>250.23791091659999</v>
      </c>
      <c r="J16" s="42"/>
      <c r="K16" s="42"/>
      <c r="L16" s="42"/>
      <c r="M16" s="42"/>
      <c r="N16" s="28"/>
    </row>
    <row r="17" spans="1:14" x14ac:dyDescent="0.2">
      <c r="A17" s="25"/>
      <c r="B17" s="8" t="str">
        <f>VLOOKUP($B$15,DISTRICT_RO[],3,0)</f>
        <v>Boston VSC</v>
      </c>
      <c r="C17" s="155">
        <f>IF($B17=" ","",IFERROR(INDEX(MMWR_RATING_RO_ROLLUP[],MATCH($B17,MMWR_RATING_RO_ROLLUP[MMWR_RATING_RO_ROLLUP],0),MATCH(C$9,MMWR_RATING_RO_ROLLUP[#Headers],0)),"ERROR"))</f>
        <v>3678</v>
      </c>
      <c r="D17" s="156">
        <f>IF($B17=" ","",IFERROR(INDEX(MMWR_RATING_RO_ROLLUP[],MATCH($B17,MMWR_RATING_RO_ROLLUP[MMWR_RATING_RO_ROLLUP],0),MATCH(D$9,MMWR_RATING_RO_ROLLUP[#Headers],0)),"ERROR"))</f>
        <v>108.720228385</v>
      </c>
      <c r="E17" s="157">
        <f>IF($B17=" ","",IFERROR(INDEX(MMWR_RATING_RO_ROLLUP[],MATCH($B17,MMWR_RATING_RO_ROLLUP[MMWR_RATING_RO_ROLLUP],0),MATCH(E$9,MMWR_RATING_RO_ROLLUP[#Headers],0))/$C17,"ERROR"))</f>
        <v>0.27922784121805327</v>
      </c>
      <c r="F17" s="155">
        <f>IF($B17=" ","",IFERROR(INDEX(MMWR_RATING_RO_ROLLUP[],MATCH($B17,MMWR_RATING_RO_ROLLUP[MMWR_RATING_RO_ROLLUP],0),MATCH(F$9,MMWR_RATING_RO_ROLLUP[#Headers],0)),"ERROR"))</f>
        <v>773</v>
      </c>
      <c r="G17" s="155">
        <f>IF($B17=" ","",IFERROR(INDEX(MMWR_RATING_RO_ROLLUP[],MATCH($B17,MMWR_RATING_RO_ROLLUP[MMWR_RATING_RO_ROLLUP],0),MATCH(G$9,MMWR_RATING_RO_ROLLUP[#Headers],0)),"ERROR"))</f>
        <v>11038</v>
      </c>
      <c r="H17" s="156">
        <f>IF($B17=" ","",IFERROR(INDEX(MMWR_RATING_RO_ROLLUP[],MATCH($B17,MMWR_RATING_RO_ROLLUP[MMWR_RATING_RO_ROLLUP],0),MATCH(H$9,MMWR_RATING_RO_ROLLUP[#Headers],0)),"ERROR"))</f>
        <v>177.1190168176</v>
      </c>
      <c r="I17" s="156">
        <f>IF($B17=" ","",IFERROR(INDEX(MMWR_RATING_RO_ROLLUP[],MATCH($B17,MMWR_RATING_RO_ROLLUP[MMWR_RATING_RO_ROLLUP],0),MATCH(I$9,MMWR_RATING_RO_ROLLUP[#Headers],0)),"ERROR"))</f>
        <v>214.6721326327</v>
      </c>
      <c r="J17" s="42"/>
      <c r="K17" s="42"/>
      <c r="L17" s="42"/>
      <c r="M17" s="42"/>
      <c r="N17" s="28"/>
    </row>
    <row r="18" spans="1:14" x14ac:dyDescent="0.2">
      <c r="A18" s="25"/>
      <c r="B18" s="8" t="str">
        <f>VLOOKUP($B$15,DISTRICT_RO[],4,0)</f>
        <v>Buffalo VSC</v>
      </c>
      <c r="C18" s="155">
        <f>IF($B18=" ","",IFERROR(INDEX(MMWR_RATING_RO_ROLLUP[],MATCH($B18,MMWR_RATING_RO_ROLLUP[MMWR_RATING_RO_ROLLUP],0),MATCH(C$9,MMWR_RATING_RO_ROLLUP[#Headers],0)),"ERROR"))</f>
        <v>4491</v>
      </c>
      <c r="D18" s="156">
        <f>IF($B18=" ","",IFERROR(INDEX(MMWR_RATING_RO_ROLLUP[],MATCH($B18,MMWR_RATING_RO_ROLLUP[MMWR_RATING_RO_ROLLUP],0),MATCH(D$9,MMWR_RATING_RO_ROLLUP[#Headers],0)),"ERROR"))</f>
        <v>108.9799599198</v>
      </c>
      <c r="E18" s="157">
        <f>IF($B18=" ","",IFERROR(INDEX(MMWR_RATING_RO_ROLLUP[],MATCH($B18,MMWR_RATING_RO_ROLLUP[MMWR_RATING_RO_ROLLUP],0),MATCH(E$9,MMWR_RATING_RO_ROLLUP[#Headers],0))/$C18,"ERROR"))</f>
        <v>0.29369850812736586</v>
      </c>
      <c r="F18" s="155">
        <f>IF($B18=" ","",IFERROR(INDEX(MMWR_RATING_RO_ROLLUP[],MATCH($B18,MMWR_RATING_RO_ROLLUP[MMWR_RATING_RO_ROLLUP],0),MATCH(F$9,MMWR_RATING_RO_ROLLUP[#Headers],0)),"ERROR"))</f>
        <v>718</v>
      </c>
      <c r="G18" s="155">
        <f>IF($B18=" ","",IFERROR(INDEX(MMWR_RATING_RO_ROLLUP[],MATCH($B18,MMWR_RATING_RO_ROLLUP[MMWR_RATING_RO_ROLLUP],0),MATCH(G$9,MMWR_RATING_RO_ROLLUP[#Headers],0)),"ERROR"))</f>
        <v>12055</v>
      </c>
      <c r="H18" s="156">
        <f>IF($B18=" ","",IFERROR(INDEX(MMWR_RATING_RO_ROLLUP[],MATCH($B18,MMWR_RATING_RO_ROLLUP[MMWR_RATING_RO_ROLLUP],0),MATCH(H$9,MMWR_RATING_RO_ROLLUP[#Headers],0)),"ERROR"))</f>
        <v>180.922005571</v>
      </c>
      <c r="I18" s="156">
        <f>IF($B18=" ","",IFERROR(INDEX(MMWR_RATING_RO_ROLLUP[],MATCH($B18,MMWR_RATING_RO_ROLLUP[MMWR_RATING_RO_ROLLUP],0),MATCH(I$9,MMWR_RATING_RO_ROLLUP[#Headers],0)),"ERROR"))</f>
        <v>209.60854417249999</v>
      </c>
      <c r="J18" s="42"/>
      <c r="K18" s="42"/>
      <c r="L18" s="42"/>
      <c r="M18" s="42"/>
      <c r="N18" s="28"/>
    </row>
    <row r="19" spans="1:14" x14ac:dyDescent="0.2">
      <c r="A19" s="25"/>
      <c r="B19" s="8" t="str">
        <f>VLOOKUP($B$15,DISTRICT_RO[],5,0)</f>
        <v>Hartford VSC</v>
      </c>
      <c r="C19" s="155">
        <f>IF($B19=" ","",IFERROR(INDEX(MMWR_RATING_RO_ROLLUP[],MATCH($B19,MMWR_RATING_RO_ROLLUP[MMWR_RATING_RO_ROLLUP],0),MATCH(C$9,MMWR_RATING_RO_ROLLUP[#Headers],0)),"ERROR"))</f>
        <v>2025</v>
      </c>
      <c r="D19" s="156">
        <f>IF($B19=" ","",IFERROR(INDEX(MMWR_RATING_RO_ROLLUP[],MATCH($B19,MMWR_RATING_RO_ROLLUP[MMWR_RATING_RO_ROLLUP],0),MATCH(D$9,MMWR_RATING_RO_ROLLUP[#Headers],0)),"ERROR"))</f>
        <v>93.561975308599997</v>
      </c>
      <c r="E19" s="157">
        <f>IF($B19=" ","",IFERROR(INDEX(MMWR_RATING_RO_ROLLUP[],MATCH($B19,MMWR_RATING_RO_ROLLUP[MMWR_RATING_RO_ROLLUP],0),MATCH(E$9,MMWR_RATING_RO_ROLLUP[#Headers],0))/$C19,"ERROR"))</f>
        <v>0.24098765432098765</v>
      </c>
      <c r="F19" s="155">
        <f>IF($B19=" ","",IFERROR(INDEX(MMWR_RATING_RO_ROLLUP[],MATCH($B19,MMWR_RATING_RO_ROLLUP[MMWR_RATING_RO_ROLLUP],0),MATCH(F$9,MMWR_RATING_RO_ROLLUP[#Headers],0)),"ERROR"))</f>
        <v>319</v>
      </c>
      <c r="G19" s="155">
        <f>IF($B19=" ","",IFERROR(INDEX(MMWR_RATING_RO_ROLLUP[],MATCH($B19,MMWR_RATING_RO_ROLLUP[MMWR_RATING_RO_ROLLUP],0),MATCH(G$9,MMWR_RATING_RO_ROLLUP[#Headers],0)),"ERROR"))</f>
        <v>5709</v>
      </c>
      <c r="H19" s="156">
        <f>IF($B19=" ","",IFERROR(INDEX(MMWR_RATING_RO_ROLLUP[],MATCH($B19,MMWR_RATING_RO_ROLLUP[MMWR_RATING_RO_ROLLUP],0),MATCH(H$9,MMWR_RATING_RO_ROLLUP[#Headers],0)),"ERROR"))</f>
        <v>163.62068965520001</v>
      </c>
      <c r="I19" s="156">
        <f>IF($B19=" ","",IFERROR(INDEX(MMWR_RATING_RO_ROLLUP[],MATCH($B19,MMWR_RATING_RO_ROLLUP[MMWR_RATING_RO_ROLLUP],0),MATCH(I$9,MMWR_RATING_RO_ROLLUP[#Headers],0)),"ERROR"))</f>
        <v>151.25591171830001</v>
      </c>
      <c r="J19" s="42"/>
      <c r="K19" s="42"/>
      <c r="L19" s="42"/>
      <c r="M19" s="42"/>
      <c r="N19" s="28"/>
    </row>
    <row r="20" spans="1:14" x14ac:dyDescent="0.2">
      <c r="A20" s="25"/>
      <c r="B20" s="8" t="str">
        <f>VLOOKUP($B$15,DISTRICT_RO[],6,0)</f>
        <v>Huntington VSC</v>
      </c>
      <c r="C20" s="155">
        <f>IF($B20=" ","",IFERROR(INDEX(MMWR_RATING_RO_ROLLUP[],MATCH($B20,MMWR_RATING_RO_ROLLUP[MMWR_RATING_RO_ROLLUP],0),MATCH(C$9,MMWR_RATING_RO_ROLLUP[#Headers],0)),"ERROR"))</f>
        <v>2153</v>
      </c>
      <c r="D20" s="156">
        <f>IF($B20=" ","",IFERROR(INDEX(MMWR_RATING_RO_ROLLUP[],MATCH($B20,MMWR_RATING_RO_ROLLUP[MMWR_RATING_RO_ROLLUP],0),MATCH(D$9,MMWR_RATING_RO_ROLLUP[#Headers],0)),"ERROR"))</f>
        <v>87.864839758499997</v>
      </c>
      <c r="E20" s="157">
        <f>IF($B20=" ","",IFERROR(INDEX(MMWR_RATING_RO_ROLLUP[],MATCH($B20,MMWR_RATING_RO_ROLLUP[MMWR_RATING_RO_ROLLUP],0),MATCH(E$9,MMWR_RATING_RO_ROLLUP[#Headers],0))/$C20,"ERROR"))</f>
        <v>0.20668834184858337</v>
      </c>
      <c r="F20" s="155">
        <f>IF($B20=" ","",IFERROR(INDEX(MMWR_RATING_RO_ROLLUP[],MATCH($B20,MMWR_RATING_RO_ROLLUP[MMWR_RATING_RO_ROLLUP],0),MATCH(F$9,MMWR_RATING_RO_ROLLUP[#Headers],0)),"ERROR"))</f>
        <v>791</v>
      </c>
      <c r="G20" s="155">
        <f>IF($B20=" ","",IFERROR(INDEX(MMWR_RATING_RO_ROLLUP[],MATCH($B20,MMWR_RATING_RO_ROLLUP[MMWR_RATING_RO_ROLLUP],0),MATCH(G$9,MMWR_RATING_RO_ROLLUP[#Headers],0)),"ERROR"))</f>
        <v>8475</v>
      </c>
      <c r="H20" s="156">
        <f>IF($B20=" ","",IFERROR(INDEX(MMWR_RATING_RO_ROLLUP[],MATCH($B20,MMWR_RATING_RO_ROLLUP[MMWR_RATING_RO_ROLLUP],0),MATCH(H$9,MMWR_RATING_RO_ROLLUP[#Headers],0)),"ERROR"))</f>
        <v>119.14664981040001</v>
      </c>
      <c r="I20" s="156">
        <f>IF($B20=" ","",IFERROR(INDEX(MMWR_RATING_RO_ROLLUP[],MATCH($B20,MMWR_RATING_RO_ROLLUP[MMWR_RATING_RO_ROLLUP],0),MATCH(I$9,MMWR_RATING_RO_ROLLUP[#Headers],0)),"ERROR"))</f>
        <v>143.30489675519999</v>
      </c>
      <c r="J20" s="42"/>
      <c r="K20" s="42"/>
      <c r="L20" s="42"/>
      <c r="M20" s="42"/>
      <c r="N20" s="28"/>
    </row>
    <row r="21" spans="1:14" x14ac:dyDescent="0.2">
      <c r="A21" s="25"/>
      <c r="B21" s="8" t="str">
        <f>VLOOKUP($B$15,DISTRICT_RO[],7,0)</f>
        <v>Manchester VSC</v>
      </c>
      <c r="C21" s="155">
        <f>IF($B21=" ","",IFERROR(INDEX(MMWR_RATING_RO_ROLLUP[],MATCH($B21,MMWR_RATING_RO_ROLLUP[MMWR_RATING_RO_ROLLUP],0),MATCH(C$9,MMWR_RATING_RO_ROLLUP[#Headers],0)),"ERROR"))</f>
        <v>1314</v>
      </c>
      <c r="D21" s="156">
        <f>IF($B21=" ","",IFERROR(INDEX(MMWR_RATING_RO_ROLLUP[],MATCH($B21,MMWR_RATING_RO_ROLLUP[MMWR_RATING_RO_ROLLUP],0),MATCH(D$9,MMWR_RATING_RO_ROLLUP[#Headers],0)),"ERROR"))</f>
        <v>91.145357686500006</v>
      </c>
      <c r="E21" s="157">
        <f>IF($B21=" ","",IFERROR(INDEX(MMWR_RATING_RO_ROLLUP[],MATCH($B21,MMWR_RATING_RO_ROLLUP[MMWR_RATING_RO_ROLLUP],0),MATCH(E$9,MMWR_RATING_RO_ROLLUP[#Headers],0))/$C21,"ERROR"))</f>
        <v>0.20319634703196346</v>
      </c>
      <c r="F21" s="155">
        <f>IF($B21=" ","",IFERROR(INDEX(MMWR_RATING_RO_ROLLUP[],MATCH($B21,MMWR_RATING_RO_ROLLUP[MMWR_RATING_RO_ROLLUP],0),MATCH(F$9,MMWR_RATING_RO_ROLLUP[#Headers],0)),"ERROR"))</f>
        <v>253</v>
      </c>
      <c r="G21" s="155">
        <f>IF($B21=" ","",IFERROR(INDEX(MMWR_RATING_RO_ROLLUP[],MATCH($B21,MMWR_RATING_RO_ROLLUP[MMWR_RATING_RO_ROLLUP],0),MATCH(G$9,MMWR_RATING_RO_ROLLUP[#Headers],0)),"ERROR"))</f>
        <v>3605</v>
      </c>
      <c r="H21" s="156">
        <f>IF($B21=" ","",IFERROR(INDEX(MMWR_RATING_RO_ROLLUP[],MATCH($B21,MMWR_RATING_RO_ROLLUP[MMWR_RATING_RO_ROLLUP],0),MATCH(H$9,MMWR_RATING_RO_ROLLUP[#Headers],0)),"ERROR"))</f>
        <v>144.39920948619999</v>
      </c>
      <c r="I21" s="156">
        <f>IF($B21=" ","",IFERROR(INDEX(MMWR_RATING_RO_ROLLUP[],MATCH($B21,MMWR_RATING_RO_ROLLUP[MMWR_RATING_RO_ROLLUP],0),MATCH(I$9,MMWR_RATING_RO_ROLLUP[#Headers],0)),"ERROR"))</f>
        <v>176.21081830790001</v>
      </c>
      <c r="J21" s="42"/>
      <c r="K21" s="42"/>
      <c r="L21" s="42"/>
      <c r="M21" s="42"/>
      <c r="N21" s="28"/>
    </row>
    <row r="22" spans="1:14" x14ac:dyDescent="0.2">
      <c r="A22" s="25"/>
      <c r="B22" s="8" t="str">
        <f>VLOOKUP($B$15,DISTRICT_RO[],8,0)</f>
        <v>New York VSC</v>
      </c>
      <c r="C22" s="155">
        <f>IF($B22=" ","",IFERROR(INDEX(MMWR_RATING_RO_ROLLUP[],MATCH($B22,MMWR_RATING_RO_ROLLUP[MMWR_RATING_RO_ROLLUP],0),MATCH(C$9,MMWR_RATING_RO_ROLLUP[#Headers],0)),"ERROR"))</f>
        <v>4774</v>
      </c>
      <c r="D22" s="156">
        <f>IF($B22=" ","",IFERROR(INDEX(MMWR_RATING_RO_ROLLUP[],MATCH($B22,MMWR_RATING_RO_ROLLUP[MMWR_RATING_RO_ROLLUP],0),MATCH(D$9,MMWR_RATING_RO_ROLLUP[#Headers],0)),"ERROR"))</f>
        <v>110.6688311688</v>
      </c>
      <c r="E22" s="157">
        <f>IF($B22=" ","",IFERROR(INDEX(MMWR_RATING_RO_ROLLUP[],MATCH($B22,MMWR_RATING_RO_ROLLUP[MMWR_RATING_RO_ROLLUP],0),MATCH(E$9,MMWR_RATING_RO_ROLLUP[#Headers],0))/$C22,"ERROR"))</f>
        <v>0.29032258064516131</v>
      </c>
      <c r="F22" s="155">
        <f>IF($B22=" ","",IFERROR(INDEX(MMWR_RATING_RO_ROLLUP[],MATCH($B22,MMWR_RATING_RO_ROLLUP[MMWR_RATING_RO_ROLLUP],0),MATCH(F$9,MMWR_RATING_RO_ROLLUP[#Headers],0)),"ERROR"))</f>
        <v>1000</v>
      </c>
      <c r="G22" s="155">
        <f>IF($B22=" ","",IFERROR(INDEX(MMWR_RATING_RO_ROLLUP[],MATCH($B22,MMWR_RATING_RO_ROLLUP[MMWR_RATING_RO_ROLLUP],0),MATCH(G$9,MMWR_RATING_RO_ROLLUP[#Headers],0)),"ERROR"))</f>
        <v>15121</v>
      </c>
      <c r="H22" s="156">
        <f>IF($B22=" ","",IFERROR(INDEX(MMWR_RATING_RO_ROLLUP[],MATCH($B22,MMWR_RATING_RO_ROLLUP[MMWR_RATING_RO_ROLLUP],0),MATCH(H$9,MMWR_RATING_RO_ROLLUP[#Headers],0)),"ERROR"))</f>
        <v>170.066</v>
      </c>
      <c r="I22" s="156">
        <f>IF($B22=" ","",IFERROR(INDEX(MMWR_RATING_RO_ROLLUP[],MATCH($B22,MMWR_RATING_RO_ROLLUP[MMWR_RATING_RO_ROLLUP],0),MATCH(I$9,MMWR_RATING_RO_ROLLUP[#Headers],0)),"ERROR"))</f>
        <v>204.22491898679999</v>
      </c>
      <c r="J22" s="42"/>
      <c r="K22" s="42"/>
      <c r="L22" s="42"/>
      <c r="M22" s="42"/>
      <c r="N22" s="28"/>
    </row>
    <row r="23" spans="1:14" x14ac:dyDescent="0.2">
      <c r="A23" s="25"/>
      <c r="B23" s="8" t="str">
        <f>VLOOKUP($B$15,DISTRICT_RO[],9,0)</f>
        <v>Newark VSC</v>
      </c>
      <c r="C23" s="155">
        <f>IF($B23=" ","",IFERROR(INDEX(MMWR_RATING_RO_ROLLUP[],MATCH($B23,MMWR_RATING_RO_ROLLUP[MMWR_RATING_RO_ROLLUP],0),MATCH(C$9,MMWR_RATING_RO_ROLLUP[#Headers],0)),"ERROR"))</f>
        <v>2789</v>
      </c>
      <c r="D23" s="156">
        <f>IF($B23=" ","",IFERROR(INDEX(MMWR_RATING_RO_ROLLUP[],MATCH($B23,MMWR_RATING_RO_ROLLUP[MMWR_RATING_RO_ROLLUP],0),MATCH(D$9,MMWR_RATING_RO_ROLLUP[#Headers],0)),"ERROR"))</f>
        <v>99.050555754800001</v>
      </c>
      <c r="E23" s="157">
        <f>IF($B23=" ","",IFERROR(INDEX(MMWR_RATING_RO_ROLLUP[],MATCH($B23,MMWR_RATING_RO_ROLLUP[MMWR_RATING_RO_ROLLUP],0),MATCH(E$9,MMWR_RATING_RO_ROLLUP[#Headers],0))/$C23,"ERROR"))</f>
        <v>0.25743994263176767</v>
      </c>
      <c r="F23" s="155">
        <f>IF($B23=" ","",IFERROR(INDEX(MMWR_RATING_RO_ROLLUP[],MATCH($B23,MMWR_RATING_RO_ROLLUP[MMWR_RATING_RO_ROLLUP],0),MATCH(F$9,MMWR_RATING_RO_ROLLUP[#Headers],0)),"ERROR"))</f>
        <v>510</v>
      </c>
      <c r="G23" s="155">
        <f>IF($B23=" ","",IFERROR(INDEX(MMWR_RATING_RO_ROLLUP[],MATCH($B23,MMWR_RATING_RO_ROLLUP[MMWR_RATING_RO_ROLLUP],0),MATCH(G$9,MMWR_RATING_RO_ROLLUP[#Headers],0)),"ERROR"))</f>
        <v>6693</v>
      </c>
      <c r="H23" s="156">
        <f>IF($B23=" ","",IFERROR(INDEX(MMWR_RATING_RO_ROLLUP[],MATCH($B23,MMWR_RATING_RO_ROLLUP[MMWR_RATING_RO_ROLLUP],0),MATCH(H$9,MMWR_RATING_RO_ROLLUP[#Headers],0)),"ERROR"))</f>
        <v>166.1490196078</v>
      </c>
      <c r="I23" s="156">
        <f>IF($B23=" ","",IFERROR(INDEX(MMWR_RATING_RO_ROLLUP[],MATCH($B23,MMWR_RATING_RO_ROLLUP[MMWR_RATING_RO_ROLLUP],0),MATCH(I$9,MMWR_RATING_RO_ROLLUP[#Headers],0)),"ERROR"))</f>
        <v>166.11743612730001</v>
      </c>
      <c r="J23" s="42"/>
      <c r="K23" s="42"/>
      <c r="L23" s="42"/>
      <c r="M23" s="42"/>
      <c r="N23" s="28"/>
    </row>
    <row r="24" spans="1:14" x14ac:dyDescent="0.2">
      <c r="A24" s="25"/>
      <c r="B24" s="8" t="str">
        <f>VLOOKUP($B$15,DISTRICT_RO[],10,0)</f>
        <v>Philadelphia VSC</v>
      </c>
      <c r="C24" s="155">
        <f>IF($B24=" ","",IFERROR(INDEX(MMWR_RATING_RO_ROLLUP[],MATCH($B24,MMWR_RATING_RO_ROLLUP[MMWR_RATING_RO_ROLLUP],0),MATCH(C$9,MMWR_RATING_RO_ROLLUP[#Headers],0)),"ERROR"))</f>
        <v>7628</v>
      </c>
      <c r="D24" s="156">
        <f>IF($B24=" ","",IFERROR(INDEX(MMWR_RATING_RO_ROLLUP[],MATCH($B24,MMWR_RATING_RO_ROLLUP[MMWR_RATING_RO_ROLLUP],0),MATCH(D$9,MMWR_RATING_RO_ROLLUP[#Headers],0)),"ERROR"))</f>
        <v>132.4939695857</v>
      </c>
      <c r="E24" s="157">
        <f>IF($B24=" ","",IFERROR(INDEX(MMWR_RATING_RO_ROLLUP[],MATCH($B24,MMWR_RATING_RO_ROLLUP[MMWR_RATING_RO_ROLLUP],0),MATCH(E$9,MMWR_RATING_RO_ROLLUP[#Headers],0))/$C24,"ERROR"))</f>
        <v>0.38004719454640795</v>
      </c>
      <c r="F24" s="155">
        <f>IF($B24=" ","",IFERROR(INDEX(MMWR_RATING_RO_ROLLUP[],MATCH($B24,MMWR_RATING_RO_ROLLUP[MMWR_RATING_RO_ROLLUP],0),MATCH(F$9,MMWR_RATING_RO_ROLLUP[#Headers],0)),"ERROR"))</f>
        <v>1593</v>
      </c>
      <c r="G24" s="155">
        <f>IF($B24=" ","",IFERROR(INDEX(MMWR_RATING_RO_ROLLUP[],MATCH($B24,MMWR_RATING_RO_ROLLUP[MMWR_RATING_RO_ROLLUP],0),MATCH(G$9,MMWR_RATING_RO_ROLLUP[#Headers],0)),"ERROR"))</f>
        <v>26241</v>
      </c>
      <c r="H24" s="156">
        <f>IF($B24=" ","",IFERROR(INDEX(MMWR_RATING_RO_ROLLUP[],MATCH($B24,MMWR_RATING_RO_ROLLUP[MMWR_RATING_RO_ROLLUP],0),MATCH(H$9,MMWR_RATING_RO_ROLLUP[#Headers],0)),"ERROR"))</f>
        <v>173.186440678</v>
      </c>
      <c r="I24" s="156">
        <f>IF($B24=" ","",IFERROR(INDEX(MMWR_RATING_RO_ROLLUP[],MATCH($B24,MMWR_RATING_RO_ROLLUP[MMWR_RATING_RO_ROLLUP],0),MATCH(I$9,MMWR_RATING_RO_ROLLUP[#Headers],0)),"ERROR"))</f>
        <v>228.13395068790001</v>
      </c>
      <c r="J24" s="42"/>
      <c r="K24" s="42"/>
      <c r="L24" s="42"/>
      <c r="M24" s="42"/>
      <c r="N24" s="28"/>
    </row>
    <row r="25" spans="1:14" x14ac:dyDescent="0.2">
      <c r="A25" s="25"/>
      <c r="B25" s="8" t="str">
        <f>VLOOKUP($B$15,DISTRICT_RO[],11,0)</f>
        <v>Pittsburgh VSC</v>
      </c>
      <c r="C25" s="155">
        <f>IF($B25=" ","",IFERROR(INDEX(MMWR_RATING_RO_ROLLUP[],MATCH($B25,MMWR_RATING_RO_ROLLUP[MMWR_RATING_RO_ROLLUP],0),MATCH(C$9,MMWR_RATING_RO_ROLLUP[#Headers],0)),"ERROR"))</f>
        <v>4844</v>
      </c>
      <c r="D25" s="156">
        <f>IF($B25=" ","",IFERROR(INDEX(MMWR_RATING_RO_ROLLUP[],MATCH($B25,MMWR_RATING_RO_ROLLUP[MMWR_RATING_RO_ROLLUP],0),MATCH(D$9,MMWR_RATING_RO_ROLLUP[#Headers],0)),"ERROR"))</f>
        <v>130.63232865399999</v>
      </c>
      <c r="E25" s="157">
        <f>IF($B25=" ","",IFERROR(INDEX(MMWR_RATING_RO_ROLLUP[],MATCH($B25,MMWR_RATING_RO_ROLLUP[MMWR_RATING_RO_ROLLUP],0),MATCH(E$9,MMWR_RATING_RO_ROLLUP[#Headers],0))/$C25,"ERROR"))</f>
        <v>0.34310487200660611</v>
      </c>
      <c r="F25" s="155">
        <f>IF($B25=" ","",IFERROR(INDEX(MMWR_RATING_RO_ROLLUP[],MATCH($B25,MMWR_RATING_RO_ROLLUP[MMWR_RATING_RO_ROLLUP],0),MATCH(F$9,MMWR_RATING_RO_ROLLUP[#Headers],0)),"ERROR"))</f>
        <v>737</v>
      </c>
      <c r="G25" s="155">
        <f>IF($B25=" ","",IFERROR(INDEX(MMWR_RATING_RO_ROLLUP[],MATCH($B25,MMWR_RATING_RO_ROLLUP[MMWR_RATING_RO_ROLLUP],0),MATCH(G$9,MMWR_RATING_RO_ROLLUP[#Headers],0)),"ERROR"))</f>
        <v>12067</v>
      </c>
      <c r="H25" s="156">
        <f>IF($B25=" ","",IFERROR(INDEX(MMWR_RATING_RO_ROLLUP[],MATCH($B25,MMWR_RATING_RO_ROLLUP[MMWR_RATING_RO_ROLLUP],0),MATCH(H$9,MMWR_RATING_RO_ROLLUP[#Headers],0)),"ERROR"))</f>
        <v>184.22795115330001</v>
      </c>
      <c r="I25" s="156">
        <f>IF($B25=" ","",IFERROR(INDEX(MMWR_RATING_RO_ROLLUP[],MATCH($B25,MMWR_RATING_RO_ROLLUP[MMWR_RATING_RO_ROLLUP],0),MATCH(I$9,MMWR_RATING_RO_ROLLUP[#Headers],0)),"ERROR"))</f>
        <v>209.08676555900001</v>
      </c>
      <c r="J25" s="42"/>
      <c r="K25" s="42"/>
      <c r="L25" s="42"/>
      <c r="M25" s="42"/>
      <c r="N25" s="28"/>
    </row>
    <row r="26" spans="1:14" x14ac:dyDescent="0.2">
      <c r="A26" s="25"/>
      <c r="B26" s="8" t="str">
        <f>VLOOKUP($B$15,DISTRICT_RO[],12,0)</f>
        <v>Providence VSC</v>
      </c>
      <c r="C26" s="155">
        <f>IF($B26=" ","",IFERROR(INDEX(MMWR_RATING_RO_ROLLUP[],MATCH($B26,MMWR_RATING_RO_ROLLUP[MMWR_RATING_RO_ROLLUP],0),MATCH(C$9,MMWR_RATING_RO_ROLLUP[#Headers],0)),"ERROR"))</f>
        <v>2053</v>
      </c>
      <c r="D26" s="156">
        <f>IF($B26=" ","",IFERROR(INDEX(MMWR_RATING_RO_ROLLUP[],MATCH($B26,MMWR_RATING_RO_ROLLUP[MMWR_RATING_RO_ROLLUP],0),MATCH(D$9,MMWR_RATING_RO_ROLLUP[#Headers],0)),"ERROR"))</f>
        <v>90.119337554799998</v>
      </c>
      <c r="E26" s="157">
        <f>IF($B26=" ","",IFERROR(INDEX(MMWR_RATING_RO_ROLLUP[],MATCH($B26,MMWR_RATING_RO_ROLLUP[MMWR_RATING_RO_ROLLUP],0),MATCH(E$9,MMWR_RATING_RO_ROLLUP[#Headers],0))/$C26,"ERROR"))</f>
        <v>0.2610813443740867</v>
      </c>
      <c r="F26" s="155">
        <f>IF($B26=" ","",IFERROR(INDEX(MMWR_RATING_RO_ROLLUP[],MATCH($B26,MMWR_RATING_RO_ROLLUP[MMWR_RATING_RO_ROLLUP],0),MATCH(F$9,MMWR_RATING_RO_ROLLUP[#Headers],0)),"ERROR"))</f>
        <v>1317</v>
      </c>
      <c r="G26" s="155">
        <f>IF($B26=" ","",IFERROR(INDEX(MMWR_RATING_RO_ROLLUP[],MATCH($B26,MMWR_RATING_RO_ROLLUP[MMWR_RATING_RO_ROLLUP],0),MATCH(G$9,MMWR_RATING_RO_ROLLUP[#Headers],0)),"ERROR"))</f>
        <v>21742</v>
      </c>
      <c r="H26" s="156">
        <f>IF($B26=" ","",IFERROR(INDEX(MMWR_RATING_RO_ROLLUP[],MATCH($B26,MMWR_RATING_RO_ROLLUP[MMWR_RATING_RO_ROLLUP],0),MATCH(H$9,MMWR_RATING_RO_ROLLUP[#Headers],0)),"ERROR"))</f>
        <v>44.008352315899998</v>
      </c>
      <c r="I26" s="156">
        <f>IF($B26=" ","",IFERROR(INDEX(MMWR_RATING_RO_ROLLUP[],MATCH($B26,MMWR_RATING_RO_ROLLUP[MMWR_RATING_RO_ROLLUP],0),MATCH(I$9,MMWR_RATING_RO_ROLLUP[#Headers],0)),"ERROR"))</f>
        <v>54.914773249900001</v>
      </c>
      <c r="J26" s="42"/>
      <c r="K26" s="42"/>
      <c r="L26" s="42"/>
      <c r="M26" s="42"/>
      <c r="N26" s="28"/>
    </row>
    <row r="27" spans="1:14" x14ac:dyDescent="0.2">
      <c r="A27" s="25"/>
      <c r="B27" s="8" t="str">
        <f>VLOOKUP($B$15,DISTRICT_RO[],13,0)</f>
        <v>Roanoke VSC</v>
      </c>
      <c r="C27" s="155">
        <f>IF($B27=" ","",IFERROR(INDEX(MMWR_RATING_RO_ROLLUP[],MATCH($B27,MMWR_RATING_RO_ROLLUP[MMWR_RATING_RO_ROLLUP],0),MATCH(C$9,MMWR_RATING_RO_ROLLUP[#Headers],0)),"ERROR"))</f>
        <v>11036</v>
      </c>
      <c r="D27" s="156">
        <f>IF($B27=" ","",IFERROR(INDEX(MMWR_RATING_RO_ROLLUP[],MATCH($B27,MMWR_RATING_RO_ROLLUP[MMWR_RATING_RO_ROLLUP],0),MATCH(D$9,MMWR_RATING_RO_ROLLUP[#Headers],0)),"ERROR"))</f>
        <v>101.61924610369999</v>
      </c>
      <c r="E27" s="157">
        <f>IF($B27=" ","",IFERROR(INDEX(MMWR_RATING_RO_ROLLUP[],MATCH($B27,MMWR_RATING_RO_ROLLUP[MMWR_RATING_RO_ROLLUP],0),MATCH(E$9,MMWR_RATING_RO_ROLLUP[#Headers],0))/$C27,"ERROR"))</f>
        <v>0.27147517216382749</v>
      </c>
      <c r="F27" s="155">
        <f>IF($B27=" ","",IFERROR(INDEX(MMWR_RATING_RO_ROLLUP[],MATCH($B27,MMWR_RATING_RO_ROLLUP[MMWR_RATING_RO_ROLLUP],0),MATCH(F$9,MMWR_RATING_RO_ROLLUP[#Headers],0)),"ERROR"))</f>
        <v>2274</v>
      </c>
      <c r="G27" s="155">
        <f>IF($B27=" ","",IFERROR(INDEX(MMWR_RATING_RO_ROLLUP[],MATCH($B27,MMWR_RATING_RO_ROLLUP[MMWR_RATING_RO_ROLLUP],0),MATCH(G$9,MMWR_RATING_RO_ROLLUP[#Headers],0)),"ERROR"))</f>
        <v>34823</v>
      </c>
      <c r="H27" s="156">
        <f>IF($B27=" ","",IFERROR(INDEX(MMWR_RATING_RO_ROLLUP[],MATCH($B27,MMWR_RATING_RO_ROLLUP[MMWR_RATING_RO_ROLLUP],0),MATCH(H$9,MMWR_RATING_RO_ROLLUP[#Headers],0)),"ERROR"))</f>
        <v>166.76912928760001</v>
      </c>
      <c r="I27" s="156">
        <f>IF($B27=" ","",IFERROR(INDEX(MMWR_RATING_RO_ROLLUP[],MATCH($B27,MMWR_RATING_RO_ROLLUP[MMWR_RATING_RO_ROLLUP],0),MATCH(I$9,MMWR_RATING_RO_ROLLUP[#Headers],0)),"ERROR"))</f>
        <v>208.8086035092</v>
      </c>
      <c r="J27" s="42"/>
      <c r="K27" s="42"/>
      <c r="L27" s="42"/>
      <c r="M27" s="42"/>
      <c r="N27" s="28"/>
    </row>
    <row r="28" spans="1:14" x14ac:dyDescent="0.2">
      <c r="A28" s="25"/>
      <c r="B28" s="8" t="str">
        <f>VLOOKUP($B$15,DISTRICT_RO[],14,0)</f>
        <v>Togus VSC</v>
      </c>
      <c r="C28" s="155">
        <f>IF($B28=" ","",IFERROR(INDEX(MMWR_RATING_RO_ROLLUP[],MATCH($B28,MMWR_RATING_RO_ROLLUP[MMWR_RATING_RO_ROLLUP],0),MATCH(C$9,MMWR_RATING_RO_ROLLUP[#Headers],0)),"ERROR"))</f>
        <v>1427</v>
      </c>
      <c r="D28" s="156">
        <f>IF($B28=" ","",IFERROR(INDEX(MMWR_RATING_RO_ROLLUP[],MATCH($B28,MMWR_RATING_RO_ROLLUP[MMWR_RATING_RO_ROLLUP],0),MATCH(D$9,MMWR_RATING_RO_ROLLUP[#Headers],0)),"ERROR"))</f>
        <v>78.896285914499998</v>
      </c>
      <c r="E28" s="157">
        <f>IF($B28=" ","",IFERROR(INDEX(MMWR_RATING_RO_ROLLUP[],MATCH($B28,MMWR_RATING_RO_ROLLUP[MMWR_RATING_RO_ROLLUP],0),MATCH(E$9,MMWR_RATING_RO_ROLLUP[#Headers],0))/$C28,"ERROR"))</f>
        <v>0.13244569025928521</v>
      </c>
      <c r="F28" s="155">
        <f>IF($B28=" ","",IFERROR(INDEX(MMWR_RATING_RO_ROLLUP[],MATCH($B28,MMWR_RATING_RO_ROLLUP[MMWR_RATING_RO_ROLLUP],0),MATCH(F$9,MMWR_RATING_RO_ROLLUP[#Headers],0)),"ERROR"))</f>
        <v>291</v>
      </c>
      <c r="G28" s="155">
        <f>IF($B28=" ","",IFERROR(INDEX(MMWR_RATING_RO_ROLLUP[],MATCH($B28,MMWR_RATING_RO_ROLLUP[MMWR_RATING_RO_ROLLUP],0),MATCH(G$9,MMWR_RATING_RO_ROLLUP[#Headers],0)),"ERROR"))</f>
        <v>3977</v>
      </c>
      <c r="H28" s="156">
        <f>IF($B28=" ","",IFERROR(INDEX(MMWR_RATING_RO_ROLLUP[],MATCH($B28,MMWR_RATING_RO_ROLLUP[MMWR_RATING_RO_ROLLUP],0),MATCH(H$9,MMWR_RATING_RO_ROLLUP[#Headers],0)),"ERROR"))</f>
        <v>131.18556701029999</v>
      </c>
      <c r="I28" s="156">
        <f>IF($B28=" ","",IFERROR(INDEX(MMWR_RATING_RO_ROLLUP[],MATCH($B28,MMWR_RATING_RO_ROLLUP[MMWR_RATING_RO_ROLLUP],0),MATCH(I$9,MMWR_RATING_RO_ROLLUP[#Headers],0)),"ERROR"))</f>
        <v>130.53658536590001</v>
      </c>
      <c r="J28" s="42"/>
      <c r="K28" s="42"/>
      <c r="L28" s="42"/>
      <c r="M28" s="42"/>
      <c r="N28" s="28"/>
    </row>
    <row r="29" spans="1:14" x14ac:dyDescent="0.2">
      <c r="A29" s="25"/>
      <c r="B29" s="8" t="str">
        <f>VLOOKUP($B$15,DISTRICT_RO[],15,0)</f>
        <v>White River Junction VSC</v>
      </c>
      <c r="C29" s="155">
        <f>IF($B29=" ","",IFERROR(INDEX(MMWR_RATING_RO_ROLLUP[],MATCH($B29,MMWR_RATING_RO_ROLLUP[MMWR_RATING_RO_ROLLUP],0),MATCH(C$9,MMWR_RATING_RO_ROLLUP[#Headers],0)),"ERROR"))</f>
        <v>377</v>
      </c>
      <c r="D29" s="156">
        <f>IF($B29=" ","",IFERROR(INDEX(MMWR_RATING_RO_ROLLUP[],MATCH($B29,MMWR_RATING_RO_ROLLUP[MMWR_RATING_RO_ROLLUP],0),MATCH(D$9,MMWR_RATING_RO_ROLLUP[#Headers],0)),"ERROR"))</f>
        <v>104.649867374</v>
      </c>
      <c r="E29" s="157">
        <f>IF($B29=" ","",IFERROR(INDEX(MMWR_RATING_RO_ROLLUP[],MATCH($B29,MMWR_RATING_RO_ROLLUP[MMWR_RATING_RO_ROLLUP],0),MATCH(E$9,MMWR_RATING_RO_ROLLUP[#Headers],0))/$C29,"ERROR"))</f>
        <v>0.32360742705570295</v>
      </c>
      <c r="F29" s="155">
        <f>IF($B29=" ","",IFERROR(INDEX(MMWR_RATING_RO_ROLLUP[],MATCH($B29,MMWR_RATING_RO_ROLLUP[MMWR_RATING_RO_ROLLUP],0),MATCH(F$9,MMWR_RATING_RO_ROLLUP[#Headers],0)),"ERROR"))</f>
        <v>76</v>
      </c>
      <c r="G29" s="155">
        <f>IF($B29=" ","",IFERROR(INDEX(MMWR_RATING_RO_ROLLUP[],MATCH($B29,MMWR_RATING_RO_ROLLUP[MMWR_RATING_RO_ROLLUP],0),MATCH(G$9,MMWR_RATING_RO_ROLLUP[#Headers],0)),"ERROR"))</f>
        <v>1389</v>
      </c>
      <c r="H29" s="156">
        <f>IF($B29=" ","",IFERROR(INDEX(MMWR_RATING_RO_ROLLUP[],MATCH($B29,MMWR_RATING_RO_ROLLUP[MMWR_RATING_RO_ROLLUP],0),MATCH(H$9,MMWR_RATING_RO_ROLLUP[#Headers],0)),"ERROR"))</f>
        <v>138.34210526320001</v>
      </c>
      <c r="I29" s="156">
        <f>IF($B29=" ","",IFERROR(INDEX(MMWR_RATING_RO_ROLLUP[],MATCH($B29,MMWR_RATING_RO_ROLLUP[MMWR_RATING_RO_ROLLUP],0),MATCH(I$9,MMWR_RATING_RO_ROLLUP[#Headers],0)),"ERROR"))</f>
        <v>168.15982721380001</v>
      </c>
      <c r="J29" s="42"/>
      <c r="K29" s="42"/>
      <c r="L29" s="42"/>
      <c r="M29" s="42"/>
      <c r="N29" s="28"/>
    </row>
    <row r="30" spans="1:14" x14ac:dyDescent="0.2">
      <c r="A30" s="25"/>
      <c r="B30" s="8" t="str">
        <f>VLOOKUP($B$15,DISTRICT_RO[],16,0)</f>
        <v>Wilmington VSC</v>
      </c>
      <c r="C30" s="155">
        <f>IF($B30=" ","",IFERROR(INDEX(MMWR_RATING_RO_ROLLUP[],MATCH($B30,MMWR_RATING_RO_ROLLUP[MMWR_RATING_RO_ROLLUP],0),MATCH(C$9,MMWR_RATING_RO_ROLLUP[#Headers],0)),"ERROR"))</f>
        <v>913</v>
      </c>
      <c r="D30" s="156">
        <f>IF($B30=" ","",IFERROR(INDEX(MMWR_RATING_RO_ROLLUP[],MATCH($B30,MMWR_RATING_RO_ROLLUP[MMWR_RATING_RO_ROLLUP],0),MATCH(D$9,MMWR_RATING_RO_ROLLUP[#Headers],0)),"ERROR"))</f>
        <v>113.1193866375</v>
      </c>
      <c r="E30" s="157">
        <f>IF($B30=" ","",IFERROR(INDEX(MMWR_RATING_RO_ROLLUP[],MATCH($B30,MMWR_RATING_RO_ROLLUP[MMWR_RATING_RO_ROLLUP],0),MATCH(E$9,MMWR_RATING_RO_ROLLUP[#Headers],0))/$C30,"ERROR"))</f>
        <v>0.32311062431544357</v>
      </c>
      <c r="F30" s="155">
        <f>IF($B30=" ","",IFERROR(INDEX(MMWR_RATING_RO_ROLLUP[],MATCH($B30,MMWR_RATING_RO_ROLLUP[MMWR_RATING_RO_ROLLUP],0),MATCH(F$9,MMWR_RATING_RO_ROLLUP[#Headers],0)),"ERROR"))</f>
        <v>136</v>
      </c>
      <c r="G30" s="155">
        <f>IF($B30=" ","",IFERROR(INDEX(MMWR_RATING_RO_ROLLUP[],MATCH($B30,MMWR_RATING_RO_ROLLUP[MMWR_RATING_RO_ROLLUP],0),MATCH(G$9,MMWR_RATING_RO_ROLLUP[#Headers],0)),"ERROR"))</f>
        <v>2404</v>
      </c>
      <c r="H30" s="156">
        <f>IF($B30=" ","",IFERROR(INDEX(MMWR_RATING_RO_ROLLUP[],MATCH($B30,MMWR_RATING_RO_ROLLUP[MMWR_RATING_RO_ROLLUP],0),MATCH(H$9,MMWR_RATING_RO_ROLLUP[#Headers],0)),"ERROR"))</f>
        <v>188.8529411765</v>
      </c>
      <c r="I30" s="156">
        <f>IF($B30=" ","",IFERROR(INDEX(MMWR_RATING_RO_ROLLUP[],MATCH($B30,MMWR_RATING_RO_ROLLUP[MMWR_RATING_RO_ROLLUP],0),MATCH(I$9,MMWR_RATING_RO_ROLLUP[#Headers],0)),"ERROR"))</f>
        <v>222.97628951749999</v>
      </c>
      <c r="J30" s="42"/>
      <c r="K30" s="42"/>
      <c r="L30" s="42"/>
      <c r="M30" s="42"/>
      <c r="N30" s="28"/>
    </row>
    <row r="31" spans="1:14" x14ac:dyDescent="0.2">
      <c r="A31" s="25"/>
      <c r="B31" s="8" t="str">
        <f>VLOOKUP($B$15,DISTRICT_RO[],17,0)</f>
        <v>Winston-Salem VSC</v>
      </c>
      <c r="C31" s="155">
        <f>IF($B31=" ","",IFERROR(INDEX(MMWR_RATING_RO_ROLLUP[],MATCH($B31,MMWR_RATING_RO_ROLLUP[MMWR_RATING_RO_ROLLUP],0),MATCH(C$9,MMWR_RATING_RO_ROLLUP[#Headers],0)),"ERROR"))</f>
        <v>17365</v>
      </c>
      <c r="D31" s="156">
        <f>IF($B31=" ","",IFERROR(INDEX(MMWR_RATING_RO_ROLLUP[],MATCH($B31,MMWR_RATING_RO_ROLLUP[MMWR_RATING_RO_ROLLUP],0),MATCH(D$9,MMWR_RATING_RO_ROLLUP[#Headers],0)),"ERROR"))</f>
        <v>114.5147135042</v>
      </c>
      <c r="E31" s="157">
        <f>IF($B31=" ","",IFERROR(INDEX(MMWR_RATING_RO_ROLLUP[],MATCH($B31,MMWR_RATING_RO_ROLLUP[MMWR_RATING_RO_ROLLUP],0),MATCH(E$9,MMWR_RATING_RO_ROLLUP[#Headers],0))/$C31,"ERROR"))</f>
        <v>0.31102792974373739</v>
      </c>
      <c r="F31" s="155">
        <f>IF($B31=" ","",IFERROR(INDEX(MMWR_RATING_RO_ROLLUP[],MATCH($B31,MMWR_RATING_RO_ROLLUP[MMWR_RATING_RO_ROLLUP],0),MATCH(F$9,MMWR_RATING_RO_ROLLUP[#Headers],0)),"ERROR"))</f>
        <v>3507</v>
      </c>
      <c r="G31" s="155">
        <f>IF($B31=" ","",IFERROR(INDEX(MMWR_RATING_RO_ROLLUP[],MATCH($B31,MMWR_RATING_RO_ROLLUP[MMWR_RATING_RO_ROLLUP],0),MATCH(G$9,MMWR_RATING_RO_ROLLUP[#Headers],0)),"ERROR"))</f>
        <v>50801</v>
      </c>
      <c r="H31" s="156">
        <f>IF($B31=" ","",IFERROR(INDEX(MMWR_RATING_RO_ROLLUP[],MATCH($B31,MMWR_RATING_RO_ROLLUP[MMWR_RATING_RO_ROLLUP],0),MATCH(H$9,MMWR_RATING_RO_ROLLUP[#Headers],0)),"ERROR"))</f>
        <v>167.72084402620001</v>
      </c>
      <c r="I31" s="156">
        <f>IF($B31=" ","",IFERROR(INDEX(MMWR_RATING_RO_ROLLUP[],MATCH($B31,MMWR_RATING_RO_ROLLUP[MMWR_RATING_RO_ROLLUP],0),MATCH(I$9,MMWR_RATING_RO_ROLLUP[#Headers],0)),"ERROR"))</f>
        <v>205.146847503</v>
      </c>
      <c r="J31" s="42"/>
      <c r="K31" s="42"/>
      <c r="L31" s="42"/>
      <c r="M31" s="42"/>
      <c r="N31" s="28"/>
    </row>
    <row r="32" spans="1:14" x14ac:dyDescent="0.2">
      <c r="A32" s="25"/>
      <c r="B32" s="339" t="s">
        <v>743</v>
      </c>
      <c r="C32" s="340"/>
      <c r="D32" s="340"/>
      <c r="E32" s="340"/>
      <c r="F32" s="340"/>
      <c r="G32" s="340"/>
      <c r="H32" s="340"/>
      <c r="I32" s="340"/>
      <c r="J32" s="340"/>
      <c r="K32" s="340"/>
      <c r="L32" s="340"/>
      <c r="M32" s="390"/>
      <c r="N32" s="28"/>
    </row>
    <row r="33" spans="1:14" x14ac:dyDescent="0.2">
      <c r="A33" s="25"/>
      <c r="B33" s="11" t="s">
        <v>706</v>
      </c>
      <c r="C33" s="155">
        <f>IF($B33=" ","",IFERROR(INDEX(MMWR_RATING_RO_ROLLUP[],MATCH($B33,MMWR_RATING_RO_ROLLUP[MMWR_RATING_RO_ROLLUP],0),MATCH(C$9,MMWR_RATING_RO_ROLLUP[#Headers],0)),"ERROR"))</f>
        <v>19557</v>
      </c>
      <c r="D33" s="156">
        <f>IF($B33=" ","",IFERROR(INDEX(MMWR_RATING_RO_ROLLUP[],MATCH($B33,MMWR_RATING_RO_ROLLUP[MMWR_RATING_RO_ROLLUP],0),MATCH(D$9,MMWR_RATING_RO_ROLLUP[#Headers],0)),"ERROR"))</f>
        <v>61.343150790000003</v>
      </c>
      <c r="E33" s="157">
        <f>IF($B33=" ","",IFERROR(INDEX(MMWR_RATING_RO_ROLLUP[],MATCH($B33,MMWR_RATING_RO_ROLLUP[MMWR_RATING_RO_ROLLUP],0),MATCH(E$9,MMWR_RATING_RO_ROLLUP[#Headers],0))/$C33,"ERROR"))</f>
        <v>9.7918903717339065E-2</v>
      </c>
      <c r="F33" s="155">
        <f>IF($B33=" ","",IFERROR(INDEX(MMWR_RATING_RO_ROLLUP[],MATCH($B33,MMWR_RATING_RO_ROLLUP[MMWR_RATING_RO_ROLLUP],0),MATCH(F$9,MMWR_RATING_RO_ROLLUP[#Headers],0)),"ERROR"))</f>
        <v>7917</v>
      </c>
      <c r="G33" s="155">
        <f>IF($B33=" ","",IFERROR(INDEX(MMWR_RATING_RO_ROLLUP[],MATCH($B33,MMWR_RATING_RO_ROLLUP[MMWR_RATING_RO_ROLLUP],0),MATCH(G$9,MMWR_RATING_RO_ROLLUP[#Headers],0)),"ERROR"))</f>
        <v>136415</v>
      </c>
      <c r="H33" s="156">
        <f>IF($B33=" ","",IFERROR(INDEX(MMWR_RATING_RO_ROLLUP[],MATCH($B33,MMWR_RATING_RO_ROLLUP[MMWR_RATING_RO_ROLLUP],0),MATCH(H$9,MMWR_RATING_RO_ROLLUP[#Headers],0)),"ERROR"))</f>
        <v>66.383604900799995</v>
      </c>
      <c r="I33" s="156">
        <f>IF($B33=" ","",IFERROR(INDEX(MMWR_RATING_RO_ROLLUP[],MATCH($B33,MMWR_RATING_RO_ROLLUP[MMWR_RATING_RO_ROLLUP],0),MATCH(I$9,MMWR_RATING_RO_ROLLUP[#Headers],0)),"ERROR"))</f>
        <v>64.4353553495</v>
      </c>
      <c r="J33" s="42"/>
      <c r="K33" s="42"/>
      <c r="L33" s="42"/>
      <c r="M33" s="42"/>
      <c r="N33" s="28"/>
    </row>
    <row r="34" spans="1:14" x14ac:dyDescent="0.2">
      <c r="A34" s="25"/>
      <c r="B34" s="12" t="s">
        <v>218</v>
      </c>
      <c r="C34" s="155">
        <f>IF($B34=" ","",IFERROR(INDEX(MMWR_RATING_RO_ROLLUP[],MATCH($B34,MMWR_RATING_RO_ROLLUP[MMWR_RATING_RO_ROLLUP],0),MATCH(C$9,MMWR_RATING_RO_ROLLUP[#Headers],0)),"ERROR"))</f>
        <v>5797</v>
      </c>
      <c r="D34" s="156">
        <f>IF($B34=" ","",IFERROR(INDEX(MMWR_RATING_RO_ROLLUP[],MATCH($B34,MMWR_RATING_RO_ROLLUP[MMWR_RATING_RO_ROLLUP],0),MATCH(D$9,MMWR_RATING_RO_ROLLUP[#Headers],0)),"ERROR"))</f>
        <v>66.720200103500005</v>
      </c>
      <c r="E34" s="157">
        <f>IF($B34=" ","",IFERROR(INDEX(MMWR_RATING_RO_ROLLUP[],MATCH($B34,MMWR_RATING_RO_ROLLUP[MMWR_RATING_RO_ROLLUP],0),MATCH(E$9,MMWR_RATING_RO_ROLLUP[#Headers],0))/$C34,"ERROR"))</f>
        <v>0.11333448335345868</v>
      </c>
      <c r="F34" s="155">
        <f>IF($B34=" ","",IFERROR(INDEX(MMWR_RATING_RO_ROLLUP[],MATCH($B34,MMWR_RATING_RO_ROLLUP[MMWR_RATING_RO_ROLLUP],0),MATCH(F$9,MMWR_RATING_RO_ROLLUP[#Headers],0)),"ERROR"))</f>
        <v>2643</v>
      </c>
      <c r="G34" s="155">
        <f>IF($B34=" ","",IFERROR(INDEX(MMWR_RATING_RO_ROLLUP[],MATCH($B34,MMWR_RATING_RO_ROLLUP[MMWR_RATING_RO_ROLLUP],0),MATCH(G$9,MMWR_RATING_RO_ROLLUP[#Headers],0)),"ERROR"))</f>
        <v>43492</v>
      </c>
      <c r="H34" s="156">
        <f>IF($B34=" ","",IFERROR(INDEX(MMWR_RATING_RO_ROLLUP[],MATCH($B34,MMWR_RATING_RO_ROLLUP[MMWR_RATING_RO_ROLLUP],0),MATCH(H$9,MMWR_RATING_RO_ROLLUP[#Headers],0)),"ERROR"))</f>
        <v>75.191449110899995</v>
      </c>
      <c r="I34" s="156">
        <f>IF($B34=" ","",IFERROR(INDEX(MMWR_RATING_RO_ROLLUP[],MATCH($B34,MMWR_RATING_RO_ROLLUP[MMWR_RATING_RO_ROLLUP],0),MATCH(I$9,MMWR_RATING_RO_ROLLUP[#Headers],0)),"ERROR"))</f>
        <v>72.299480364199994</v>
      </c>
      <c r="J34" s="42"/>
      <c r="K34" s="42"/>
      <c r="L34" s="42"/>
      <c r="M34" s="42"/>
      <c r="N34" s="28"/>
    </row>
    <row r="35" spans="1:14" x14ac:dyDescent="0.2">
      <c r="A35" s="43"/>
      <c r="B35" s="12" t="s">
        <v>217</v>
      </c>
      <c r="C35" s="155">
        <f>IF($B35=" ","",IFERROR(INDEX(MMWR_RATING_RO_ROLLUP[],MATCH($B35,MMWR_RATING_RO_ROLLUP[MMWR_RATING_RO_ROLLUP],0),MATCH(C$9,MMWR_RATING_RO_ROLLUP[#Headers],0)),"ERROR"))</f>
        <v>5178</v>
      </c>
      <c r="D35" s="156">
        <f>IF($B35=" ","",IFERROR(INDEX(MMWR_RATING_RO_ROLLUP[],MATCH($B35,MMWR_RATING_RO_ROLLUP[MMWR_RATING_RO_ROLLUP],0),MATCH(D$9,MMWR_RATING_RO_ROLLUP[#Headers],0)),"ERROR"))</f>
        <v>56.236577829300003</v>
      </c>
      <c r="E35" s="157">
        <f>IF($B35=" ","",IFERROR(INDEX(MMWR_RATING_RO_ROLLUP[],MATCH($B35,MMWR_RATING_RO_ROLLUP[MMWR_RATING_RO_ROLLUP],0),MATCH(E$9,MMWR_RATING_RO_ROLLUP[#Headers],0))/$C35,"ERROR"))</f>
        <v>9.2506759366550798E-2</v>
      </c>
      <c r="F35" s="155">
        <f>IF($B35=" ","",IFERROR(INDEX(MMWR_RATING_RO_ROLLUP[],MATCH($B35,MMWR_RATING_RO_ROLLUP[MMWR_RATING_RO_ROLLUP],0),MATCH(F$9,MMWR_RATING_RO_ROLLUP[#Headers],0)),"ERROR"))</f>
        <v>1770</v>
      </c>
      <c r="G35" s="155">
        <f>IF($B35=" ","",IFERROR(INDEX(MMWR_RATING_RO_ROLLUP[],MATCH($B35,MMWR_RATING_RO_ROLLUP[MMWR_RATING_RO_ROLLUP],0),MATCH(G$9,MMWR_RATING_RO_ROLLUP[#Headers],0)),"ERROR"))</f>
        <v>38196</v>
      </c>
      <c r="H35" s="156">
        <f>IF($B35=" ","",IFERROR(INDEX(MMWR_RATING_RO_ROLLUP[],MATCH($B35,MMWR_RATING_RO_ROLLUP[MMWR_RATING_RO_ROLLUP],0),MATCH(H$9,MMWR_RATING_RO_ROLLUP[#Headers],0)),"ERROR"))</f>
        <v>56.315819208999997</v>
      </c>
      <c r="I35" s="156">
        <f>IF($B35=" ","",IFERROR(INDEX(MMWR_RATING_RO_ROLLUP[],MATCH($B35,MMWR_RATING_RO_ROLLUP[MMWR_RATING_RO_ROLLUP],0),MATCH(I$9,MMWR_RATING_RO_ROLLUP[#Headers],0)),"ERROR"))</f>
        <v>54.742826473999997</v>
      </c>
      <c r="J35" s="42"/>
      <c r="K35" s="42"/>
      <c r="L35" s="42"/>
      <c r="M35" s="42"/>
      <c r="N35" s="28"/>
    </row>
    <row r="36" spans="1:14" x14ac:dyDescent="0.2">
      <c r="A36" s="25"/>
      <c r="B36" s="12" t="s">
        <v>220</v>
      </c>
      <c r="C36" s="155">
        <f>IF($B36=" ","",IFERROR(INDEX(MMWR_RATING_RO_ROLLUP[],MATCH($B36,MMWR_RATING_RO_ROLLUP[MMWR_RATING_RO_ROLLUP],0),MATCH(C$9,MMWR_RATING_RO_ROLLUP[#Headers],0)),"ERROR"))</f>
        <v>8082</v>
      </c>
      <c r="D36" s="156">
        <f>IF($B36=" ","",IFERROR(INDEX(MMWR_RATING_RO_ROLLUP[],MATCH($B36,MMWR_RATING_RO_ROLLUP[MMWR_RATING_RO_ROLLUP],0),MATCH(D$9,MMWR_RATING_RO_ROLLUP[#Headers],0)),"ERROR"))</f>
        <v>53.9966592428</v>
      </c>
      <c r="E36" s="157">
        <f>IF($B36=" ","",IFERROR(INDEX(MMWR_RATING_RO_ROLLUP[],MATCH($B36,MMWR_RATING_RO_ROLLUP[MMWR_RATING_RO_ROLLUP],0),MATCH(E$9,MMWR_RATING_RO_ROLLUP[#Headers],0))/$C36,"ERROR"))</f>
        <v>6.6691413016580048E-2</v>
      </c>
      <c r="F36" s="155">
        <f>IF($B36=" ","",IFERROR(INDEX(MMWR_RATING_RO_ROLLUP[],MATCH($B36,MMWR_RATING_RO_ROLLUP[MMWR_RATING_RO_ROLLUP],0),MATCH(F$9,MMWR_RATING_RO_ROLLUP[#Headers],0)),"ERROR"))</f>
        <v>3225</v>
      </c>
      <c r="G36" s="155">
        <f>IF($B36=" ","",IFERROR(INDEX(MMWR_RATING_RO_ROLLUP[],MATCH($B36,MMWR_RATING_RO_ROLLUP[MMWR_RATING_RO_ROLLUP],0),MATCH(G$9,MMWR_RATING_RO_ROLLUP[#Headers],0)),"ERROR"))</f>
        <v>49652</v>
      </c>
      <c r="H36" s="156">
        <f>IF($B36=" ","",IFERROR(INDEX(MMWR_RATING_RO_ROLLUP[],MATCH($B36,MMWR_RATING_RO_ROLLUP[MMWR_RATING_RO_ROLLUP],0),MATCH(H$9,MMWR_RATING_RO_ROLLUP[#Headers],0)),"ERROR"))</f>
        <v>65.799379845000004</v>
      </c>
      <c r="I36" s="156">
        <f>IF($B36=" ","",IFERROR(INDEX(MMWR_RATING_RO_ROLLUP[],MATCH($B36,MMWR_RATING_RO_ROLLUP[MMWR_RATING_RO_ROLLUP],0),MATCH(I$9,MMWR_RATING_RO_ROLLUP[#Headers],0)),"ERROR"))</f>
        <v>64.720353661499999</v>
      </c>
      <c r="J36" s="42"/>
      <c r="K36" s="42"/>
      <c r="L36" s="42"/>
      <c r="M36" s="42"/>
      <c r="N36" s="28"/>
    </row>
    <row r="37" spans="1:14" x14ac:dyDescent="0.2">
      <c r="A37" s="25"/>
      <c r="B37" s="13" t="s">
        <v>232</v>
      </c>
      <c r="C37" s="155">
        <f>IF($B37=" ","",IFERROR(INDEX(MMWR_RATING_RO_ROLLUP[],MATCH($B37,MMWR_RATING_RO_ROLLUP[MMWR_RATING_RO_ROLLUP],0),MATCH(C$9,MMWR_RATING_RO_ROLLUP[#Headers],0)),"ERROR"))</f>
        <v>500</v>
      </c>
      <c r="D37" s="156">
        <f>IF($B37=" ","",IFERROR(INDEX(MMWR_RATING_RO_ROLLUP[],MATCH($B37,MMWR_RATING_RO_ROLLUP[MMWR_RATING_RO_ROLLUP],0),MATCH(D$9,MMWR_RATING_RO_ROLLUP[#Headers],0)),"ERROR"))</f>
        <v>170.63399999999999</v>
      </c>
      <c r="E37" s="157">
        <f>IF($B37=" ","",IFERROR(INDEX(MMWR_RATING_RO_ROLLUP[],MATCH($B37,MMWR_RATING_RO_ROLLUP[MMWR_RATING_RO_ROLLUP],0),MATCH(E$9,MMWR_RATING_RO_ROLLUP[#Headers],0))/$C37,"ERROR"))</f>
        <v>0.48</v>
      </c>
      <c r="F37" s="155">
        <f>IF($B37=" ","",IFERROR(INDEX(MMWR_RATING_RO_ROLLUP[],MATCH($B37,MMWR_RATING_RO_ROLLUP[MMWR_RATING_RO_ROLLUP],0),MATCH(F$9,MMWR_RATING_RO_ROLLUP[#Headers],0)),"ERROR"))</f>
        <v>279</v>
      </c>
      <c r="G37" s="155">
        <f>IF($B37=" ","",IFERROR(INDEX(MMWR_RATING_RO_ROLLUP[],MATCH($B37,MMWR_RATING_RO_ROLLUP[MMWR_RATING_RO_ROLLUP],0),MATCH(G$9,MMWR_RATING_RO_ROLLUP[#Headers],0)),"ERROR"))</f>
        <v>5075</v>
      </c>
      <c r="H37" s="156">
        <f>IF($B37=" ","",IFERROR(INDEX(MMWR_RATING_RO_ROLLUP[],MATCH($B37,MMWR_RATING_RO_ROLLUP[MMWR_RATING_RO_ROLLUP],0),MATCH(H$9,MMWR_RATING_RO_ROLLUP[#Headers],0)),"ERROR"))</f>
        <v>53.569892473099998</v>
      </c>
      <c r="I37" s="156">
        <f>IF($B37=" ","",IFERROR(INDEX(MMWR_RATING_RO_ROLLUP[],MATCH($B37,MMWR_RATING_RO_ROLLUP[MMWR_RATING_RO_ROLLUP],0),MATCH(I$9,MMWR_RATING_RO_ROLLUP[#Headers],0)),"ERROR"))</f>
        <v>67.201576354699995</v>
      </c>
      <c r="J37" s="42"/>
      <c r="K37" s="42"/>
      <c r="L37" s="42"/>
      <c r="M37" s="42"/>
      <c r="N37" s="28"/>
    </row>
    <row r="38" spans="1:14" x14ac:dyDescent="0.2">
      <c r="A38" s="25"/>
      <c r="B38" s="339" t="s">
        <v>926</v>
      </c>
      <c r="C38" s="340"/>
      <c r="D38" s="340"/>
      <c r="E38" s="340"/>
      <c r="F38" s="340"/>
      <c r="G38" s="340"/>
      <c r="H38" s="340"/>
      <c r="I38" s="340"/>
      <c r="J38" s="340"/>
      <c r="K38" s="340"/>
      <c r="L38" s="340"/>
      <c r="M38" s="390"/>
      <c r="N38" s="28"/>
    </row>
    <row r="39" spans="1:14" x14ac:dyDescent="0.2">
      <c r="A39" s="25"/>
      <c r="B39" s="44" t="s">
        <v>707</v>
      </c>
      <c r="C39" s="155">
        <f>IF($B39=" ","",IFERROR(INDEX(MMWR_RATING_RO_ROLLUP[],MATCH($B39,MMWR_RATING_RO_ROLLUP[MMWR_RATING_RO_ROLLUP],0),MATCH(C$9,MMWR_RATING_RO_ROLLUP[#Headers],0)),"ERROR"))</f>
        <v>8283</v>
      </c>
      <c r="D39" s="156">
        <f>IF($B39=" ","",IFERROR(INDEX(MMWR_RATING_RO_ROLLUP[],MATCH($B39,MMWR_RATING_RO_ROLLUP[MMWR_RATING_RO_ROLLUP],0),MATCH(D$9,MMWR_RATING_RO_ROLLUP[#Headers],0)),"ERROR"))</f>
        <v>70.354098756499994</v>
      </c>
      <c r="E39" s="157">
        <f>IF($B39=" ","",IFERROR(INDEX(MMWR_RATING_RO_ROLLUP[],MATCH($B39,MMWR_RATING_RO_ROLLUP[MMWR_RATING_RO_ROLLUP],0),MATCH(E$9,MMWR_RATING_RO_ROLLUP[#Headers],0))/$C39,"ERROR"))</f>
        <v>0.13968368948448628</v>
      </c>
      <c r="F39" s="155">
        <f>IF($B39=" ","",IFERROR(INDEX(MMWR_RATING_RO_ROLLUP[],MATCH($B39,MMWR_RATING_RO_ROLLUP[MMWR_RATING_RO_ROLLUP],0),MATCH(F$9,MMWR_RATING_RO_ROLLUP[#Headers],0)),"ERROR"))</f>
        <v>1325</v>
      </c>
      <c r="G39" s="155">
        <f>IF($B39=" ","",IFERROR(INDEX(MMWR_RATING_RO_ROLLUP[],MATCH($B39,MMWR_RATING_RO_ROLLUP[MMWR_RATING_RO_ROLLUP],0),MATCH(G$9,MMWR_RATING_RO_ROLLUP[#Headers],0)),"ERROR"))</f>
        <v>23037</v>
      </c>
      <c r="H39" s="156">
        <f>IF($B39=" ","",IFERROR(INDEX(MMWR_RATING_RO_ROLLUP[],MATCH($B39,MMWR_RATING_RO_ROLLUP[MMWR_RATING_RO_ROLLUP],0),MATCH(H$9,MMWR_RATING_RO_ROLLUP[#Headers],0)),"ERROR"))</f>
        <v>125.8203773585</v>
      </c>
      <c r="I39" s="156">
        <f>IF($B39=" ","",IFERROR(INDEX(MMWR_RATING_RO_ROLLUP[],MATCH($B39,MMWR_RATING_RO_ROLLUP[MMWR_RATING_RO_ROLLUP],0),MATCH(I$9,MMWR_RATING_RO_ROLLUP[#Headers],0)),"ERROR"))</f>
        <v>133.30980596430001</v>
      </c>
      <c r="J39" s="42"/>
      <c r="K39" s="42"/>
      <c r="L39" s="42"/>
      <c r="M39" s="42"/>
      <c r="N39" s="28"/>
    </row>
    <row r="40" spans="1:14" x14ac:dyDescent="0.2">
      <c r="A40" s="25"/>
      <c r="B40" s="53" t="s">
        <v>968</v>
      </c>
      <c r="C40" s="155">
        <f>IF($B40=" ","",IFERROR(INDEX(MMWR_RATING_RO_ROLLUP[],MATCH($B40,MMWR_RATING_RO_ROLLUP[MMWR_RATING_RO_ROLLUP],0),MATCH(C$9,MMWR_RATING_RO_ROLLUP[#Headers],0)),"ERROR"))</f>
        <v>2753</v>
      </c>
      <c r="D40" s="156">
        <f>IF($B40=" ","",IFERROR(INDEX(MMWR_RATING_RO_ROLLUP[],MATCH($B40,MMWR_RATING_RO_ROLLUP[MMWR_RATING_RO_ROLLUP],0),MATCH(D$9,MMWR_RATING_RO_ROLLUP[#Headers],0)),"ERROR"))</f>
        <v>63.971667272099999</v>
      </c>
      <c r="E40" s="157">
        <f>IF($B40=" ","",IFERROR(INDEX(MMWR_RATING_RO_ROLLUP[],MATCH($B40,MMWR_RATING_RO_ROLLUP[MMWR_RATING_RO_ROLLUP],0),MATCH(E$9,MMWR_RATING_RO_ROLLUP[#Headers],0))/$C40,"ERROR"))</f>
        <v>0.11623683254631312</v>
      </c>
      <c r="F40" s="155">
        <f>IF($B40=" ","",IFERROR(INDEX(MMWR_RATING_RO_ROLLUP[],MATCH($B40,MMWR_RATING_RO_ROLLUP[MMWR_RATING_RO_ROLLUP],0),MATCH(F$9,MMWR_RATING_RO_ROLLUP[#Headers],0)),"ERROR"))</f>
        <v>537</v>
      </c>
      <c r="G40" s="155">
        <f>IF($B40=" ","",IFERROR(INDEX(MMWR_RATING_RO_ROLLUP[],MATCH($B40,MMWR_RATING_RO_ROLLUP[MMWR_RATING_RO_ROLLUP],0),MATCH(G$9,MMWR_RATING_RO_ROLLUP[#Headers],0)),"ERROR"))</f>
        <v>9607</v>
      </c>
      <c r="H40" s="156">
        <f>IF($B40=" ","",IFERROR(INDEX(MMWR_RATING_RO_ROLLUP[],MATCH($B40,MMWR_RATING_RO_ROLLUP[MMWR_RATING_RO_ROLLUP],0),MATCH(H$9,MMWR_RATING_RO_ROLLUP[#Headers],0)),"ERROR"))</f>
        <v>104.4357541899</v>
      </c>
      <c r="I40" s="156">
        <f>IF($B40=" ","",IFERROR(INDEX(MMWR_RATING_RO_ROLLUP[],MATCH($B40,MMWR_RATING_RO_ROLLUP[MMWR_RATING_RO_ROLLUP],0),MATCH(I$9,MMWR_RATING_RO_ROLLUP[#Headers],0)),"ERROR"))</f>
        <v>118.70802539810001</v>
      </c>
      <c r="J40" s="42"/>
      <c r="K40" s="42"/>
      <c r="L40" s="42"/>
      <c r="M40" s="42"/>
      <c r="N40" s="28"/>
    </row>
    <row r="41" spans="1:14" x14ac:dyDescent="0.2">
      <c r="A41" s="25"/>
      <c r="B41" s="53" t="s">
        <v>969</v>
      </c>
      <c r="C41" s="155">
        <f>IF($B41=" ","",IFERROR(INDEX(MMWR_RATING_RO_ROLLUP[],MATCH($B41,MMWR_RATING_RO_ROLLUP[MMWR_RATING_RO_ROLLUP],0),MATCH(C$9,MMWR_RATING_RO_ROLLUP[#Headers],0)),"ERROR"))</f>
        <v>2778</v>
      </c>
      <c r="D41" s="156">
        <f>IF($B41=" ","",IFERROR(INDEX(MMWR_RATING_RO_ROLLUP[],MATCH($B41,MMWR_RATING_RO_ROLLUP[MMWR_RATING_RO_ROLLUP],0),MATCH(D$9,MMWR_RATING_RO_ROLLUP[#Headers],0)),"ERROR"))</f>
        <v>80.367170626299995</v>
      </c>
      <c r="E41" s="157">
        <f>IF($B41=" ","",IFERROR(INDEX(MMWR_RATING_RO_ROLLUP[],MATCH($B41,MMWR_RATING_RO_ROLLUP[MMWR_RATING_RO_ROLLUP],0),MATCH(E$9,MMWR_RATING_RO_ROLLUP[#Headers],0))/$C41,"ERROR"))</f>
        <v>0.18574514038876891</v>
      </c>
      <c r="F41" s="155">
        <f>IF($B41=" ","",IFERROR(INDEX(MMWR_RATING_RO_ROLLUP[],MATCH($B41,MMWR_RATING_RO_ROLLUP[MMWR_RATING_RO_ROLLUP],0),MATCH(F$9,MMWR_RATING_RO_ROLLUP[#Headers],0)),"ERROR"))</f>
        <v>431</v>
      </c>
      <c r="G41" s="155">
        <f>IF($B41=" ","",IFERROR(INDEX(MMWR_RATING_RO_ROLLUP[],MATCH($B41,MMWR_RATING_RO_ROLLUP[MMWR_RATING_RO_ROLLUP],0),MATCH(G$9,MMWR_RATING_RO_ROLLUP[#Headers],0)),"ERROR"))</f>
        <v>9872</v>
      </c>
      <c r="H41" s="156">
        <f>IF($B41=" ","",IFERROR(INDEX(MMWR_RATING_RO_ROLLUP[],MATCH($B41,MMWR_RATING_RO_ROLLUP[MMWR_RATING_RO_ROLLUP],0),MATCH(H$9,MMWR_RATING_RO_ROLLUP[#Headers],0)),"ERROR"))</f>
        <v>160.51508120650001</v>
      </c>
      <c r="I41" s="156">
        <f>IF($B41=" ","",IFERROR(INDEX(MMWR_RATING_RO_ROLLUP[],MATCH($B41,MMWR_RATING_RO_ROLLUP[MMWR_RATING_RO_ROLLUP],0),MATCH(I$9,MMWR_RATING_RO_ROLLUP[#Headers],0)),"ERROR"))</f>
        <v>151.0970421394</v>
      </c>
      <c r="J41" s="42"/>
      <c r="K41" s="42"/>
      <c r="L41" s="42"/>
      <c r="M41" s="42"/>
      <c r="N41" s="28"/>
    </row>
    <row r="42" spans="1:14" x14ac:dyDescent="0.2">
      <c r="A42" s="25"/>
      <c r="B42" s="46" t="s">
        <v>316</v>
      </c>
      <c r="C42" s="155">
        <f>IF($B42=" ","",IFERROR(INDEX(MMWR_RATING_RO_ROLLUP[],MATCH($B42,MMWR_RATING_RO_ROLLUP[MMWR_RATING_RO_ROLLUP],0),MATCH(C$9,MMWR_RATING_RO_ROLLUP[#Headers],0)),"ERROR"))</f>
        <v>2752</v>
      </c>
      <c r="D42" s="156">
        <f>IF($B42=" ","",IFERROR(INDEX(MMWR_RATING_RO_ROLLUP[],MATCH($B42,MMWR_RATING_RO_ROLLUP[MMWR_RATING_RO_ROLLUP],0),MATCH(D$9,MMWR_RATING_RO_ROLLUP[#Headers],0)),"ERROR"))</f>
        <v>66.631177325600007</v>
      </c>
      <c r="E42" s="157">
        <f>IF($B42=" ","",IFERROR(INDEX(MMWR_RATING_RO_ROLLUP[],MATCH($B42,MMWR_RATING_RO_ROLLUP[MMWR_RATING_RO_ROLLUP],0),MATCH(E$9,MMWR_RATING_RO_ROLLUP[#Headers],0))/$C42,"ERROR"))</f>
        <v>0.11664244186046512</v>
      </c>
      <c r="F42" s="155">
        <f>IF($B42=" ","",IFERROR(INDEX(MMWR_RATING_RO_ROLLUP[],MATCH($B42,MMWR_RATING_RO_ROLLUP[MMWR_RATING_RO_ROLLUP],0),MATCH(F$9,MMWR_RATING_RO_ROLLUP[#Headers],0)),"ERROR"))</f>
        <v>357</v>
      </c>
      <c r="G42" s="155">
        <f>IF($B42=" ","",IFERROR(INDEX(MMWR_RATING_RO_ROLLUP[],MATCH($B42,MMWR_RATING_RO_ROLLUP[MMWR_RATING_RO_ROLLUP],0),MATCH(G$9,MMWR_RATING_RO_ROLLUP[#Headers],0)),"ERROR"))</f>
        <v>3558</v>
      </c>
      <c r="H42" s="156">
        <f>IF($B42=" ","",IFERROR(INDEX(MMWR_RATING_RO_ROLLUP[],MATCH($B42,MMWR_RATING_RO_ROLLUP[MMWR_RATING_RO_ROLLUP],0),MATCH(H$9,MMWR_RATING_RO_ROLLUP[#Headers],0)),"ERROR"))</f>
        <v>116.10084033610001</v>
      </c>
      <c r="I42" s="156">
        <f>IF($B42=" ","",IFERROR(INDEX(MMWR_RATING_RO_ROLLUP[],MATCH($B42,MMWR_RATING_RO_ROLLUP[MMWR_RATING_RO_ROLLUP],0),MATCH(I$9,MMWR_RATING_RO_ROLLUP[#Headers],0)),"ERROR"))</f>
        <v>123.3839235526</v>
      </c>
      <c r="J42" s="42"/>
      <c r="K42" s="42"/>
      <c r="L42" s="42"/>
      <c r="M42" s="42"/>
      <c r="N42" s="28"/>
    </row>
    <row r="43" spans="1:14" x14ac:dyDescent="0.2">
      <c r="A43" s="25"/>
      <c r="B43" s="339" t="s">
        <v>744</v>
      </c>
      <c r="C43" s="340"/>
      <c r="D43" s="340"/>
      <c r="E43" s="340"/>
      <c r="F43" s="340"/>
      <c r="G43" s="340"/>
      <c r="H43" s="340"/>
      <c r="I43" s="340"/>
      <c r="J43" s="340"/>
      <c r="K43" s="340"/>
      <c r="L43" s="340"/>
      <c r="M43" s="390"/>
      <c r="N43" s="28"/>
    </row>
    <row r="44" spans="1:14" x14ac:dyDescent="0.2">
      <c r="A44" s="25"/>
      <c r="B44" s="44" t="s">
        <v>705</v>
      </c>
      <c r="C44" s="155">
        <f>IF($B44=" ","",IFERROR(INDEX(MMWR_RATING_RO_ROLLUP[],MATCH($B44,MMWR_RATING_RO_ROLLUP[MMWR_RATING_RO_ROLLUP],0),MATCH(C$9,MMWR_RATING_RO_ROLLUP[#Headers],0)),"ERROR"))</f>
        <v>9106</v>
      </c>
      <c r="D44" s="156">
        <f>IF($B44=" ","",IFERROR(INDEX(MMWR_RATING_RO_ROLLUP[],MATCH($B44,MMWR_RATING_RO_ROLLUP[MMWR_RATING_RO_ROLLUP],0),MATCH(D$9,MMWR_RATING_RO_ROLLUP[#Headers],0)),"ERROR"))</f>
        <v>70.623874368499997</v>
      </c>
      <c r="E44" s="157">
        <f>IF($B44=" ","",IFERROR(INDEX(MMWR_RATING_RO_ROLLUP[],MATCH($B44,MMWR_RATING_RO_ROLLUP[MMWR_RATING_RO_ROLLUP],0),MATCH(E$9,MMWR_RATING_RO_ROLLUP[#Headers],0))/$C44,"ERROR"))</f>
        <v>0.12025038436195915</v>
      </c>
      <c r="F44" s="155">
        <f>IF($B44=" ","",IFERROR(INDEX(MMWR_RATING_RO_ROLLUP[],MATCH($B44,MMWR_RATING_RO_ROLLUP[MMWR_RATING_RO_ROLLUP],0),MATCH(F$9,MMWR_RATING_RO_ROLLUP[#Headers],0)),"ERROR"))</f>
        <v>1289</v>
      </c>
      <c r="G44" s="155">
        <f>IF($B44=" ","",IFERROR(INDEX(MMWR_RATING_RO_ROLLUP[],MATCH($B44,MMWR_RATING_RO_ROLLUP[MMWR_RATING_RO_ROLLUP],0),MATCH(G$9,MMWR_RATING_RO_ROLLUP[#Headers],0)),"ERROR"))</f>
        <v>22932</v>
      </c>
      <c r="H44" s="156">
        <f>IF($B44=" ","",IFERROR(INDEX(MMWR_RATING_RO_ROLLUP[],MATCH($B44,MMWR_RATING_RO_ROLLUP[MMWR_RATING_RO_ROLLUP],0),MATCH(H$9,MMWR_RATING_RO_ROLLUP[#Headers],0)),"ERROR"))</f>
        <v>134.55236617529999</v>
      </c>
      <c r="I44" s="156">
        <f>IF($B44=" ","",IFERROR(INDEX(MMWR_RATING_RO_ROLLUP[],MATCH($B44,MMWR_RATING_RO_ROLLUP[MMWR_RATING_RO_ROLLUP],0),MATCH(I$9,MMWR_RATING_RO_ROLLUP[#Headers],0)),"ERROR"))</f>
        <v>151.35300017439999</v>
      </c>
      <c r="J44" s="42"/>
      <c r="K44" s="42"/>
      <c r="L44" s="42"/>
      <c r="M44" s="42"/>
      <c r="N44" s="28"/>
    </row>
    <row r="45" spans="1:14" x14ac:dyDescent="0.2">
      <c r="A45" s="25"/>
      <c r="B45" s="45" t="s">
        <v>219</v>
      </c>
      <c r="C45" s="155">
        <f>IF($B45=" ","",IFERROR(INDEX(MMWR_RATING_RO_ROLLUP[],MATCH($B45,MMWR_RATING_RO_ROLLUP[MMWR_RATING_RO_ROLLUP],0),MATCH(C$9,MMWR_RATING_RO_ROLLUP[#Headers],0)),"ERROR"))</f>
        <v>3178</v>
      </c>
      <c r="D45" s="156">
        <f>IF($B45=" ","",IFERROR(INDEX(MMWR_RATING_RO_ROLLUP[],MATCH($B45,MMWR_RATING_RO_ROLLUP[MMWR_RATING_RO_ROLLUP],0),MATCH(D$9,MMWR_RATING_RO_ROLLUP[#Headers],0)),"ERROR"))</f>
        <v>67.807426054100006</v>
      </c>
      <c r="E45" s="157">
        <f>IF($B45=" ","",IFERROR(INDEX(MMWR_RATING_RO_ROLLUP[],MATCH($B45,MMWR_RATING_RO_ROLLUP[MMWR_RATING_RO_ROLLUP],0),MATCH(E$9,MMWR_RATING_RO_ROLLUP[#Headers],0))/$C45,"ERROR"))</f>
        <v>8.590308370044053E-2</v>
      </c>
      <c r="F45" s="155">
        <f>IF($B45=" ","",IFERROR(INDEX(MMWR_RATING_RO_ROLLUP[],MATCH($B45,MMWR_RATING_RO_ROLLUP[MMWR_RATING_RO_ROLLUP],0),MATCH(F$9,MMWR_RATING_RO_ROLLUP[#Headers],0)),"ERROR"))</f>
        <v>647</v>
      </c>
      <c r="G45" s="155">
        <f>IF($B45=" ","",IFERROR(INDEX(MMWR_RATING_RO_ROLLUP[],MATCH($B45,MMWR_RATING_RO_ROLLUP[MMWR_RATING_RO_ROLLUP],0),MATCH(G$9,MMWR_RATING_RO_ROLLUP[#Headers],0)),"ERROR"))</f>
        <v>11893</v>
      </c>
      <c r="H45" s="156">
        <f>IF($B45=" ","",IFERROR(INDEX(MMWR_RATING_RO_ROLLUP[],MATCH($B45,MMWR_RATING_RO_ROLLUP[MMWR_RATING_RO_ROLLUP],0),MATCH(H$9,MMWR_RATING_RO_ROLLUP[#Headers],0)),"ERROR"))</f>
        <v>130.41421947449999</v>
      </c>
      <c r="I45" s="156">
        <f>IF($B45=" ","",IFERROR(INDEX(MMWR_RATING_RO_ROLLUP[],MATCH($B45,MMWR_RATING_RO_ROLLUP[MMWR_RATING_RO_ROLLUP],0),MATCH(I$9,MMWR_RATING_RO_ROLLUP[#Headers],0)),"ERROR"))</f>
        <v>168.26788867400001</v>
      </c>
      <c r="J45" s="42"/>
      <c r="K45" s="42"/>
      <c r="L45" s="42"/>
      <c r="M45" s="42"/>
      <c r="N45" s="28"/>
    </row>
    <row r="46" spans="1:14" x14ac:dyDescent="0.2">
      <c r="A46" s="25"/>
      <c r="B46" s="45" t="s">
        <v>221</v>
      </c>
      <c r="C46" s="155">
        <f>IF($B46=" ","",IFERROR(INDEX(MMWR_RATING_RO_ROLLUP[],MATCH($B46,MMWR_RATING_RO_ROLLUP[MMWR_RATING_RO_ROLLUP],0),MATCH(C$9,MMWR_RATING_RO_ROLLUP[#Headers],0)),"ERROR"))</f>
        <v>4106</v>
      </c>
      <c r="D46" s="156">
        <f>IF($B46=" ","",IFERROR(INDEX(MMWR_RATING_RO_ROLLUP[],MATCH($B46,MMWR_RATING_RO_ROLLUP[MMWR_RATING_RO_ROLLUP],0),MATCH(D$9,MMWR_RATING_RO_ROLLUP[#Headers],0)),"ERROR"))</f>
        <v>73.893326838799993</v>
      </c>
      <c r="E46" s="157">
        <f>IF($B46=" ","",IFERROR(INDEX(MMWR_RATING_RO_ROLLUP[],MATCH($B46,MMWR_RATING_RO_ROLLUP[MMWR_RATING_RO_ROLLUP],0),MATCH(E$9,MMWR_RATING_RO_ROLLUP[#Headers],0))/$C46,"ERROR"))</f>
        <v>0.14247442766682902</v>
      </c>
      <c r="F46" s="155">
        <f>IF($B46=" ","",IFERROR(INDEX(MMWR_RATING_RO_ROLLUP[],MATCH($B46,MMWR_RATING_RO_ROLLUP[MMWR_RATING_RO_ROLLUP],0),MATCH(F$9,MMWR_RATING_RO_ROLLUP[#Headers],0)),"ERROR"))</f>
        <v>450</v>
      </c>
      <c r="G46" s="155">
        <f>IF($B46=" ","",IFERROR(INDEX(MMWR_RATING_RO_ROLLUP[],MATCH($B46,MMWR_RATING_RO_ROLLUP[MMWR_RATING_RO_ROLLUP],0),MATCH(G$9,MMWR_RATING_RO_ROLLUP[#Headers],0)),"ERROR"))</f>
        <v>8771</v>
      </c>
      <c r="H46" s="156">
        <f>IF($B46=" ","",IFERROR(INDEX(MMWR_RATING_RO_ROLLUP[],MATCH($B46,MMWR_RATING_RO_ROLLUP[MMWR_RATING_RO_ROLLUP],0),MATCH(H$9,MMWR_RATING_RO_ROLLUP[#Headers],0)),"ERROR"))</f>
        <v>143.48888888889999</v>
      </c>
      <c r="I46" s="156">
        <f>IF($B46=" ","",IFERROR(INDEX(MMWR_RATING_RO_ROLLUP[],MATCH($B46,MMWR_RATING_RO_ROLLUP[MMWR_RATING_RO_ROLLUP],0),MATCH(I$9,MMWR_RATING_RO_ROLLUP[#Headers],0)),"ERROR"))</f>
        <v>130.2329266902</v>
      </c>
      <c r="J46" s="42"/>
      <c r="K46" s="42"/>
      <c r="L46" s="42"/>
      <c r="M46" s="42"/>
      <c r="N46" s="28"/>
    </row>
    <row r="47" spans="1:14" x14ac:dyDescent="0.2">
      <c r="A47" s="25"/>
      <c r="B47" s="47" t="s">
        <v>317</v>
      </c>
      <c r="C47" s="155">
        <f>IF($B47=" ","",IFERROR(INDEX(MMWR_RATING_RO_ROLLUP[],MATCH($B47,MMWR_RATING_RO_ROLLUP[MMWR_RATING_RO_ROLLUP],0),MATCH(C$9,MMWR_RATING_RO_ROLLUP[#Headers],0)),"ERROR"))</f>
        <v>1822</v>
      </c>
      <c r="D47" s="156">
        <f>IF($B47=" ","",IFERROR(INDEX(MMWR_RATING_RO_ROLLUP[],MATCH($B47,MMWR_RATING_RO_ROLLUP[MMWR_RATING_RO_ROLLUP],0),MATCH(D$9,MMWR_RATING_RO_ROLLUP[#Headers],0)),"ERROR"))</f>
        <v>68.168496158099998</v>
      </c>
      <c r="E47" s="157">
        <f>IF($B47=" ","",IFERROR(INDEX(MMWR_RATING_RO_ROLLUP[],MATCH($B47,MMWR_RATING_RO_ROLLUP[MMWR_RATING_RO_ROLLUP],0),MATCH(E$9,MMWR_RATING_RO_ROLLUP[#Headers],0))/$C47,"ERROR"))</f>
        <v>0.13007683863885841</v>
      </c>
      <c r="F47" s="155">
        <f>IF($B47=" ","",IFERROR(INDEX(MMWR_RATING_RO_ROLLUP[],MATCH($B47,MMWR_RATING_RO_ROLLUP[MMWR_RATING_RO_ROLLUP],0),MATCH(F$9,MMWR_RATING_RO_ROLLUP[#Headers],0)),"ERROR"))</f>
        <v>192</v>
      </c>
      <c r="G47" s="155">
        <f>IF($B47=" ","",IFERROR(INDEX(MMWR_RATING_RO_ROLLUP[],MATCH($B47,MMWR_RATING_RO_ROLLUP[MMWR_RATING_RO_ROLLUP],0),MATCH(G$9,MMWR_RATING_RO_ROLLUP[#Headers],0)),"ERROR"))</f>
        <v>2268</v>
      </c>
      <c r="H47" s="156">
        <f>IF($B47=" ","",IFERROR(INDEX(MMWR_RATING_RO_ROLLUP[],MATCH($B47,MMWR_RATING_RO_ROLLUP[MMWR_RATING_RO_ROLLUP],0),MATCH(H$9,MMWR_RATING_RO_ROLLUP[#Headers],0)),"ERROR"))</f>
        <v>127.5520833333</v>
      </c>
      <c r="I47" s="156">
        <f>IF($B47=" ","",IFERROR(INDEX(MMWR_RATING_RO_ROLLUP[],MATCH($B47,MMWR_RATING_RO_ROLLUP[MMWR_RATING_RO_ROLLUP],0),MATCH(I$9,MMWR_RATING_RO_ROLLUP[#Headers],0)),"ERROR"))</f>
        <v>144.3315696649</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BD20" sheet="1" autoFilter="0"/>
  <protectedRanges>
    <protectedRange sqref="C12:I12 C33:I37 C44:I47 C39:I42 C14:I31" name="SOJ"/>
  </protectedRanges>
  <mergeCells count="20">
    <mergeCell ref="C10:M10"/>
    <mergeCell ref="B13:M13"/>
    <mergeCell ref="B32:M32"/>
    <mergeCell ref="B38:M38"/>
    <mergeCell ref="B43:M43"/>
    <mergeCell ref="J11:M11"/>
    <mergeCell ref="D7:E7"/>
    <mergeCell ref="G7:H7"/>
    <mergeCell ref="L7:M7"/>
    <mergeCell ref="D8:E8"/>
    <mergeCell ref="G8:H8"/>
    <mergeCell ref="L8:M8"/>
    <mergeCell ref="C2:I3"/>
    <mergeCell ref="J2:M2"/>
    <mergeCell ref="J3:M3"/>
    <mergeCell ref="D6:E6"/>
    <mergeCell ref="G6:H6"/>
    <mergeCell ref="L6:M6"/>
    <mergeCell ref="C4:M4"/>
    <mergeCell ref="C5:O5"/>
  </mergeCells>
  <conditionalFormatting sqref="A1:N3 A6:N48 A4 C4:N4 A5:B5">
    <cfRule type="expression" dxfId="434" priority="4">
      <formula>IF(OR(ISERROR(A1048576),A1="ERROR"),TRUE,FALSE)</formula>
    </cfRule>
  </conditionalFormatting>
  <conditionalFormatting sqref="B4">
    <cfRule type="expression" dxfId="433" priority="2">
      <formula>IF(OR(ISERROR(B4),B4="ERROR"),TRUE,FALSE)</formula>
    </cfRule>
  </conditionalFormatting>
  <conditionalFormatting sqref="C5:O5">
    <cfRule type="expression" dxfId="432"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3" t="s">
        <v>990</v>
      </c>
      <c r="D2" s="354"/>
      <c r="E2" s="354"/>
      <c r="F2" s="354"/>
      <c r="G2" s="354"/>
      <c r="H2" s="354"/>
      <c r="I2" s="354"/>
      <c r="J2" s="353" t="s">
        <v>309</v>
      </c>
      <c r="K2" s="354"/>
      <c r="L2" s="354"/>
      <c r="M2" s="355"/>
      <c r="N2" s="28"/>
    </row>
    <row r="3" spans="1:15" ht="24" customHeight="1" thickBot="1" x14ac:dyDescent="0.4">
      <c r="A3" s="25"/>
      <c r="B3" s="29"/>
      <c r="C3" s="356"/>
      <c r="D3" s="357"/>
      <c r="E3" s="357"/>
      <c r="F3" s="357"/>
      <c r="G3" s="357"/>
      <c r="H3" s="357"/>
      <c r="I3" s="357"/>
      <c r="J3" s="356" t="str">
        <f>Transformation!B4</f>
        <v>As of: August 22, 2015</v>
      </c>
      <c r="K3" s="357"/>
      <c r="L3" s="357"/>
      <c r="M3" s="358"/>
      <c r="N3" s="28"/>
    </row>
    <row r="4" spans="1:15" ht="51.75" customHeight="1" thickBot="1" x14ac:dyDescent="0.35">
      <c r="A4" s="30"/>
      <c r="B4" s="249" t="s">
        <v>465</v>
      </c>
      <c r="C4" s="359" t="s">
        <v>441</v>
      </c>
      <c r="D4" s="360"/>
      <c r="E4" s="360"/>
      <c r="F4" s="360"/>
      <c r="G4" s="360"/>
      <c r="H4" s="360"/>
      <c r="I4" s="360"/>
      <c r="J4" s="360"/>
      <c r="K4" s="360"/>
      <c r="L4" s="360"/>
      <c r="M4" s="361"/>
      <c r="N4" s="28"/>
    </row>
    <row r="5" spans="1:15" ht="27" customHeight="1" thickBot="1" x14ac:dyDescent="0.25">
      <c r="A5" s="30"/>
      <c r="B5" s="248" t="s">
        <v>379</v>
      </c>
      <c r="C5" s="362" t="s">
        <v>1054</v>
      </c>
      <c r="D5" s="363"/>
      <c r="E5" s="363"/>
      <c r="F5" s="363"/>
      <c r="G5" s="363"/>
      <c r="H5" s="363"/>
      <c r="I5" s="363"/>
      <c r="J5" s="363"/>
      <c r="K5" s="363"/>
      <c r="L5" s="363"/>
      <c r="M5" s="363"/>
      <c r="N5" s="363"/>
      <c r="O5" s="364"/>
    </row>
    <row r="6" spans="1:15" ht="55.5" customHeight="1" x14ac:dyDescent="0.2">
      <c r="A6" s="30"/>
      <c r="B6" s="31"/>
      <c r="C6" s="32" t="s">
        <v>198</v>
      </c>
      <c r="D6" s="365" t="s">
        <v>16</v>
      </c>
      <c r="E6" s="366"/>
      <c r="F6" s="33" t="s">
        <v>201</v>
      </c>
      <c r="G6" s="365" t="s">
        <v>206</v>
      </c>
      <c r="H6" s="367"/>
      <c r="I6" s="33" t="s">
        <v>204</v>
      </c>
      <c r="J6" s="49" t="s">
        <v>14</v>
      </c>
      <c r="K6" s="33" t="s">
        <v>209</v>
      </c>
      <c r="L6" s="371" t="s">
        <v>88</v>
      </c>
      <c r="M6" s="384"/>
      <c r="N6" s="28"/>
    </row>
    <row r="7" spans="1:15" ht="51.75" customHeight="1" x14ac:dyDescent="0.2">
      <c r="A7" s="30"/>
      <c r="B7" s="34"/>
      <c r="C7" s="35" t="s">
        <v>199</v>
      </c>
      <c r="D7" s="341" t="s">
        <v>0</v>
      </c>
      <c r="E7" s="342"/>
      <c r="F7" s="36" t="s">
        <v>202</v>
      </c>
      <c r="G7" s="343" t="s">
        <v>207</v>
      </c>
      <c r="H7" s="343"/>
      <c r="I7" s="36" t="s">
        <v>205</v>
      </c>
      <c r="J7" s="50" t="s">
        <v>19</v>
      </c>
      <c r="K7" s="36" t="s">
        <v>210</v>
      </c>
      <c r="L7" s="385" t="s">
        <v>90</v>
      </c>
      <c r="M7" s="386"/>
      <c r="N7" s="28"/>
    </row>
    <row r="8" spans="1:15" ht="51.75" customHeight="1" thickBot="1" x14ac:dyDescent="0.25">
      <c r="A8" s="25"/>
      <c r="B8" s="28"/>
      <c r="C8" s="37" t="s">
        <v>200</v>
      </c>
      <c r="D8" s="344" t="s">
        <v>18</v>
      </c>
      <c r="E8" s="345"/>
      <c r="F8" s="38" t="s">
        <v>203</v>
      </c>
      <c r="G8" s="346" t="s">
        <v>17</v>
      </c>
      <c r="H8" s="346"/>
      <c r="I8" s="38" t="s">
        <v>208</v>
      </c>
      <c r="J8" s="51" t="s">
        <v>87</v>
      </c>
      <c r="K8" s="38" t="s">
        <v>211</v>
      </c>
      <c r="L8" s="387" t="s">
        <v>89</v>
      </c>
      <c r="M8" s="388"/>
      <c r="N8" s="28"/>
    </row>
    <row r="9" spans="1:15" x14ac:dyDescent="0.2">
      <c r="A9" s="28"/>
      <c r="B9" s="39"/>
      <c r="C9" s="39" t="s">
        <v>724</v>
      </c>
      <c r="D9" s="39" t="s">
        <v>726</v>
      </c>
      <c r="E9" s="39" t="s">
        <v>725</v>
      </c>
      <c r="F9" s="39" t="s">
        <v>728</v>
      </c>
      <c r="G9" s="39" t="s">
        <v>727</v>
      </c>
      <c r="H9" s="39" t="s">
        <v>730</v>
      </c>
      <c r="I9" s="39" t="s">
        <v>729</v>
      </c>
      <c r="J9" s="39"/>
      <c r="K9" s="39"/>
      <c r="L9" s="39"/>
      <c r="M9" s="39"/>
      <c r="N9" s="39"/>
    </row>
    <row r="10" spans="1:15" ht="15.75" customHeight="1" x14ac:dyDescent="0.2">
      <c r="A10" s="25"/>
      <c r="B10" s="26"/>
      <c r="C10" s="347" t="s">
        <v>302</v>
      </c>
      <c r="D10" s="347"/>
      <c r="E10" s="347"/>
      <c r="F10" s="347"/>
      <c r="G10" s="347"/>
      <c r="H10" s="347"/>
      <c r="I10" s="347"/>
      <c r="J10" s="347"/>
      <c r="K10" s="347"/>
      <c r="L10" s="347"/>
      <c r="M10" s="389"/>
      <c r="N10" s="28"/>
    </row>
    <row r="11" spans="1:15" ht="63.75" customHeight="1" x14ac:dyDescent="0.2">
      <c r="A11" s="25"/>
      <c r="B11" s="26"/>
      <c r="C11" s="52" t="s">
        <v>234</v>
      </c>
      <c r="D11" s="52" t="s">
        <v>140</v>
      </c>
      <c r="E11" s="52" t="s">
        <v>235</v>
      </c>
      <c r="F11" s="52" t="s">
        <v>195</v>
      </c>
      <c r="G11" s="52" t="s">
        <v>212</v>
      </c>
      <c r="H11" s="52" t="s">
        <v>214</v>
      </c>
      <c r="I11" s="52" t="s">
        <v>215</v>
      </c>
      <c r="J11" s="391" t="s">
        <v>984</v>
      </c>
      <c r="K11" s="392"/>
      <c r="L11" s="392"/>
      <c r="M11" s="393"/>
      <c r="N11" s="28"/>
    </row>
    <row r="12" spans="1:15" x14ac:dyDescent="0.2">
      <c r="A12" s="25"/>
      <c r="B12" s="41" t="s">
        <v>739</v>
      </c>
      <c r="C12" s="155">
        <f>IF($B12=" ","",IFERROR(INDEX(MMWR_RATING_STATE_ROLLUP_VSC[],MATCH($B12,MMWR_RATING_STATE_ROLLUP_VSC[MMWR_RATING_STATE_ROLLUP_VSC],0),MATCH(C$9,MMWR_RATING_STATE_ROLLUP_VSC[#Headers],0)),"ERROR"))</f>
        <v>362799</v>
      </c>
      <c r="D12" s="156">
        <f>IF($B12=" ","",IFERROR(INDEX(MMWR_RATING_STATE_ROLLUP_VSC[],MATCH($B12,MMWR_RATING_STATE_ROLLUP_VSC[MMWR_RATING_STATE_ROLLUP_VSC],0),MATCH(D$9,MMWR_RATING_STATE_ROLLUP_VSC[#Headers],0)),"ERROR"))</f>
        <v>105.42895377329999</v>
      </c>
      <c r="E12" s="160">
        <f>IF($B12=" ","",IFERROR(INDEX(MMWR_RATING_STATE_ROLLUP_VSC[],MATCH($B12,MMWR_RATING_STATE_ROLLUP_VSC[MMWR_RATING_STATE_ROLLUP_VSC],0),MATCH(E$9,MMWR_RATING_STATE_ROLLUP_VSC[#Headers],0))/$C12,"ERROR"))</f>
        <v>0.27159666923006953</v>
      </c>
      <c r="F12" s="155">
        <f>IF($B12=" ","",IFERROR(INDEX(MMWR_RATING_STATE_ROLLUP_VSC[],MATCH($B12,MMWR_RATING_STATE_ROLLUP_VSC[MMWR_RATING_STATE_ROLLUP_VSC],0),MATCH(F$9,MMWR_RATING_STATE_ROLLUP_VSC[#Headers],0)),"ERROR"))</f>
        <v>83386</v>
      </c>
      <c r="G12" s="155">
        <f>IF($B12=" ","",IFERROR(INDEX(MMWR_RATING_STATE_ROLLUP_VSC[],MATCH($B12,MMWR_RATING_STATE_ROLLUP_VSC[MMWR_RATING_STATE_ROLLUP_VSC],0),MATCH(G$9,MMWR_RATING_STATE_ROLLUP_VSC[#Headers],0)),"ERROR"))</f>
        <v>1243664</v>
      </c>
      <c r="H12" s="156">
        <f>IF($B12=" ","",IFERROR(INDEX(MMWR_RATING_STATE_ROLLUP_VSC[],MATCH($B12,MMWR_RATING_STATE_ROLLUP_VSC[MMWR_RATING_STATE_ROLLUP_VSC],0),MATCH(H$9,MMWR_RATING_STATE_ROLLUP_VSC[#Headers],0)),"ERROR"))</f>
        <v>149.37102151440001</v>
      </c>
      <c r="I12" s="156">
        <f>IF($B12=" ","",IFERROR(INDEX(MMWR_RATING_STATE_ROLLUP_VSC[],MATCH($B12,MMWR_RATING_STATE_ROLLUP_VSC[MMWR_RATING_STATE_ROLLUP_VSC],0),MATCH(I$9,MMWR_RATING_STATE_ROLLUP_VSC[#Headers],0)),"ERROR"))</f>
        <v>172.05414484939999</v>
      </c>
      <c r="J12" s="42"/>
      <c r="K12" s="42"/>
      <c r="L12" s="42"/>
      <c r="M12" s="42"/>
      <c r="N12" s="28"/>
    </row>
    <row r="13" spans="1:15" x14ac:dyDescent="0.2">
      <c r="A13" s="25"/>
      <c r="B13" s="339" t="s">
        <v>970</v>
      </c>
      <c r="C13" s="340"/>
      <c r="D13" s="340"/>
      <c r="E13" s="340"/>
      <c r="F13" s="340"/>
      <c r="G13" s="340"/>
      <c r="H13" s="340"/>
      <c r="I13" s="340"/>
      <c r="J13" s="340"/>
      <c r="K13" s="340"/>
      <c r="L13" s="340"/>
      <c r="M13" s="390"/>
      <c r="N13" s="28"/>
    </row>
    <row r="14" spans="1:15" x14ac:dyDescent="0.2">
      <c r="A14" s="25"/>
      <c r="B14" s="41" t="s">
        <v>1048</v>
      </c>
      <c r="C14" s="155">
        <f>IF($B14=" ","",IFERROR(INDEX(MMWR_RATING_STATE_ROLLUP_VSC[],MATCH($B14,MMWR_RATING_STATE_ROLLUP_VSC[MMWR_RATING_STATE_ROLLUP_VSC],0),MATCH(C$9,MMWR_RATING_STATE_ROLLUP_VSC[#Headers],0)),"ERROR"))</f>
        <v>325853</v>
      </c>
      <c r="D14" s="156">
        <f>IF($B14=" ","",IFERROR(INDEX(MMWR_RATING_STATE_ROLLUP_VSC[],MATCH($B14,MMWR_RATING_STATE_ROLLUP_VSC[MMWR_RATING_STATE_ROLLUP_VSC],0),MATCH(D$9,MMWR_RATING_STATE_ROLLUP_VSC[#Headers],0)),"ERROR"))</f>
        <v>109.9391044428</v>
      </c>
      <c r="E14" s="157">
        <f>IF($B14=" ","",IFERROR(INDEX(MMWR_RATING_STATE_ROLLUP_VSC[],MATCH($B14,MMWR_RATING_STATE_ROLLUP_VSC[MMWR_RATING_STATE_ROLLUP_VSC],0),MATCH(E$9,MMWR_RATING_STATE_ROLLUP_VSC[#Headers],0))/$C14,"ERROR"))</f>
        <v>0.28960298048506533</v>
      </c>
      <c r="F14" s="155">
        <f>IF($B14=" ","",IFERROR(INDEX(MMWR_RATING_STATE_ROLLUP_VSC[],MATCH($B14,MMWR_RATING_STATE_ROLLUP_VSC[MMWR_RATING_STATE_ROLLUP_VSC],0),MATCH(F$9,MMWR_RATING_STATE_ROLLUP_VSC[#Headers],0)),"ERROR"))</f>
        <v>72855</v>
      </c>
      <c r="G14" s="155">
        <f>IF($B14=" ","",IFERROR(INDEX(MMWR_RATING_STATE_ROLLUP_VSC[],MATCH($B14,MMWR_RATING_STATE_ROLLUP_VSC[MMWR_RATING_STATE_ROLLUP_VSC],0),MATCH(G$9,MMWR_RATING_STATE_ROLLUP_VSC[#Headers],0)),"ERROR"))</f>
        <v>1061279</v>
      </c>
      <c r="H14" s="156">
        <f>IF($B14=" ","",IFERROR(INDEX(MMWR_RATING_STATE_ROLLUP_VSC[],MATCH($B14,MMWR_RATING_STATE_ROLLUP_VSC[MMWR_RATING_STATE_ROLLUP_VSC],0),MATCH(H$9,MMWR_RATING_STATE_ROLLUP_VSC[#Headers],0)),"ERROR"))</f>
        <v>159.07958273279999</v>
      </c>
      <c r="I14" s="156">
        <f>IF($B14=" ","",IFERROR(INDEX(MMWR_RATING_STATE_ROLLUP_VSC[],MATCH($B14,MMWR_RATING_STATE_ROLLUP_VSC[MMWR_RATING_STATE_ROLLUP_VSC],0),MATCH(I$9,MMWR_RATING_STATE_ROLLUP_VSC[#Headers],0)),"ERROR"))</f>
        <v>187.1753619925</v>
      </c>
      <c r="J14" s="42"/>
      <c r="K14" s="42"/>
      <c r="L14" s="42"/>
      <c r="M14" s="42"/>
      <c r="N14" s="28"/>
    </row>
    <row r="15" spans="1:15" x14ac:dyDescent="0.2">
      <c r="A15" s="25"/>
      <c r="B15" s="251" t="str">
        <f>INDEX(DISTRICT_STATES[],MATCH($B$5,DISTRICT_RO[District],0),1)</f>
        <v>North Atlantic</v>
      </c>
      <c r="C15" s="155">
        <f>IF($B15=" ","",IFERROR(INDEX(MMWR_RATING_STATE_ROLLUP_VSC[],MATCH($B15,MMWR_RATING_STATE_ROLLUP_VSC[MMWR_RATING_STATE_ROLLUP_VSC],0),MATCH(C$9,MMWR_RATING_STATE_ROLLUP_VSC[#Headers],0)),"ERROR"))</f>
        <v>70882</v>
      </c>
      <c r="D15" s="156">
        <f>IF($B15=" ","",IFERROR(INDEX(MMWR_RATING_STATE_ROLLUP_VSC[],MATCH($B15,MMWR_RATING_STATE_ROLLUP_VSC[MMWR_RATING_STATE_ROLLUP_VSC],0),MATCH(D$9,MMWR_RATING_STATE_ROLLUP_VSC[#Headers],0)),"ERROR"))</f>
        <v>111.5546401061</v>
      </c>
      <c r="E15" s="157">
        <f>IF($B15=" ","",IFERROR(INDEX(MMWR_RATING_STATE_ROLLUP_VSC[],MATCH($B15,MMWR_RATING_STATE_ROLLUP_VSC[MMWR_RATING_STATE_ROLLUP_VSC],0),MATCH(E$9,MMWR_RATING_STATE_ROLLUP_VSC[#Headers],0))/$C15,"ERROR"))</f>
        <v>0.29642222284924241</v>
      </c>
      <c r="F15" s="155">
        <f>IF($B15=" ","",IFERROR(INDEX(MMWR_RATING_STATE_ROLLUP_VSC[],MATCH($B15,MMWR_RATING_STATE_ROLLUP_VSC[MMWR_RATING_STATE_ROLLUP_VSC],0),MATCH(F$9,MMWR_RATING_STATE_ROLLUP_VSC[#Headers],0)),"ERROR"))</f>
        <v>14996</v>
      </c>
      <c r="G15" s="155">
        <f>IF($B15=" ","",IFERROR(INDEX(MMWR_RATING_STATE_ROLLUP_VSC[],MATCH($B15,MMWR_RATING_STATE_ROLLUP_VSC[MMWR_RATING_STATE_ROLLUP_VSC],0),MATCH(G$9,MMWR_RATING_STATE_ROLLUP_VSC[#Headers],0)),"ERROR"))</f>
        <v>227083</v>
      </c>
      <c r="H15" s="156">
        <f>IF($B15=" ","",IFERROR(INDEX(MMWR_RATING_STATE_ROLLUP_VSC[],MATCH($B15,MMWR_RATING_STATE_ROLLUP_VSC[MMWR_RATING_STATE_ROLLUP_VSC],0),MATCH(H$9,MMWR_RATING_STATE_ROLLUP_VSC[#Headers],0)),"ERROR"))</f>
        <v>160.51507068550001</v>
      </c>
      <c r="I15" s="156">
        <f>IF($B15=" ","",IFERROR(INDEX(MMWR_RATING_STATE_ROLLUP_VSC[],MATCH($B15,MMWR_RATING_STATE_ROLLUP_VSC[MMWR_RATING_STATE_ROLLUP_VSC],0),MATCH(I$9,MMWR_RATING_STATE_ROLLUP_VSC[#Headers],0)),"ERROR"))</f>
        <v>195.75725615740001</v>
      </c>
      <c r="J15" s="42"/>
      <c r="K15" s="42"/>
      <c r="L15" s="42"/>
      <c r="M15" s="42"/>
      <c r="N15" s="28"/>
    </row>
    <row r="16" spans="1:15" x14ac:dyDescent="0.2">
      <c r="A16" s="25"/>
      <c r="B16" s="8" t="str">
        <f>VLOOKUP($B$15,DISTRICT_STATES[],2,0)</f>
        <v>Connecticut</v>
      </c>
      <c r="C16" s="155">
        <f>IF($B16=" ","",IFERROR(INDEX(MMWR_RATING_STATE_ROLLUP_VSC[],MATCH($B16,MMWR_RATING_STATE_ROLLUP_VSC[MMWR_RATING_STATE_ROLLUP_VSC],0),MATCH(C$9,MMWR_RATING_STATE_ROLLUP_VSC[#Headers],0)),"ERROR"))</f>
        <v>2053</v>
      </c>
      <c r="D16" s="156">
        <f>IF($B16=" ","",IFERROR(INDEX(MMWR_RATING_STATE_ROLLUP_VSC[],MATCH($B16,MMWR_RATING_STATE_ROLLUP_VSC[MMWR_RATING_STATE_ROLLUP_VSC],0),MATCH(D$9,MMWR_RATING_STATE_ROLLUP_VSC[#Headers],0)),"ERROR"))</f>
        <v>94.841695080400001</v>
      </c>
      <c r="E16" s="157">
        <f>IF($B16=" ","",IFERROR(INDEX(MMWR_RATING_STATE_ROLLUP_VSC[],MATCH($B16,MMWR_RATING_STATE_ROLLUP_VSC[MMWR_RATING_STATE_ROLLUP_VSC],0),MATCH(E$9,MMWR_RATING_STATE_ROLLUP_VSC[#Headers],0))/$C16,"ERROR"))</f>
        <v>0.24695567462250365</v>
      </c>
      <c r="F16" s="155">
        <f>IF($B16=" ","",IFERROR(INDEX(MMWR_RATING_STATE_ROLLUP_VSC[],MATCH($B16,MMWR_RATING_STATE_ROLLUP_VSC[MMWR_RATING_STATE_ROLLUP_VSC],0),MATCH(F$9,MMWR_RATING_STATE_ROLLUP_VSC[#Headers],0)),"ERROR"))</f>
        <v>333</v>
      </c>
      <c r="G16" s="155">
        <f>IF($B16=" ","",IFERROR(INDEX(MMWR_RATING_STATE_ROLLUP_VSC[],MATCH($B16,MMWR_RATING_STATE_ROLLUP_VSC[MMWR_RATING_STATE_ROLLUP_VSC],0),MATCH(G$9,MMWR_RATING_STATE_ROLLUP_VSC[#Headers],0)),"ERROR"))</f>
        <v>6047</v>
      </c>
      <c r="H16" s="156">
        <f>IF($B16=" ","",IFERROR(INDEX(MMWR_RATING_STATE_ROLLUP_VSC[],MATCH($B16,MMWR_RATING_STATE_ROLLUP_VSC[MMWR_RATING_STATE_ROLLUP_VSC],0),MATCH(H$9,MMWR_RATING_STATE_ROLLUP_VSC[#Headers],0)),"ERROR"))</f>
        <v>157.57957957959999</v>
      </c>
      <c r="I16" s="156">
        <f>IF($B16=" ","",IFERROR(INDEX(MMWR_RATING_STATE_ROLLUP_VSC[],MATCH($B16,MMWR_RATING_STATE_ROLLUP_VSC[MMWR_RATING_STATE_ROLLUP_VSC],0),MATCH(I$9,MMWR_RATING_STATE_ROLLUP_VSC[#Headers],0)),"ERROR"))</f>
        <v>151.9221101373</v>
      </c>
      <c r="J16" s="42"/>
      <c r="K16" s="42"/>
      <c r="L16" s="42"/>
      <c r="M16" s="42"/>
      <c r="N16" s="28"/>
    </row>
    <row r="17" spans="1:14" x14ac:dyDescent="0.2">
      <c r="A17" s="25"/>
      <c r="B17" s="8" t="str">
        <f>VLOOKUP($B$15,DISTRICT_STATES[],3,0)</f>
        <v>Delaware</v>
      </c>
      <c r="C17" s="155">
        <f>IF($B17=" ","",IFERROR(INDEX(MMWR_RATING_STATE_ROLLUP_VSC[],MATCH($B17,MMWR_RATING_STATE_ROLLUP_VSC[MMWR_RATING_STATE_ROLLUP_VSC],0),MATCH(C$9,MMWR_RATING_STATE_ROLLUP_VSC[#Headers],0)),"ERROR"))</f>
        <v>1030</v>
      </c>
      <c r="D17" s="156">
        <f>IF($B17=" ","",IFERROR(INDEX(MMWR_RATING_STATE_ROLLUP_VSC[],MATCH($B17,MMWR_RATING_STATE_ROLLUP_VSC[MMWR_RATING_STATE_ROLLUP_VSC],0),MATCH(D$9,MMWR_RATING_STATE_ROLLUP_VSC[#Headers],0)),"ERROR"))</f>
        <v>120.932038835</v>
      </c>
      <c r="E17" s="157">
        <f>IF($B17=" ","",IFERROR(INDEX(MMWR_RATING_STATE_ROLLUP_VSC[],MATCH($B17,MMWR_RATING_STATE_ROLLUP_VSC[MMWR_RATING_STATE_ROLLUP_VSC],0),MATCH(E$9,MMWR_RATING_STATE_ROLLUP_VSC[#Headers],0))/$C17,"ERROR"))</f>
        <v>0.34077669902912622</v>
      </c>
      <c r="F17" s="155">
        <f>IF($B17=" ","",IFERROR(INDEX(MMWR_RATING_STATE_ROLLUP_VSC[],MATCH($B17,MMWR_RATING_STATE_ROLLUP_VSC[MMWR_RATING_STATE_ROLLUP_VSC],0),MATCH(F$9,MMWR_RATING_STATE_ROLLUP_VSC[#Headers],0)),"ERROR"))</f>
        <v>157</v>
      </c>
      <c r="G17" s="155">
        <f>IF($B17=" ","",IFERROR(INDEX(MMWR_RATING_STATE_ROLLUP_VSC[],MATCH($B17,MMWR_RATING_STATE_ROLLUP_VSC[MMWR_RATING_STATE_ROLLUP_VSC],0),MATCH(G$9,MMWR_RATING_STATE_ROLLUP_VSC[#Headers],0)),"ERROR"))</f>
        <v>2873</v>
      </c>
      <c r="H17" s="156">
        <f>IF($B17=" ","",IFERROR(INDEX(MMWR_RATING_STATE_ROLLUP_VSC[],MATCH($B17,MMWR_RATING_STATE_ROLLUP_VSC[MMWR_RATING_STATE_ROLLUP_VSC],0),MATCH(H$9,MMWR_RATING_STATE_ROLLUP_VSC[#Headers],0)),"ERROR"))</f>
        <v>190.8662420382</v>
      </c>
      <c r="I17" s="156">
        <f>IF($B17=" ","",IFERROR(INDEX(MMWR_RATING_STATE_ROLLUP_VSC[],MATCH($B17,MMWR_RATING_STATE_ROLLUP_VSC[MMWR_RATING_STATE_ROLLUP_VSC],0),MATCH(I$9,MMWR_RATING_STATE_ROLLUP_VSC[#Headers],0)),"ERROR"))</f>
        <v>218.7191089454</v>
      </c>
      <c r="J17" s="42"/>
      <c r="K17" s="42"/>
      <c r="L17" s="42"/>
      <c r="M17" s="42"/>
      <c r="N17" s="28"/>
    </row>
    <row r="18" spans="1:14" x14ac:dyDescent="0.2">
      <c r="A18" s="25"/>
      <c r="B18" s="8" t="str">
        <f>VLOOKUP($B$15,DISTRICT_STATES[],4,0)</f>
        <v>District of Columbia</v>
      </c>
      <c r="C18" s="155">
        <f>IF($B18=" ","",IFERROR(INDEX(MMWR_RATING_STATE_ROLLUP_VSC[],MATCH($B18,MMWR_RATING_STATE_ROLLUP_VSC[MMWR_RATING_STATE_ROLLUP_VSC],0),MATCH(C$9,MMWR_RATING_STATE_ROLLUP_VSC[#Headers],0)),"ERROR"))</f>
        <v>483</v>
      </c>
      <c r="D18" s="156">
        <f>IF($B18=" ","",IFERROR(INDEX(MMWR_RATING_STATE_ROLLUP_VSC[],MATCH($B18,MMWR_RATING_STATE_ROLLUP_VSC[MMWR_RATING_STATE_ROLLUP_VSC],0),MATCH(D$9,MMWR_RATING_STATE_ROLLUP_VSC[#Headers],0)),"ERROR"))</f>
        <v>125.90269151139999</v>
      </c>
      <c r="E18" s="157">
        <f>IF($B18=" ","",IFERROR(INDEX(MMWR_RATING_STATE_ROLLUP_VSC[],MATCH($B18,MMWR_RATING_STATE_ROLLUP_VSC[MMWR_RATING_STATE_ROLLUP_VSC],0),MATCH(E$9,MMWR_RATING_STATE_ROLLUP_VSC[#Headers],0))/$C18,"ERROR"))</f>
        <v>0.38509316770186336</v>
      </c>
      <c r="F18" s="155">
        <f>IF($B18=" ","",IFERROR(INDEX(MMWR_RATING_STATE_ROLLUP_VSC[],MATCH($B18,MMWR_RATING_STATE_ROLLUP_VSC[MMWR_RATING_STATE_ROLLUP_VSC],0),MATCH(F$9,MMWR_RATING_STATE_ROLLUP_VSC[#Headers],0)),"ERROR"))</f>
        <v>80</v>
      </c>
      <c r="G18" s="155">
        <f>IF($B18=" ","",IFERROR(INDEX(MMWR_RATING_STATE_ROLLUP_VSC[],MATCH($B18,MMWR_RATING_STATE_ROLLUP_VSC[MMWR_RATING_STATE_ROLLUP_VSC],0),MATCH(G$9,MMWR_RATING_STATE_ROLLUP_VSC[#Headers],0)),"ERROR"))</f>
        <v>1441</v>
      </c>
      <c r="H18" s="156">
        <f>IF($B18=" ","",IFERROR(INDEX(MMWR_RATING_STATE_ROLLUP_VSC[],MATCH($B18,MMWR_RATING_STATE_ROLLUP_VSC[MMWR_RATING_STATE_ROLLUP_VSC],0),MATCH(H$9,MMWR_RATING_STATE_ROLLUP_VSC[#Headers],0)),"ERROR"))</f>
        <v>194.3125</v>
      </c>
      <c r="I18" s="156">
        <f>IF($B18=" ","",IFERROR(INDEX(MMWR_RATING_STATE_ROLLUP_VSC[],MATCH($B18,MMWR_RATING_STATE_ROLLUP_VSC[MMWR_RATING_STATE_ROLLUP_VSC],0),MATCH(I$9,MMWR_RATING_STATE_ROLLUP_VSC[#Headers],0)),"ERROR"))</f>
        <v>213.42748091600001</v>
      </c>
      <c r="J18" s="42"/>
      <c r="K18" s="42"/>
      <c r="L18" s="42"/>
      <c r="M18" s="42"/>
      <c r="N18" s="28"/>
    </row>
    <row r="19" spans="1:14" x14ac:dyDescent="0.2">
      <c r="A19" s="25"/>
      <c r="B19" s="8" t="str">
        <f>VLOOKUP($B$15,DISTRICT_STATES[],5,0)</f>
        <v>Maine</v>
      </c>
      <c r="C19" s="155">
        <f>IF($B19=" ","",IFERROR(INDEX(MMWR_RATING_STATE_ROLLUP_VSC[],MATCH($B19,MMWR_RATING_STATE_ROLLUP_VSC[MMWR_RATING_STATE_ROLLUP_VSC],0),MATCH(C$9,MMWR_RATING_STATE_ROLLUP_VSC[#Headers],0)),"ERROR"))</f>
        <v>1456</v>
      </c>
      <c r="D19" s="156">
        <f>IF($B19=" ","",IFERROR(INDEX(MMWR_RATING_STATE_ROLLUP_VSC[],MATCH($B19,MMWR_RATING_STATE_ROLLUP_VSC[MMWR_RATING_STATE_ROLLUP_VSC],0),MATCH(D$9,MMWR_RATING_STATE_ROLLUP_VSC[#Headers],0)),"ERROR"))</f>
        <v>79.751373626399996</v>
      </c>
      <c r="E19" s="157">
        <f>IF($B19=" ","",IFERROR(INDEX(MMWR_RATING_STATE_ROLLUP_VSC[],MATCH($B19,MMWR_RATING_STATE_ROLLUP_VSC[MMWR_RATING_STATE_ROLLUP_VSC],0),MATCH(E$9,MMWR_RATING_STATE_ROLLUP_VSC[#Headers],0))/$C19,"ERROR"))</f>
        <v>0.13873626373626374</v>
      </c>
      <c r="F19" s="155">
        <f>IF($B19=" ","",IFERROR(INDEX(MMWR_RATING_STATE_ROLLUP_VSC[],MATCH($B19,MMWR_RATING_STATE_ROLLUP_VSC[MMWR_RATING_STATE_ROLLUP_VSC],0),MATCH(F$9,MMWR_RATING_STATE_ROLLUP_VSC[#Headers],0)),"ERROR"))</f>
        <v>299</v>
      </c>
      <c r="G19" s="155">
        <f>IF($B19=" ","",IFERROR(INDEX(MMWR_RATING_STATE_ROLLUP_VSC[],MATCH($B19,MMWR_RATING_STATE_ROLLUP_VSC[MMWR_RATING_STATE_ROLLUP_VSC],0),MATCH(G$9,MMWR_RATING_STATE_ROLLUP_VSC[#Headers],0)),"ERROR"))</f>
        <v>4050</v>
      </c>
      <c r="H19" s="156">
        <f>IF($B19=" ","",IFERROR(INDEX(MMWR_RATING_STATE_ROLLUP_VSC[],MATCH($B19,MMWR_RATING_STATE_ROLLUP_VSC[MMWR_RATING_STATE_ROLLUP_VSC],0),MATCH(H$9,MMWR_RATING_STATE_ROLLUP_VSC[#Headers],0)),"ERROR"))</f>
        <v>126.525083612</v>
      </c>
      <c r="I19" s="156">
        <f>IF($B19=" ","",IFERROR(INDEX(MMWR_RATING_STATE_ROLLUP_VSC[],MATCH($B19,MMWR_RATING_STATE_ROLLUP_VSC[MMWR_RATING_STATE_ROLLUP_VSC],0),MATCH(I$9,MMWR_RATING_STATE_ROLLUP_VSC[#Headers],0)),"ERROR"))</f>
        <v>127.7745679012</v>
      </c>
      <c r="J19" s="42"/>
      <c r="K19" s="42"/>
      <c r="L19" s="42"/>
      <c r="M19" s="42"/>
      <c r="N19" s="28"/>
    </row>
    <row r="20" spans="1:14" x14ac:dyDescent="0.2">
      <c r="A20" s="25"/>
      <c r="B20" s="8" t="str">
        <f>VLOOKUP($B$15,DISTRICT_STATES[],6,0)</f>
        <v>Maryland</v>
      </c>
      <c r="C20" s="155">
        <f>IF($B20=" ","",IFERROR(INDEX(MMWR_RATING_STATE_ROLLUP_VSC[],MATCH($B20,MMWR_RATING_STATE_ROLLUP_VSC[MMWR_RATING_STATE_ROLLUP_VSC],0),MATCH(C$9,MMWR_RATING_STATE_ROLLUP_VSC[#Headers],0)),"ERROR"))</f>
        <v>5226</v>
      </c>
      <c r="D20" s="156">
        <f>IF($B20=" ","",IFERROR(INDEX(MMWR_RATING_STATE_ROLLUP_VSC[],MATCH($B20,MMWR_RATING_STATE_ROLLUP_VSC[MMWR_RATING_STATE_ROLLUP_VSC],0),MATCH(D$9,MMWR_RATING_STATE_ROLLUP_VSC[#Headers],0)),"ERROR"))</f>
        <v>118.8212782243</v>
      </c>
      <c r="E20" s="157">
        <f>IF($B20=" ","",IFERROR(INDEX(MMWR_RATING_STATE_ROLLUP_VSC[],MATCH($B20,MMWR_RATING_STATE_ROLLUP_VSC[MMWR_RATING_STATE_ROLLUP_VSC],0),MATCH(E$9,MMWR_RATING_STATE_ROLLUP_VSC[#Headers],0))/$C20,"ERROR"))</f>
        <v>0.29582854955989285</v>
      </c>
      <c r="F20" s="155">
        <f>IF($B20=" ","",IFERROR(INDEX(MMWR_RATING_STATE_ROLLUP_VSC[],MATCH($B20,MMWR_RATING_STATE_ROLLUP_VSC[MMWR_RATING_STATE_ROLLUP_VSC],0),MATCH(F$9,MMWR_RATING_STATE_ROLLUP_VSC[#Headers],0)),"ERROR"))</f>
        <v>1343</v>
      </c>
      <c r="G20" s="155">
        <f>IF($B20=" ","",IFERROR(INDEX(MMWR_RATING_STATE_ROLLUP_VSC[],MATCH($B20,MMWR_RATING_STATE_ROLLUP_VSC[MMWR_RATING_STATE_ROLLUP_VSC],0),MATCH(G$9,MMWR_RATING_STATE_ROLLUP_VSC[#Headers],0)),"ERROR"))</f>
        <v>19420</v>
      </c>
      <c r="H20" s="156">
        <f>IF($B20=" ","",IFERROR(INDEX(MMWR_RATING_STATE_ROLLUP_VSC[],MATCH($B20,MMWR_RATING_STATE_ROLLUP_VSC[MMWR_RATING_STATE_ROLLUP_VSC],0),MATCH(H$9,MMWR_RATING_STATE_ROLLUP_VSC[#Headers],0)),"ERROR"))</f>
        <v>178.8622486969</v>
      </c>
      <c r="I20" s="156">
        <f>IF($B20=" ","",IFERROR(INDEX(MMWR_RATING_STATE_ROLLUP_VSC[],MATCH($B20,MMWR_RATING_STATE_ROLLUP_VSC[MMWR_RATING_STATE_ROLLUP_VSC],0),MATCH(I$9,MMWR_RATING_STATE_ROLLUP_VSC[#Headers],0)),"ERROR"))</f>
        <v>232.99140061790001</v>
      </c>
      <c r="J20" s="42"/>
      <c r="K20" s="42"/>
      <c r="L20" s="42"/>
      <c r="M20" s="42"/>
      <c r="N20" s="28"/>
    </row>
    <row r="21" spans="1:14" x14ac:dyDescent="0.2">
      <c r="A21" s="25"/>
      <c r="B21" s="8" t="str">
        <f>VLOOKUP($B$15,DISTRICT_STATES[],7,0)</f>
        <v>Massachusetts</v>
      </c>
      <c r="C21" s="155">
        <f>IF($B21=" ","",IFERROR(INDEX(MMWR_RATING_STATE_ROLLUP_VSC[],MATCH($B21,MMWR_RATING_STATE_ROLLUP_VSC[MMWR_RATING_STATE_ROLLUP_VSC],0),MATCH(C$9,MMWR_RATING_STATE_ROLLUP_VSC[#Headers],0)),"ERROR"))</f>
        <v>4490</v>
      </c>
      <c r="D21" s="156">
        <f>IF($B21=" ","",IFERROR(INDEX(MMWR_RATING_STATE_ROLLUP_VSC[],MATCH($B21,MMWR_RATING_STATE_ROLLUP_VSC[MMWR_RATING_STATE_ROLLUP_VSC],0),MATCH(D$9,MMWR_RATING_STATE_ROLLUP_VSC[#Headers],0)),"ERROR"))</f>
        <v>106.60378619150001</v>
      </c>
      <c r="E21" s="157">
        <f>IF($B21=" ","",IFERROR(INDEX(MMWR_RATING_STATE_ROLLUP_VSC[],MATCH($B21,MMWR_RATING_STATE_ROLLUP_VSC[MMWR_RATING_STATE_ROLLUP_VSC],0),MATCH(E$9,MMWR_RATING_STATE_ROLLUP_VSC[#Headers],0))/$C21,"ERROR"))</f>
        <v>0.28351893095768377</v>
      </c>
      <c r="F21" s="155">
        <f>IF($B21=" ","",IFERROR(INDEX(MMWR_RATING_STATE_ROLLUP_VSC[],MATCH($B21,MMWR_RATING_STATE_ROLLUP_VSC[MMWR_RATING_STATE_ROLLUP_VSC],0),MATCH(F$9,MMWR_RATING_STATE_ROLLUP_VSC[#Headers],0)),"ERROR"))</f>
        <v>900</v>
      </c>
      <c r="G21" s="155">
        <f>IF($B21=" ","",IFERROR(INDEX(MMWR_RATING_STATE_ROLLUP_VSC[],MATCH($B21,MMWR_RATING_STATE_ROLLUP_VSC[MMWR_RATING_STATE_ROLLUP_VSC],0),MATCH(G$9,MMWR_RATING_STATE_ROLLUP_VSC[#Headers],0)),"ERROR"))</f>
        <v>13733</v>
      </c>
      <c r="H21" s="156">
        <f>IF($B21=" ","",IFERROR(INDEX(MMWR_RATING_STATE_ROLLUP_VSC[],MATCH($B21,MMWR_RATING_STATE_ROLLUP_VSC[MMWR_RATING_STATE_ROLLUP_VSC],0),MATCH(H$9,MMWR_RATING_STATE_ROLLUP_VSC[#Headers],0)),"ERROR"))</f>
        <v>164.04777777780001</v>
      </c>
      <c r="I21" s="156">
        <f>IF($B21=" ","",IFERROR(INDEX(MMWR_RATING_STATE_ROLLUP_VSC[],MATCH($B21,MMWR_RATING_STATE_ROLLUP_VSC[MMWR_RATING_STATE_ROLLUP_VSC],0),MATCH(I$9,MMWR_RATING_STATE_ROLLUP_VSC[#Headers],0)),"ERROR"))</f>
        <v>194.55559600960001</v>
      </c>
      <c r="J21" s="42"/>
      <c r="K21" s="42"/>
      <c r="L21" s="42"/>
      <c r="M21" s="42"/>
      <c r="N21" s="28"/>
    </row>
    <row r="22" spans="1:14" x14ac:dyDescent="0.2">
      <c r="A22" s="25"/>
      <c r="B22" s="8" t="str">
        <f>VLOOKUP($B$15,DISTRICT_STATES[],8,0)</f>
        <v>New Hampshire</v>
      </c>
      <c r="C22" s="155">
        <f>IF($B22=" ","",IFERROR(INDEX(MMWR_RATING_STATE_ROLLUP_VSC[],MATCH($B22,MMWR_RATING_STATE_ROLLUP_VSC[MMWR_RATING_STATE_ROLLUP_VSC],0),MATCH(C$9,MMWR_RATING_STATE_ROLLUP_VSC[#Headers],0)),"ERROR"))</f>
        <v>1322</v>
      </c>
      <c r="D22" s="156">
        <f>IF($B22=" ","",IFERROR(INDEX(MMWR_RATING_STATE_ROLLUP_VSC[],MATCH($B22,MMWR_RATING_STATE_ROLLUP_VSC[MMWR_RATING_STATE_ROLLUP_VSC],0),MATCH(D$9,MMWR_RATING_STATE_ROLLUP_VSC[#Headers],0)),"ERROR"))</f>
        <v>92.282148260200003</v>
      </c>
      <c r="E22" s="157">
        <f>IF($B22=" ","",IFERROR(INDEX(MMWR_RATING_STATE_ROLLUP_VSC[],MATCH($B22,MMWR_RATING_STATE_ROLLUP_VSC[MMWR_RATING_STATE_ROLLUP_VSC],0),MATCH(E$9,MMWR_RATING_STATE_ROLLUP_VSC[#Headers],0))/$C22,"ERROR"))</f>
        <v>0.20801815431164902</v>
      </c>
      <c r="F22" s="155">
        <f>IF($B22=" ","",IFERROR(INDEX(MMWR_RATING_STATE_ROLLUP_VSC[],MATCH($B22,MMWR_RATING_STATE_ROLLUP_VSC[MMWR_RATING_STATE_ROLLUP_VSC],0),MATCH(F$9,MMWR_RATING_STATE_ROLLUP_VSC[#Headers],0)),"ERROR"))</f>
        <v>265</v>
      </c>
      <c r="G22" s="155">
        <f>IF($B22=" ","",IFERROR(INDEX(MMWR_RATING_STATE_ROLLUP_VSC[],MATCH($B22,MMWR_RATING_STATE_ROLLUP_VSC[MMWR_RATING_STATE_ROLLUP_VSC],0),MATCH(G$9,MMWR_RATING_STATE_ROLLUP_VSC[#Headers],0)),"ERROR"))</f>
        <v>3741</v>
      </c>
      <c r="H22" s="156">
        <f>IF($B22=" ","",IFERROR(INDEX(MMWR_RATING_STATE_ROLLUP_VSC[],MATCH($B22,MMWR_RATING_STATE_ROLLUP_VSC[MMWR_RATING_STATE_ROLLUP_VSC],0),MATCH(H$9,MMWR_RATING_STATE_ROLLUP_VSC[#Headers],0)),"ERROR"))</f>
        <v>156.81886792450001</v>
      </c>
      <c r="I22" s="156">
        <f>IF($B22=" ","",IFERROR(INDEX(MMWR_RATING_STATE_ROLLUP_VSC[],MATCH($B22,MMWR_RATING_STATE_ROLLUP_VSC[MMWR_RATING_STATE_ROLLUP_VSC],0),MATCH(I$9,MMWR_RATING_STATE_ROLLUP_VSC[#Headers],0)),"ERROR"))</f>
        <v>175.0398289227</v>
      </c>
      <c r="J22" s="42"/>
      <c r="K22" s="42"/>
      <c r="L22" s="42"/>
      <c r="M22" s="42"/>
      <c r="N22" s="28"/>
    </row>
    <row r="23" spans="1:14" x14ac:dyDescent="0.2">
      <c r="A23" s="25"/>
      <c r="B23" s="8" t="str">
        <f>VLOOKUP($B$15,DISTRICT_STATES[],9,0)</f>
        <v>New Jersey</v>
      </c>
      <c r="C23" s="155">
        <f>IF($B23=" ","",IFERROR(INDEX(MMWR_RATING_STATE_ROLLUP_VSC[],MATCH($B23,MMWR_RATING_STATE_ROLLUP_VSC[MMWR_RATING_STATE_ROLLUP_VSC],0),MATCH(C$9,MMWR_RATING_STATE_ROLLUP_VSC[#Headers],0)),"ERROR"))</f>
        <v>4177</v>
      </c>
      <c r="D23" s="156">
        <f>IF($B23=" ","",IFERROR(INDEX(MMWR_RATING_STATE_ROLLUP_VSC[],MATCH($B23,MMWR_RATING_STATE_ROLLUP_VSC[MMWR_RATING_STATE_ROLLUP_VSC],0),MATCH(D$9,MMWR_RATING_STATE_ROLLUP_VSC[#Headers],0)),"ERROR"))</f>
        <v>114.1967919559</v>
      </c>
      <c r="E23" s="157">
        <f>IF($B23=" ","",IFERROR(INDEX(MMWR_RATING_STATE_ROLLUP_VSC[],MATCH($B23,MMWR_RATING_STATE_ROLLUP_VSC[MMWR_RATING_STATE_ROLLUP_VSC],0),MATCH(E$9,MMWR_RATING_STATE_ROLLUP_VSC[#Headers],0))/$C23,"ERROR"))</f>
        <v>0.31481924826430452</v>
      </c>
      <c r="F23" s="155">
        <f>IF($B23=" ","",IFERROR(INDEX(MMWR_RATING_STATE_ROLLUP_VSC[],MATCH($B23,MMWR_RATING_STATE_ROLLUP_VSC[MMWR_RATING_STATE_ROLLUP_VSC],0),MATCH(F$9,MMWR_RATING_STATE_ROLLUP_VSC[#Headers],0)),"ERROR"))</f>
        <v>866</v>
      </c>
      <c r="G23" s="155">
        <f>IF($B23=" ","",IFERROR(INDEX(MMWR_RATING_STATE_ROLLUP_VSC[],MATCH($B23,MMWR_RATING_STATE_ROLLUP_VSC[MMWR_RATING_STATE_ROLLUP_VSC],0),MATCH(G$9,MMWR_RATING_STATE_ROLLUP_VSC[#Headers],0)),"ERROR"))</f>
        <v>12362</v>
      </c>
      <c r="H23" s="156">
        <f>IF($B23=" ","",IFERROR(INDEX(MMWR_RATING_STATE_ROLLUP_VSC[],MATCH($B23,MMWR_RATING_STATE_ROLLUP_VSC[MMWR_RATING_STATE_ROLLUP_VSC],0),MATCH(H$9,MMWR_RATING_STATE_ROLLUP_VSC[#Headers],0)),"ERROR"))</f>
        <v>165.63279445730001</v>
      </c>
      <c r="I23" s="156">
        <f>IF($B23=" ","",IFERROR(INDEX(MMWR_RATING_STATE_ROLLUP_VSC[],MATCH($B23,MMWR_RATING_STATE_ROLLUP_VSC[MMWR_RATING_STATE_ROLLUP_VSC],0),MATCH(I$9,MMWR_RATING_STATE_ROLLUP_VSC[#Headers],0)),"ERROR"))</f>
        <v>191.10103543119999</v>
      </c>
      <c r="J23" s="42"/>
      <c r="K23" s="42"/>
      <c r="L23" s="42"/>
      <c r="M23" s="42"/>
      <c r="N23" s="28"/>
    </row>
    <row r="24" spans="1:14" x14ac:dyDescent="0.2">
      <c r="A24" s="25"/>
      <c r="B24" s="8" t="str">
        <f>VLOOKUP($B$15,DISTRICT_STATES[],10,0)</f>
        <v>New York</v>
      </c>
      <c r="C24" s="155">
        <f>IF($B24=" ","",IFERROR(INDEX(MMWR_RATING_STATE_ROLLUP_VSC[],MATCH($B24,MMWR_RATING_STATE_ROLLUP_VSC[MMWR_RATING_STATE_ROLLUP_VSC],0),MATCH(C$9,MMWR_RATING_STATE_ROLLUP_VSC[#Headers],0)),"ERROR"))</f>
        <v>9323</v>
      </c>
      <c r="D24" s="156">
        <f>IF($B24=" ","",IFERROR(INDEX(MMWR_RATING_STATE_ROLLUP_VSC[],MATCH($B24,MMWR_RATING_STATE_ROLLUP_VSC[MMWR_RATING_STATE_ROLLUP_VSC],0),MATCH(D$9,MMWR_RATING_STATE_ROLLUP_VSC[#Headers],0)),"ERROR"))</f>
        <v>111.7879437949</v>
      </c>
      <c r="E24" s="157">
        <f>IF($B24=" ","",IFERROR(INDEX(MMWR_RATING_STATE_ROLLUP_VSC[],MATCH($B24,MMWR_RATING_STATE_ROLLUP_VSC[MMWR_RATING_STATE_ROLLUP_VSC],0),MATCH(E$9,MMWR_RATING_STATE_ROLLUP_VSC[#Headers],0))/$C24,"ERROR"))</f>
        <v>0.29507669205191461</v>
      </c>
      <c r="F24" s="155">
        <f>IF($B24=" ","",IFERROR(INDEX(MMWR_RATING_STATE_ROLLUP_VSC[],MATCH($B24,MMWR_RATING_STATE_ROLLUP_VSC[MMWR_RATING_STATE_ROLLUP_VSC],0),MATCH(F$9,MMWR_RATING_STATE_ROLLUP_VSC[#Headers],0)),"ERROR"))</f>
        <v>1819</v>
      </c>
      <c r="G24" s="155">
        <f>IF($B24=" ","",IFERROR(INDEX(MMWR_RATING_STATE_ROLLUP_VSC[],MATCH($B24,MMWR_RATING_STATE_ROLLUP_VSC[MMWR_RATING_STATE_ROLLUP_VSC],0),MATCH(G$9,MMWR_RATING_STATE_ROLLUP_VSC[#Headers],0)),"ERROR"))</f>
        <v>29152</v>
      </c>
      <c r="H24" s="156">
        <f>IF($B24=" ","",IFERROR(INDEX(MMWR_RATING_STATE_ROLLUP_VSC[],MATCH($B24,MMWR_RATING_STATE_ROLLUP_VSC[MMWR_RATING_STATE_ROLLUP_VSC],0),MATCH(H$9,MMWR_RATING_STATE_ROLLUP_VSC[#Headers],0)),"ERROR"))</f>
        <v>167.31775700930001</v>
      </c>
      <c r="I24" s="156">
        <f>IF($B24=" ","",IFERROR(INDEX(MMWR_RATING_STATE_ROLLUP_VSC[],MATCH($B24,MMWR_RATING_STATE_ROLLUP_VSC[MMWR_RATING_STATE_ROLLUP_VSC],0),MATCH(I$9,MMWR_RATING_STATE_ROLLUP_VSC[#Headers],0)),"ERROR"))</f>
        <v>197.97667398460001</v>
      </c>
      <c r="J24" s="42"/>
      <c r="K24" s="42"/>
      <c r="L24" s="42"/>
      <c r="M24" s="42"/>
      <c r="N24" s="28"/>
    </row>
    <row r="25" spans="1:14" x14ac:dyDescent="0.2">
      <c r="A25" s="25"/>
      <c r="B25" s="8" t="str">
        <f>VLOOKUP($B$15,DISTRICT_STATES[],11,0)</f>
        <v>North Carolina</v>
      </c>
      <c r="C25" s="155">
        <f>IF($B25=" ","",IFERROR(INDEX(MMWR_RATING_STATE_ROLLUP_VSC[],MATCH($B25,MMWR_RATING_STATE_ROLLUP_VSC[MMWR_RATING_STATE_ROLLUP_VSC],0),MATCH(C$9,MMWR_RATING_STATE_ROLLUP_VSC[#Headers],0)),"ERROR"))</f>
        <v>17082</v>
      </c>
      <c r="D25" s="156">
        <f>IF($B25=" ","",IFERROR(INDEX(MMWR_RATING_STATE_ROLLUP_VSC[],MATCH($B25,MMWR_RATING_STATE_ROLLUP_VSC[MMWR_RATING_STATE_ROLLUP_VSC],0),MATCH(D$9,MMWR_RATING_STATE_ROLLUP_VSC[#Headers],0)),"ERROR"))</f>
        <v>117.17369160520001</v>
      </c>
      <c r="E25" s="157">
        <f>IF($B25=" ","",IFERROR(INDEX(MMWR_RATING_STATE_ROLLUP_VSC[],MATCH($B25,MMWR_RATING_STATE_ROLLUP_VSC[MMWR_RATING_STATE_ROLLUP_VSC],0),MATCH(E$9,MMWR_RATING_STATE_ROLLUP_VSC[#Headers],0))/$C25,"ERROR"))</f>
        <v>0.31963470319634701</v>
      </c>
      <c r="F25" s="155">
        <f>IF($B25=" ","",IFERROR(INDEX(MMWR_RATING_STATE_ROLLUP_VSC[],MATCH($B25,MMWR_RATING_STATE_ROLLUP_VSC[MMWR_RATING_STATE_ROLLUP_VSC],0),MATCH(F$9,MMWR_RATING_STATE_ROLLUP_VSC[#Headers],0)),"ERROR"))</f>
        <v>3607</v>
      </c>
      <c r="G25" s="155">
        <f>IF($B25=" ","",IFERROR(INDEX(MMWR_RATING_STATE_ROLLUP_VSC[],MATCH($B25,MMWR_RATING_STATE_ROLLUP_VSC[MMWR_RATING_STATE_ROLLUP_VSC],0),MATCH(G$9,MMWR_RATING_STATE_ROLLUP_VSC[#Headers],0)),"ERROR"))</f>
        <v>53595</v>
      </c>
      <c r="H25" s="156">
        <f>IF($B25=" ","",IFERROR(INDEX(MMWR_RATING_STATE_ROLLUP_VSC[],MATCH($B25,MMWR_RATING_STATE_ROLLUP_VSC[MMWR_RATING_STATE_ROLLUP_VSC],0),MATCH(H$9,MMWR_RATING_STATE_ROLLUP_VSC[#Headers],0)),"ERROR"))</f>
        <v>162.28195176049999</v>
      </c>
      <c r="I25" s="156">
        <f>IF($B25=" ","",IFERROR(INDEX(MMWR_RATING_STATE_ROLLUP_VSC[],MATCH($B25,MMWR_RATING_STATE_ROLLUP_VSC[MMWR_RATING_STATE_ROLLUP_VSC],0),MATCH(I$9,MMWR_RATING_STATE_ROLLUP_VSC[#Headers],0)),"ERROR"))</f>
        <v>195.4697453121</v>
      </c>
      <c r="J25" s="42"/>
      <c r="K25" s="42"/>
      <c r="L25" s="42"/>
      <c r="M25" s="42"/>
      <c r="N25" s="28"/>
    </row>
    <row r="26" spans="1:14" x14ac:dyDescent="0.2">
      <c r="A26" s="25"/>
      <c r="B26" s="8" t="str">
        <f>VLOOKUP($B$15,DISTRICT_STATES[],12,0)</f>
        <v>Pennsylvania</v>
      </c>
      <c r="C26" s="155">
        <f>IF($B26=" ","",IFERROR(INDEX(MMWR_RATING_STATE_ROLLUP_VSC[],MATCH($B26,MMWR_RATING_STATE_ROLLUP_VSC[MMWR_RATING_STATE_ROLLUP_VSC],0),MATCH(C$9,MMWR_RATING_STATE_ROLLUP_VSC[#Headers],0)),"ERROR"))</f>
        <v>9374</v>
      </c>
      <c r="D26" s="156">
        <f>IF($B26=" ","",IFERROR(INDEX(MMWR_RATING_STATE_ROLLUP_VSC[],MATCH($B26,MMWR_RATING_STATE_ROLLUP_VSC[MMWR_RATING_STATE_ROLLUP_VSC],0),MATCH(D$9,MMWR_RATING_STATE_ROLLUP_VSC[#Headers],0)),"ERROR"))</f>
        <v>121.3681459356</v>
      </c>
      <c r="E26" s="157">
        <f>IF($B26=" ","",IFERROR(INDEX(MMWR_RATING_STATE_ROLLUP_VSC[],MATCH($B26,MMWR_RATING_STATE_ROLLUP_VSC[MMWR_RATING_STATE_ROLLUP_VSC],0),MATCH(E$9,MMWR_RATING_STATE_ROLLUP_VSC[#Headers],0))/$C26,"ERROR"))</f>
        <v>0.32494132707488799</v>
      </c>
      <c r="F26" s="155">
        <f>IF($B26=" ","",IFERROR(INDEX(MMWR_RATING_STATE_ROLLUP_VSC[],MATCH($B26,MMWR_RATING_STATE_ROLLUP_VSC[MMWR_RATING_STATE_ROLLUP_VSC],0),MATCH(F$9,MMWR_RATING_STATE_ROLLUP_VSC[#Headers],0)),"ERROR"))</f>
        <v>1861</v>
      </c>
      <c r="G26" s="155">
        <f>IF($B26=" ","",IFERROR(INDEX(MMWR_RATING_STATE_ROLLUP_VSC[],MATCH($B26,MMWR_RATING_STATE_ROLLUP_VSC[MMWR_RATING_STATE_ROLLUP_VSC],0),MATCH(G$9,MMWR_RATING_STATE_ROLLUP_VSC[#Headers],0)),"ERROR"))</f>
        <v>30253</v>
      </c>
      <c r="H26" s="156">
        <f>IF($B26=" ","",IFERROR(INDEX(MMWR_RATING_STATE_ROLLUP_VSC[],MATCH($B26,MMWR_RATING_STATE_ROLLUP_VSC[MMWR_RATING_STATE_ROLLUP_VSC],0),MATCH(H$9,MMWR_RATING_STATE_ROLLUP_VSC[#Headers],0)),"ERROR"))</f>
        <v>161.66523374529999</v>
      </c>
      <c r="I26" s="156">
        <f>IF($B26=" ","",IFERROR(INDEX(MMWR_RATING_STATE_ROLLUP_VSC[],MATCH($B26,MMWR_RATING_STATE_ROLLUP_VSC[MMWR_RATING_STATE_ROLLUP_VSC],0),MATCH(I$9,MMWR_RATING_STATE_ROLLUP_VSC[#Headers],0)),"ERROR"))</f>
        <v>210.04776385810001</v>
      </c>
      <c r="J26" s="42"/>
      <c r="K26" s="42"/>
      <c r="L26" s="42"/>
      <c r="M26" s="42"/>
      <c r="N26" s="28"/>
    </row>
    <row r="27" spans="1:14" x14ac:dyDescent="0.2">
      <c r="A27" s="25"/>
      <c r="B27" s="8" t="str">
        <f>VLOOKUP($B$15,DISTRICT_STATES[],13,0)</f>
        <v>Rhode Island</v>
      </c>
      <c r="C27" s="155">
        <f>IF($B27=" ","",IFERROR(INDEX(MMWR_RATING_STATE_ROLLUP_VSC[],MATCH($B27,MMWR_RATING_STATE_ROLLUP_VSC[MMWR_RATING_STATE_ROLLUP_VSC],0),MATCH(C$9,MMWR_RATING_STATE_ROLLUP_VSC[#Headers],0)),"ERROR"))</f>
        <v>929</v>
      </c>
      <c r="D27" s="156">
        <f>IF($B27=" ","",IFERROR(INDEX(MMWR_RATING_STATE_ROLLUP_VSC[],MATCH($B27,MMWR_RATING_STATE_ROLLUP_VSC[MMWR_RATING_STATE_ROLLUP_VSC],0),MATCH(D$9,MMWR_RATING_STATE_ROLLUP_VSC[#Headers],0)),"ERROR"))</f>
        <v>99.990312163599995</v>
      </c>
      <c r="E27" s="157">
        <f>IF($B27=" ","",IFERROR(INDEX(MMWR_RATING_STATE_ROLLUP_VSC[],MATCH($B27,MMWR_RATING_STATE_ROLLUP_VSC[MMWR_RATING_STATE_ROLLUP_VSC],0),MATCH(E$9,MMWR_RATING_STATE_ROLLUP_VSC[#Headers],0))/$C27,"ERROR"))</f>
        <v>0.29494079655543598</v>
      </c>
      <c r="F27" s="155">
        <f>IF($B27=" ","",IFERROR(INDEX(MMWR_RATING_STATE_ROLLUP_VSC[],MATCH($B27,MMWR_RATING_STATE_ROLLUP_VSC[MMWR_RATING_STATE_ROLLUP_VSC],0),MATCH(F$9,MMWR_RATING_STATE_ROLLUP_VSC[#Headers],0)),"ERROR"))</f>
        <v>163</v>
      </c>
      <c r="G27" s="155">
        <f>IF($B27=" ","",IFERROR(INDEX(MMWR_RATING_STATE_ROLLUP_VSC[],MATCH($B27,MMWR_RATING_STATE_ROLLUP_VSC[MMWR_RATING_STATE_ROLLUP_VSC],0),MATCH(G$9,MMWR_RATING_STATE_ROLLUP_VSC[#Headers],0)),"ERROR"))</f>
        <v>2784</v>
      </c>
      <c r="H27" s="156">
        <f>IF($B27=" ","",IFERROR(INDEX(MMWR_RATING_STATE_ROLLUP_VSC[],MATCH($B27,MMWR_RATING_STATE_ROLLUP_VSC[MMWR_RATING_STATE_ROLLUP_VSC],0),MATCH(H$9,MMWR_RATING_STATE_ROLLUP_VSC[#Headers],0)),"ERROR"))</f>
        <v>114.0858895706</v>
      </c>
      <c r="I27" s="156">
        <f>IF($B27=" ","",IFERROR(INDEX(MMWR_RATING_STATE_ROLLUP_VSC[],MATCH($B27,MMWR_RATING_STATE_ROLLUP_VSC[MMWR_RATING_STATE_ROLLUP_VSC],0),MATCH(I$9,MMWR_RATING_STATE_ROLLUP_VSC[#Headers],0)),"ERROR"))</f>
        <v>115.2604166667</v>
      </c>
      <c r="J27" s="42"/>
      <c r="K27" s="42"/>
      <c r="L27" s="42"/>
      <c r="M27" s="42"/>
      <c r="N27" s="28"/>
    </row>
    <row r="28" spans="1:14" x14ac:dyDescent="0.2">
      <c r="A28" s="25"/>
      <c r="B28" s="8" t="str">
        <f>VLOOKUP($B$15,DISTRICT_STATES[],14,0)</f>
        <v>Vermont</v>
      </c>
      <c r="C28" s="155">
        <f>IF($B28=" ","",IFERROR(INDEX(MMWR_RATING_STATE_ROLLUP_VSC[],MATCH($B28,MMWR_RATING_STATE_ROLLUP_VSC[MMWR_RATING_STATE_ROLLUP_VSC],0),MATCH(C$9,MMWR_RATING_STATE_ROLLUP_VSC[#Headers],0)),"ERROR"))</f>
        <v>409</v>
      </c>
      <c r="D28" s="156">
        <f>IF($B28=" ","",IFERROR(INDEX(MMWR_RATING_STATE_ROLLUP_VSC[],MATCH($B28,MMWR_RATING_STATE_ROLLUP_VSC[MMWR_RATING_STATE_ROLLUP_VSC],0),MATCH(D$9,MMWR_RATING_STATE_ROLLUP_VSC[#Headers],0)),"ERROR"))</f>
        <v>103.2249388753</v>
      </c>
      <c r="E28" s="157">
        <f>IF($B28=" ","",IFERROR(INDEX(MMWR_RATING_STATE_ROLLUP_VSC[],MATCH($B28,MMWR_RATING_STATE_ROLLUP_VSC[MMWR_RATING_STATE_ROLLUP_VSC],0),MATCH(E$9,MMWR_RATING_STATE_ROLLUP_VSC[#Headers],0))/$C28,"ERROR"))</f>
        <v>0.30806845965770169</v>
      </c>
      <c r="F28" s="155">
        <f>IF($B28=" ","",IFERROR(INDEX(MMWR_RATING_STATE_ROLLUP_VSC[],MATCH($B28,MMWR_RATING_STATE_ROLLUP_VSC[MMWR_RATING_STATE_ROLLUP_VSC],0),MATCH(F$9,MMWR_RATING_STATE_ROLLUP_VSC[#Headers],0)),"ERROR"))</f>
        <v>79</v>
      </c>
      <c r="G28" s="155">
        <f>IF($B28=" ","",IFERROR(INDEX(MMWR_RATING_STATE_ROLLUP_VSC[],MATCH($B28,MMWR_RATING_STATE_ROLLUP_VSC[MMWR_RATING_STATE_ROLLUP_VSC],0),MATCH(G$9,MMWR_RATING_STATE_ROLLUP_VSC[#Headers],0)),"ERROR"))</f>
        <v>1392</v>
      </c>
      <c r="H28" s="156">
        <f>IF($B28=" ","",IFERROR(INDEX(MMWR_RATING_STATE_ROLLUP_VSC[],MATCH($B28,MMWR_RATING_STATE_ROLLUP_VSC[MMWR_RATING_STATE_ROLLUP_VSC],0),MATCH(H$9,MMWR_RATING_STATE_ROLLUP_VSC[#Headers],0)),"ERROR"))</f>
        <v>124.8607594937</v>
      </c>
      <c r="I28" s="156">
        <f>IF($B28=" ","",IFERROR(INDEX(MMWR_RATING_STATE_ROLLUP_VSC[],MATCH($B28,MMWR_RATING_STATE_ROLLUP_VSC[MMWR_RATING_STATE_ROLLUP_VSC],0),MATCH(I$9,MMWR_RATING_STATE_ROLLUP_VSC[#Headers],0)),"ERROR"))</f>
        <v>163.50215517239999</v>
      </c>
      <c r="J28" s="42"/>
      <c r="K28" s="42"/>
      <c r="L28" s="42"/>
      <c r="M28" s="42"/>
      <c r="N28" s="28"/>
    </row>
    <row r="29" spans="1:14" x14ac:dyDescent="0.2">
      <c r="A29" s="25"/>
      <c r="B29" s="8" t="str">
        <f>VLOOKUP($B$15,DISTRICT_STATES[],15,0)</f>
        <v>Virginia</v>
      </c>
      <c r="C29" s="155">
        <f>IF($B29=" ","",IFERROR(INDEX(MMWR_RATING_STATE_ROLLUP_VSC[],MATCH($B29,MMWR_RATING_STATE_ROLLUP_VSC[MMWR_RATING_STATE_ROLLUP_VSC],0),MATCH(C$9,MMWR_RATING_STATE_ROLLUP_VSC[#Headers],0)),"ERROR"))</f>
        <v>11303</v>
      </c>
      <c r="D29" s="156">
        <f>IF($B29=" ","",IFERROR(INDEX(MMWR_RATING_STATE_ROLLUP_VSC[],MATCH($B29,MMWR_RATING_STATE_ROLLUP_VSC[MMWR_RATING_STATE_ROLLUP_VSC],0),MATCH(D$9,MMWR_RATING_STATE_ROLLUP_VSC[#Headers],0)),"ERROR"))</f>
        <v>105.4469609838</v>
      </c>
      <c r="E29" s="157">
        <f>IF($B29=" ","",IFERROR(INDEX(MMWR_RATING_STATE_ROLLUP_VSC[],MATCH($B29,MMWR_RATING_STATE_ROLLUP_VSC[MMWR_RATING_STATE_ROLLUP_VSC],0),MATCH(E$9,MMWR_RATING_STATE_ROLLUP_VSC[#Headers],0))/$C29,"ERROR"))</f>
        <v>0.2840838715385296</v>
      </c>
      <c r="F29" s="155">
        <f>IF($B29=" ","",IFERROR(INDEX(MMWR_RATING_STATE_ROLLUP_VSC[],MATCH($B29,MMWR_RATING_STATE_ROLLUP_VSC[MMWR_RATING_STATE_ROLLUP_VSC],0),MATCH(F$9,MMWR_RATING_STATE_ROLLUP_VSC[#Headers],0)),"ERROR"))</f>
        <v>2423</v>
      </c>
      <c r="G29" s="155">
        <f>IF($B29=" ","",IFERROR(INDEX(MMWR_RATING_STATE_ROLLUP_VSC[],MATCH($B29,MMWR_RATING_STATE_ROLLUP_VSC[MMWR_RATING_STATE_ROLLUP_VSC],0),MATCH(G$9,MMWR_RATING_STATE_ROLLUP_VSC[#Headers],0)),"ERROR"))</f>
        <v>37405</v>
      </c>
      <c r="H29" s="156">
        <f>IF($B29=" ","",IFERROR(INDEX(MMWR_RATING_STATE_ROLLUP_VSC[],MATCH($B29,MMWR_RATING_STATE_ROLLUP_VSC[MMWR_RATING_STATE_ROLLUP_VSC],0),MATCH(H$9,MMWR_RATING_STATE_ROLLUP_VSC[#Headers],0)),"ERROR"))</f>
        <v>158.83615352870001</v>
      </c>
      <c r="I29" s="156">
        <f>IF($B29=" ","",IFERROR(INDEX(MMWR_RATING_STATE_ROLLUP_VSC[],MATCH($B29,MMWR_RATING_STATE_ROLLUP_VSC[MMWR_RATING_STATE_ROLLUP_VSC],0),MATCH(I$9,MMWR_RATING_STATE_ROLLUP_VSC[#Headers],0)),"ERROR"))</f>
        <v>198.35035423069999</v>
      </c>
      <c r="J29" s="42"/>
      <c r="K29" s="42"/>
      <c r="L29" s="42"/>
      <c r="M29" s="42"/>
      <c r="N29" s="28"/>
    </row>
    <row r="30" spans="1:14" x14ac:dyDescent="0.2">
      <c r="A30" s="25"/>
      <c r="B30" s="8" t="str">
        <f>VLOOKUP($B$15,DISTRICT_STATES[],16,0)</f>
        <v>West Virginia</v>
      </c>
      <c r="C30" s="155">
        <f>IF($B30=" ","",IFERROR(INDEX(MMWR_RATING_STATE_ROLLUP_VSC[],MATCH($B30,MMWR_RATING_STATE_ROLLUP_VSC[MMWR_RATING_STATE_ROLLUP_VSC],0),MATCH(C$9,MMWR_RATING_STATE_ROLLUP_VSC[#Headers],0)),"ERROR"))</f>
        <v>2225</v>
      </c>
      <c r="D30" s="156">
        <f>IF($B30=" ","",IFERROR(INDEX(MMWR_RATING_STATE_ROLLUP_VSC[],MATCH($B30,MMWR_RATING_STATE_ROLLUP_VSC[MMWR_RATING_STATE_ROLLUP_VSC],0),MATCH(D$9,MMWR_RATING_STATE_ROLLUP_VSC[#Headers],0)),"ERROR"))</f>
        <v>91.670561797800005</v>
      </c>
      <c r="E30" s="157">
        <f>IF($B30=" ","",IFERROR(INDEX(MMWR_RATING_STATE_ROLLUP_VSC[],MATCH($B30,MMWR_RATING_STATE_ROLLUP_VSC[MMWR_RATING_STATE_ROLLUP_VSC],0),MATCH(E$9,MMWR_RATING_STATE_ROLLUP_VSC[#Headers],0))/$C30,"ERROR"))</f>
        <v>0.21932584269662922</v>
      </c>
      <c r="F30" s="155">
        <f>IF($B30=" ","",IFERROR(INDEX(MMWR_RATING_STATE_ROLLUP_VSC[],MATCH($B30,MMWR_RATING_STATE_ROLLUP_VSC[MMWR_RATING_STATE_ROLLUP_VSC],0),MATCH(F$9,MMWR_RATING_STATE_ROLLUP_VSC[#Headers],0)),"ERROR"))</f>
        <v>801</v>
      </c>
      <c r="G30" s="155">
        <f>IF($B30=" ","",IFERROR(INDEX(MMWR_RATING_STATE_ROLLUP_VSC[],MATCH($B30,MMWR_RATING_STATE_ROLLUP_VSC[MMWR_RATING_STATE_ROLLUP_VSC],0),MATCH(G$9,MMWR_RATING_STATE_ROLLUP_VSC[#Headers],0)),"ERROR"))</f>
        <v>8835</v>
      </c>
      <c r="H30" s="156">
        <f>IF($B30=" ","",IFERROR(INDEX(MMWR_RATING_STATE_ROLLUP_VSC[],MATCH($B30,MMWR_RATING_STATE_ROLLUP_VSC[MMWR_RATING_STATE_ROLLUP_VSC],0),MATCH(H$9,MMWR_RATING_STATE_ROLLUP_VSC[#Headers],0)),"ERROR"))</f>
        <v>118.0237203496</v>
      </c>
      <c r="I30" s="156">
        <f>IF($B30=" ","",IFERROR(INDEX(MMWR_RATING_STATE_ROLLUP_VSC[],MATCH($B30,MMWR_RATING_STATE_ROLLUP_VSC[MMWR_RATING_STATE_ROLLUP_VSC],0),MATCH(I$9,MMWR_RATING_STATE_ROLLUP_VSC[#Headers],0)),"ERROR"))</f>
        <v>146.84199207699999</v>
      </c>
      <c r="J30" s="42"/>
      <c r="K30" s="42"/>
      <c r="L30" s="42"/>
      <c r="M30" s="42"/>
      <c r="N30" s="28"/>
    </row>
    <row r="31" spans="1:14" x14ac:dyDescent="0.2">
      <c r="A31" s="25"/>
      <c r="B31" s="339" t="s">
        <v>971</v>
      </c>
      <c r="C31" s="340"/>
      <c r="D31" s="340"/>
      <c r="E31" s="340"/>
      <c r="F31" s="340"/>
      <c r="G31" s="340"/>
      <c r="H31" s="340"/>
      <c r="I31" s="340"/>
      <c r="J31" s="340"/>
      <c r="K31" s="340"/>
      <c r="L31" s="340"/>
      <c r="M31" s="390"/>
      <c r="N31" s="28"/>
    </row>
    <row r="32" spans="1:14" x14ac:dyDescent="0.2">
      <c r="A32" s="25"/>
      <c r="B32" s="41" t="s">
        <v>1050</v>
      </c>
      <c r="C32" s="155">
        <f>IF($B32=" ","",IFERROR(INDEX(MMWR_RATING_STATE_ROLLUP_PMC[],MATCH($B32,MMWR_RATING_STATE_ROLLUP_PMC[MMWR_RATING_STATE_ROLLUP_PMC],0),MATCH(C$9,MMWR_RATING_STATE_ROLLUP_PMC[#Headers],0)),"ERROR"))</f>
        <v>19557</v>
      </c>
      <c r="D32" s="156">
        <f>IF($B32=" ","",IFERROR(INDEX(MMWR_RATING_STATE_ROLLUP_PMC[],MATCH($B32,MMWR_RATING_STATE_ROLLUP_PMC[MMWR_RATING_STATE_ROLLUP_PMC],0),MATCH(D$9,MMWR_RATING_STATE_ROLLUP_PMC[#Headers],0)),"ERROR"))</f>
        <v>61.343150790000003</v>
      </c>
      <c r="E32" s="157">
        <f>IF($B32=" ","",IFERROR(INDEX(MMWR_RATING_STATE_ROLLUP_PMC[],MATCH($B32,MMWR_RATING_STATE_ROLLUP_PMC[MMWR_RATING_STATE_ROLLUP_PMC],0),MATCH(E$9,MMWR_RATING_STATE_ROLLUP_PMC[#Headers],0))/$C32,"ERROR"))</f>
        <v>9.7918903717339065E-2</v>
      </c>
      <c r="F32" s="155">
        <f>IF($B32=" ","",IFERROR(INDEX(MMWR_RATING_STATE_ROLLUP_PMC[],MATCH($B32,MMWR_RATING_STATE_ROLLUP_PMC[MMWR_RATING_STATE_ROLLUP_PMC],0),MATCH(F$9,MMWR_RATING_STATE_ROLLUP_PMC[#Headers],0)),"ERROR"))</f>
        <v>7917</v>
      </c>
      <c r="G32" s="155">
        <f>IF($B32=" ","",IFERROR(INDEX(MMWR_RATING_STATE_ROLLUP_PMC[],MATCH($B32,MMWR_RATING_STATE_ROLLUP_PMC[MMWR_RATING_STATE_ROLLUP_PMC],0),MATCH(G$9,MMWR_RATING_STATE_ROLLUP_PMC[#Headers],0)),"ERROR"))</f>
        <v>136416</v>
      </c>
      <c r="H32" s="156">
        <f>IF($B32=" ","",IFERROR(INDEX(MMWR_RATING_STATE_ROLLUP_PMC[],MATCH($B32,MMWR_RATING_STATE_ROLLUP_PMC[MMWR_RATING_STATE_ROLLUP_PMC],0),MATCH(H$9,MMWR_RATING_STATE_ROLLUP_PMC[#Headers],0)),"ERROR"))</f>
        <v>66.383604900799995</v>
      </c>
      <c r="I32" s="156">
        <f>IF($B32=" ","",IFERROR(INDEX(MMWR_RATING_STATE_ROLLUP_PMC[],MATCH($B32,MMWR_RATING_STATE_ROLLUP_PMC[MMWR_RATING_STATE_ROLLUP_PMC],0),MATCH(I$9,MMWR_RATING_STATE_ROLLUP_PMC[#Headers],0)),"ERROR"))</f>
        <v>64.438042458400005</v>
      </c>
      <c r="J32" s="42"/>
      <c r="K32" s="42"/>
      <c r="L32" s="42"/>
      <c r="M32" s="42"/>
      <c r="N32" s="28"/>
    </row>
    <row r="33" spans="1:14" x14ac:dyDescent="0.2">
      <c r="A33" s="25"/>
      <c r="B33" s="251" t="str">
        <f>INDEX(DISTRICT_STATES[],MATCH($B$5,DISTRICT_RO[District],0),1)</f>
        <v>North Atlantic</v>
      </c>
      <c r="C33" s="155">
        <f>IF($B33=" ","",IFERROR(INDEX(MMWR_RATING_STATE_ROLLUP_PMC[],MATCH($B33,MMWR_RATING_STATE_ROLLUP_PMC[MMWR_RATING_STATE_ROLLUP_PMC],0),MATCH(C$9,MMWR_RATING_STATE_ROLLUP_PMC[#Headers],0)),"ERROR"))</f>
        <v>3538</v>
      </c>
      <c r="D33" s="156">
        <f>IF($B33=" ","",IFERROR(INDEX(MMWR_RATING_STATE_ROLLUP_PMC[],MATCH($B33,MMWR_RATING_STATE_ROLLUP_PMC[MMWR_RATING_STATE_ROLLUP_PMC],0),MATCH(D$9,MMWR_RATING_STATE_ROLLUP_PMC[#Headers],0)),"ERROR"))</f>
        <v>72.154324477100005</v>
      </c>
      <c r="E33" s="157">
        <f>IF($B33=" ","",IFERROR(INDEX(MMWR_RATING_STATE_ROLLUP_PMC[],MATCH($B33,MMWR_RATING_STATE_ROLLUP_PMC[MMWR_RATING_STATE_ROLLUP_PMC],0),MATCH(E$9,MMWR_RATING_STATE_ROLLUP_PMC[#Headers],0))/$C33,"ERROR"))</f>
        <v>0.13227812323346524</v>
      </c>
      <c r="F33" s="155">
        <f>IF($B33=" ","",IFERROR(INDEX(MMWR_RATING_STATE_ROLLUP_PMC[],MATCH($B33,MMWR_RATING_STATE_ROLLUP_PMC[MMWR_RATING_STATE_ROLLUP_PMC],0),MATCH(F$9,MMWR_RATING_STATE_ROLLUP_PMC[#Headers],0)),"ERROR"))</f>
        <v>1527</v>
      </c>
      <c r="G33" s="155">
        <f>IF($B33=" ","",IFERROR(INDEX(MMWR_RATING_STATE_ROLLUP_PMC[],MATCH($B33,MMWR_RATING_STATE_ROLLUP_PMC[MMWR_RATING_STATE_ROLLUP_PMC],0),MATCH(G$9,MMWR_RATING_STATE_ROLLUP_PMC[#Headers],0)),"ERROR"))</f>
        <v>26368</v>
      </c>
      <c r="H33" s="156">
        <f>IF($B33=" ","",IFERROR(INDEX(MMWR_RATING_STATE_ROLLUP_PMC[],MATCH($B33,MMWR_RATING_STATE_ROLLUP_PMC[MMWR_RATING_STATE_ROLLUP_PMC],0),MATCH(H$9,MMWR_RATING_STATE_ROLLUP_PMC[#Headers],0)),"ERROR"))</f>
        <v>73.730844793700001</v>
      </c>
      <c r="I33" s="156">
        <f>IF($B33=" ","",IFERROR(INDEX(MMWR_RATING_STATE_ROLLUP_PMC[],MATCH($B33,MMWR_RATING_STATE_ROLLUP_PMC[MMWR_RATING_STATE_ROLLUP_PMC],0),MATCH(I$9,MMWR_RATING_STATE_ROLLUP_PMC[#Headers],0)),"ERROR"))</f>
        <v>74.321981189300004</v>
      </c>
      <c r="J33" s="42"/>
      <c r="K33" s="42"/>
      <c r="L33" s="42"/>
      <c r="M33" s="42"/>
      <c r="N33" s="28"/>
    </row>
    <row r="34" spans="1:14" x14ac:dyDescent="0.2">
      <c r="A34" s="25"/>
      <c r="B34" s="8" t="str">
        <f>VLOOKUP($B$15,DISTRICT_STATES[],2,0)</f>
        <v>Connecticut</v>
      </c>
      <c r="C34" s="155">
        <f>IF($B34=" ","",IFERROR(INDEX(MMWR_RATING_STATE_ROLLUP_PMC[],MATCH($B34,MMWR_RATING_STATE_ROLLUP_PMC[MMWR_RATING_STATE_ROLLUP_PMC],0),MATCH(C$9,MMWR_RATING_STATE_ROLLUP_PMC[#Headers],0)),"ERROR"))</f>
        <v>100</v>
      </c>
      <c r="D34" s="156">
        <f>IF($B34=" ","",IFERROR(INDEX(MMWR_RATING_STATE_ROLLUP_PMC[],MATCH($B34,MMWR_RATING_STATE_ROLLUP_PMC[MMWR_RATING_STATE_ROLLUP_PMC],0),MATCH(D$9,MMWR_RATING_STATE_ROLLUP_PMC[#Headers],0)),"ERROR"))</f>
        <v>79.11</v>
      </c>
      <c r="E34" s="157">
        <f>IF($B34=" ","",IFERROR(INDEX(MMWR_RATING_STATE_ROLLUP_PMC[],MATCH($B34,MMWR_RATING_STATE_ROLLUP_PMC[MMWR_RATING_STATE_ROLLUP_PMC],0),MATCH(E$9,MMWR_RATING_STATE_ROLLUP_PMC[#Headers],0))/$C34,"ERROR"))</f>
        <v>0.12</v>
      </c>
      <c r="F34" s="155">
        <f>IF($B34=" ","",IFERROR(INDEX(MMWR_RATING_STATE_ROLLUP_PMC[],MATCH($B34,MMWR_RATING_STATE_ROLLUP_PMC[MMWR_RATING_STATE_ROLLUP_PMC],0),MATCH(F$9,MMWR_RATING_STATE_ROLLUP_PMC[#Headers],0)),"ERROR"))</f>
        <v>45</v>
      </c>
      <c r="G34" s="155">
        <f>IF($B34=" ","",IFERROR(INDEX(MMWR_RATING_STATE_ROLLUP_PMC[],MATCH($B34,MMWR_RATING_STATE_ROLLUP_PMC[MMWR_RATING_STATE_ROLLUP_PMC],0),MATCH(G$9,MMWR_RATING_STATE_ROLLUP_PMC[#Headers],0)),"ERROR"))</f>
        <v>802</v>
      </c>
      <c r="H34" s="156">
        <f>IF($B34=" ","",IFERROR(INDEX(MMWR_RATING_STATE_ROLLUP_PMC[],MATCH($B34,MMWR_RATING_STATE_ROLLUP_PMC[MMWR_RATING_STATE_ROLLUP_PMC],0),MATCH(H$9,MMWR_RATING_STATE_ROLLUP_PMC[#Headers],0)),"ERROR"))</f>
        <v>72.266666666700004</v>
      </c>
      <c r="I34" s="156">
        <f>IF($B34=" ","",IFERROR(INDEX(MMWR_RATING_STATE_ROLLUP_PMC[],MATCH($B34,MMWR_RATING_STATE_ROLLUP_PMC[MMWR_RATING_STATE_ROLLUP_PMC],0),MATCH(I$9,MMWR_RATING_STATE_ROLLUP_PMC[#Headers],0)),"ERROR"))</f>
        <v>75.094763092299999</v>
      </c>
      <c r="J34" s="42"/>
      <c r="K34" s="42"/>
      <c r="L34" s="42"/>
      <c r="M34" s="42"/>
      <c r="N34" s="28"/>
    </row>
    <row r="35" spans="1:14" x14ac:dyDescent="0.2">
      <c r="A35" s="25"/>
      <c r="B35" s="8" t="str">
        <f>VLOOKUP($B$15,DISTRICT_STATES[],3,0)</f>
        <v>Delaware</v>
      </c>
      <c r="C35" s="155">
        <f>IF($B35=" ","",IFERROR(INDEX(MMWR_RATING_STATE_ROLLUP_PMC[],MATCH($B35,MMWR_RATING_STATE_ROLLUP_PMC[MMWR_RATING_STATE_ROLLUP_PMC],0),MATCH(C$9,MMWR_RATING_STATE_ROLLUP_PMC[#Headers],0)),"ERROR"))</f>
        <v>27</v>
      </c>
      <c r="D35" s="156">
        <f>IF($B35=" ","",IFERROR(INDEX(MMWR_RATING_STATE_ROLLUP_PMC[],MATCH($B35,MMWR_RATING_STATE_ROLLUP_PMC[MMWR_RATING_STATE_ROLLUP_PMC],0),MATCH(D$9,MMWR_RATING_STATE_ROLLUP_PMC[#Headers],0)),"ERROR"))</f>
        <v>75.962962962999995</v>
      </c>
      <c r="E35" s="157">
        <f>IF($B35=" ","",IFERROR(INDEX(MMWR_RATING_STATE_ROLLUP_PMC[],MATCH($B35,MMWR_RATING_STATE_ROLLUP_PMC[MMWR_RATING_STATE_ROLLUP_PMC],0),MATCH(E$9,MMWR_RATING_STATE_ROLLUP_PMC[#Headers],0))/$C35,"ERROR"))</f>
        <v>0.18518518518518517</v>
      </c>
      <c r="F35" s="155">
        <f>IF($B35=" ","",IFERROR(INDEX(MMWR_RATING_STATE_ROLLUP_PMC[],MATCH($B35,MMWR_RATING_STATE_ROLLUP_PMC[MMWR_RATING_STATE_ROLLUP_PMC],0),MATCH(F$9,MMWR_RATING_STATE_ROLLUP_PMC[#Headers],0)),"ERROR"))</f>
        <v>12</v>
      </c>
      <c r="G35" s="155">
        <f>IF($B35=" ","",IFERROR(INDEX(MMWR_RATING_STATE_ROLLUP_PMC[],MATCH($B35,MMWR_RATING_STATE_ROLLUP_PMC[MMWR_RATING_STATE_ROLLUP_PMC],0),MATCH(G$9,MMWR_RATING_STATE_ROLLUP_PMC[#Headers],0)),"ERROR"))</f>
        <v>286</v>
      </c>
      <c r="H35" s="156">
        <f>IF($B35=" ","",IFERROR(INDEX(MMWR_RATING_STATE_ROLLUP_PMC[],MATCH($B35,MMWR_RATING_STATE_ROLLUP_PMC[MMWR_RATING_STATE_ROLLUP_PMC],0),MATCH(H$9,MMWR_RATING_STATE_ROLLUP_PMC[#Headers],0)),"ERROR"))</f>
        <v>132.6666666667</v>
      </c>
      <c r="I35" s="156">
        <f>IF($B35=" ","",IFERROR(INDEX(MMWR_RATING_STATE_ROLLUP_PMC[],MATCH($B35,MMWR_RATING_STATE_ROLLUP_PMC[MMWR_RATING_STATE_ROLLUP_PMC],0),MATCH(I$9,MMWR_RATING_STATE_ROLLUP_PMC[#Headers],0)),"ERROR"))</f>
        <v>84.5174825175</v>
      </c>
      <c r="J35" s="42"/>
      <c r="K35" s="42"/>
      <c r="L35" s="42"/>
      <c r="M35" s="42"/>
      <c r="N35" s="28"/>
    </row>
    <row r="36" spans="1:14" x14ac:dyDescent="0.2">
      <c r="A36" s="25"/>
      <c r="B36" s="8" t="str">
        <f>VLOOKUP($B$15,DISTRICT_STATES[],4,0)</f>
        <v>District of Columbia</v>
      </c>
      <c r="C36" s="155">
        <f>IF($B36=" ","",IFERROR(INDEX(MMWR_RATING_STATE_ROLLUP_PMC[],MATCH($B36,MMWR_RATING_STATE_ROLLUP_PMC[MMWR_RATING_STATE_ROLLUP_PMC],0),MATCH(C$9,MMWR_RATING_STATE_ROLLUP_PMC[#Headers],0)),"ERROR"))</f>
        <v>33</v>
      </c>
      <c r="D36" s="156">
        <f>IF($B36=" ","",IFERROR(INDEX(MMWR_RATING_STATE_ROLLUP_PMC[],MATCH($B36,MMWR_RATING_STATE_ROLLUP_PMC[MMWR_RATING_STATE_ROLLUP_PMC],0),MATCH(D$9,MMWR_RATING_STATE_ROLLUP_PMC[#Headers],0)),"ERROR"))</f>
        <v>59.212121212100001</v>
      </c>
      <c r="E36" s="157">
        <f>IF($B36=" ","",IFERROR(INDEX(MMWR_RATING_STATE_ROLLUP_PMC[],MATCH($B36,MMWR_RATING_STATE_ROLLUP_PMC[MMWR_RATING_STATE_ROLLUP_PMC],0),MATCH(E$9,MMWR_RATING_STATE_ROLLUP_PMC[#Headers],0))/$C36,"ERROR"))</f>
        <v>3.0303030303030304E-2</v>
      </c>
      <c r="F36" s="155">
        <f>IF($B36=" ","",IFERROR(INDEX(MMWR_RATING_STATE_ROLLUP_PMC[],MATCH($B36,MMWR_RATING_STATE_ROLLUP_PMC[MMWR_RATING_STATE_ROLLUP_PMC],0),MATCH(F$9,MMWR_RATING_STATE_ROLLUP_PMC[#Headers],0)),"ERROR"))</f>
        <v>7</v>
      </c>
      <c r="G36" s="155">
        <f>IF($B36=" ","",IFERROR(INDEX(MMWR_RATING_STATE_ROLLUP_PMC[],MATCH($B36,MMWR_RATING_STATE_ROLLUP_PMC[MMWR_RATING_STATE_ROLLUP_PMC],0),MATCH(G$9,MMWR_RATING_STATE_ROLLUP_PMC[#Headers],0)),"ERROR"))</f>
        <v>169</v>
      </c>
      <c r="H36" s="156">
        <f>IF($B36=" ","",IFERROR(INDEX(MMWR_RATING_STATE_ROLLUP_PMC[],MATCH($B36,MMWR_RATING_STATE_ROLLUP_PMC[MMWR_RATING_STATE_ROLLUP_PMC],0),MATCH(H$9,MMWR_RATING_STATE_ROLLUP_PMC[#Headers],0)),"ERROR"))</f>
        <v>68.714285714300004</v>
      </c>
      <c r="I36" s="156">
        <f>IF($B36=" ","",IFERROR(INDEX(MMWR_RATING_STATE_ROLLUP_PMC[],MATCH($B36,MMWR_RATING_STATE_ROLLUP_PMC[MMWR_RATING_STATE_ROLLUP_PMC],0),MATCH(I$9,MMWR_RATING_STATE_ROLLUP_PMC[#Headers],0)),"ERROR"))</f>
        <v>88.609467455599997</v>
      </c>
      <c r="J36" s="42"/>
      <c r="K36" s="42"/>
      <c r="L36" s="42"/>
      <c r="M36" s="42"/>
      <c r="N36" s="28"/>
    </row>
    <row r="37" spans="1:14" x14ac:dyDescent="0.2">
      <c r="A37" s="25"/>
      <c r="B37" s="8" t="str">
        <f>VLOOKUP($B$15,DISTRICT_STATES[],5,0)</f>
        <v>Maine</v>
      </c>
      <c r="C37" s="155">
        <f>IF($B37=" ","",IFERROR(INDEX(MMWR_RATING_STATE_ROLLUP_PMC[],MATCH($B37,MMWR_RATING_STATE_ROLLUP_PMC[MMWR_RATING_STATE_ROLLUP_PMC],0),MATCH(C$9,MMWR_RATING_STATE_ROLLUP_PMC[#Headers],0)),"ERROR"))</f>
        <v>46</v>
      </c>
      <c r="D37" s="156">
        <f>IF($B37=" ","",IFERROR(INDEX(MMWR_RATING_STATE_ROLLUP_PMC[],MATCH($B37,MMWR_RATING_STATE_ROLLUP_PMC[MMWR_RATING_STATE_ROLLUP_PMC],0),MATCH(D$9,MMWR_RATING_STATE_ROLLUP_PMC[#Headers],0)),"ERROR"))</f>
        <v>59.673913043500001</v>
      </c>
      <c r="E37" s="157">
        <f>IF($B37=" ","",IFERROR(INDEX(MMWR_RATING_STATE_ROLLUP_PMC[],MATCH($B37,MMWR_RATING_STATE_ROLLUP_PMC[MMWR_RATING_STATE_ROLLUP_PMC],0),MATCH(E$9,MMWR_RATING_STATE_ROLLUP_PMC[#Headers],0))/$C37,"ERROR"))</f>
        <v>6.5217391304347824E-2</v>
      </c>
      <c r="F37" s="155">
        <f>IF($B37=" ","",IFERROR(INDEX(MMWR_RATING_STATE_ROLLUP_PMC[],MATCH($B37,MMWR_RATING_STATE_ROLLUP_PMC[MMWR_RATING_STATE_ROLLUP_PMC],0),MATCH(F$9,MMWR_RATING_STATE_ROLLUP_PMC[#Headers],0)),"ERROR"))</f>
        <v>31</v>
      </c>
      <c r="G37" s="155">
        <f>IF($B37=" ","",IFERROR(INDEX(MMWR_RATING_STATE_ROLLUP_PMC[],MATCH($B37,MMWR_RATING_STATE_ROLLUP_PMC[MMWR_RATING_STATE_ROLLUP_PMC],0),MATCH(G$9,MMWR_RATING_STATE_ROLLUP_PMC[#Headers],0)),"ERROR"))</f>
        <v>504</v>
      </c>
      <c r="H37" s="156">
        <f>IF($B37=" ","",IFERROR(INDEX(MMWR_RATING_STATE_ROLLUP_PMC[],MATCH($B37,MMWR_RATING_STATE_ROLLUP_PMC[MMWR_RATING_STATE_ROLLUP_PMC],0),MATCH(H$9,MMWR_RATING_STATE_ROLLUP_PMC[#Headers],0)),"ERROR"))</f>
        <v>62.645161290300003</v>
      </c>
      <c r="I37" s="156">
        <f>IF($B37=" ","",IFERROR(INDEX(MMWR_RATING_STATE_ROLLUP_PMC[],MATCH($B37,MMWR_RATING_STATE_ROLLUP_PMC[MMWR_RATING_STATE_ROLLUP_PMC],0),MATCH(I$9,MMWR_RATING_STATE_ROLLUP_PMC[#Headers],0)),"ERROR"))</f>
        <v>64.547619047599994</v>
      </c>
      <c r="J37" s="42"/>
      <c r="K37" s="42"/>
      <c r="L37" s="42"/>
      <c r="M37" s="42"/>
      <c r="N37" s="28"/>
    </row>
    <row r="38" spans="1:14" x14ac:dyDescent="0.2">
      <c r="A38" s="25"/>
      <c r="B38" s="8" t="str">
        <f>VLOOKUP($B$15,DISTRICT_STATES[],6,0)</f>
        <v>Maryland</v>
      </c>
      <c r="C38" s="155">
        <f>IF($B38=" ","",IFERROR(INDEX(MMWR_RATING_STATE_ROLLUP_PMC[],MATCH($B38,MMWR_RATING_STATE_ROLLUP_PMC[MMWR_RATING_STATE_ROLLUP_PMC],0),MATCH(C$9,MMWR_RATING_STATE_ROLLUP_PMC[#Headers],0)),"ERROR"))</f>
        <v>251</v>
      </c>
      <c r="D38" s="156">
        <f>IF($B38=" ","",IFERROR(INDEX(MMWR_RATING_STATE_ROLLUP_PMC[],MATCH($B38,MMWR_RATING_STATE_ROLLUP_PMC[MMWR_RATING_STATE_ROLLUP_PMC],0),MATCH(D$9,MMWR_RATING_STATE_ROLLUP_PMC[#Headers],0)),"ERROR"))</f>
        <v>77.637450199200003</v>
      </c>
      <c r="E38" s="157">
        <f>IF($B38=" ","",IFERROR(INDEX(MMWR_RATING_STATE_ROLLUP_PMC[],MATCH($B38,MMWR_RATING_STATE_ROLLUP_PMC[MMWR_RATING_STATE_ROLLUP_PMC],0),MATCH(E$9,MMWR_RATING_STATE_ROLLUP_PMC[#Headers],0))/$C38,"ERROR"))</f>
        <v>0.1394422310756972</v>
      </c>
      <c r="F38" s="155">
        <f>IF($B38=" ","",IFERROR(INDEX(MMWR_RATING_STATE_ROLLUP_PMC[],MATCH($B38,MMWR_RATING_STATE_ROLLUP_PMC[MMWR_RATING_STATE_ROLLUP_PMC],0),MATCH(F$9,MMWR_RATING_STATE_ROLLUP_PMC[#Headers],0)),"ERROR"))</f>
        <v>108</v>
      </c>
      <c r="G38" s="155">
        <f>IF($B38=" ","",IFERROR(INDEX(MMWR_RATING_STATE_ROLLUP_PMC[],MATCH($B38,MMWR_RATING_STATE_ROLLUP_PMC[MMWR_RATING_STATE_ROLLUP_PMC],0),MATCH(G$9,MMWR_RATING_STATE_ROLLUP_PMC[#Headers],0)),"ERROR"))</f>
        <v>1710</v>
      </c>
      <c r="H38" s="156">
        <f>IF($B38=" ","",IFERROR(INDEX(MMWR_RATING_STATE_ROLLUP_PMC[],MATCH($B38,MMWR_RATING_STATE_ROLLUP_PMC[MMWR_RATING_STATE_ROLLUP_PMC],0),MATCH(H$9,MMWR_RATING_STATE_ROLLUP_PMC[#Headers],0)),"ERROR"))</f>
        <v>72.805555555599994</v>
      </c>
      <c r="I38" s="156">
        <f>IF($B38=" ","",IFERROR(INDEX(MMWR_RATING_STATE_ROLLUP_PMC[],MATCH($B38,MMWR_RATING_STATE_ROLLUP_PMC[MMWR_RATING_STATE_ROLLUP_PMC],0),MATCH(I$9,MMWR_RATING_STATE_ROLLUP_PMC[#Headers],0)),"ERROR"))</f>
        <v>85.154385964900001</v>
      </c>
      <c r="J38" s="42"/>
      <c r="K38" s="42"/>
      <c r="L38" s="42"/>
      <c r="M38" s="42"/>
      <c r="N38" s="28"/>
    </row>
    <row r="39" spans="1:14" x14ac:dyDescent="0.2">
      <c r="A39" s="25"/>
      <c r="B39" s="8" t="str">
        <f>VLOOKUP($B$15,DISTRICT_STATES[],7,0)</f>
        <v>Massachusetts</v>
      </c>
      <c r="C39" s="155">
        <f>IF($B39=" ","",IFERROR(INDEX(MMWR_RATING_STATE_ROLLUP_PMC[],MATCH($B39,MMWR_RATING_STATE_ROLLUP_PMC[MMWR_RATING_STATE_ROLLUP_PMC],0),MATCH(C$9,MMWR_RATING_STATE_ROLLUP_PMC[#Headers],0)),"ERROR"))</f>
        <v>183</v>
      </c>
      <c r="D39" s="156">
        <f>IF($B39=" ","",IFERROR(INDEX(MMWR_RATING_STATE_ROLLUP_PMC[],MATCH($B39,MMWR_RATING_STATE_ROLLUP_PMC[MMWR_RATING_STATE_ROLLUP_PMC],0),MATCH(D$9,MMWR_RATING_STATE_ROLLUP_PMC[#Headers],0)),"ERROR"))</f>
        <v>67.584699453599995</v>
      </c>
      <c r="E39" s="157">
        <f>IF($B39=" ","",IFERROR(INDEX(MMWR_RATING_STATE_ROLLUP_PMC[],MATCH($B39,MMWR_RATING_STATE_ROLLUP_PMC[MMWR_RATING_STATE_ROLLUP_PMC],0),MATCH(E$9,MMWR_RATING_STATE_ROLLUP_PMC[#Headers],0))/$C39,"ERROR"))</f>
        <v>0.11475409836065574</v>
      </c>
      <c r="F39" s="155">
        <f>IF($B39=" ","",IFERROR(INDEX(MMWR_RATING_STATE_ROLLUP_PMC[],MATCH($B39,MMWR_RATING_STATE_ROLLUP_PMC[MMWR_RATING_STATE_ROLLUP_PMC],0),MATCH(F$9,MMWR_RATING_STATE_ROLLUP_PMC[#Headers],0)),"ERROR"))</f>
        <v>88</v>
      </c>
      <c r="G39" s="155">
        <f>IF($B39=" ","",IFERROR(INDEX(MMWR_RATING_STATE_ROLLUP_PMC[],MATCH($B39,MMWR_RATING_STATE_ROLLUP_PMC[MMWR_RATING_STATE_ROLLUP_PMC],0),MATCH(G$9,MMWR_RATING_STATE_ROLLUP_PMC[#Headers],0)),"ERROR"))</f>
        <v>1498</v>
      </c>
      <c r="H39" s="156">
        <f>IF($B39=" ","",IFERROR(INDEX(MMWR_RATING_STATE_ROLLUP_PMC[],MATCH($B39,MMWR_RATING_STATE_ROLLUP_PMC[MMWR_RATING_STATE_ROLLUP_PMC],0),MATCH(H$9,MMWR_RATING_STATE_ROLLUP_PMC[#Headers],0)),"ERROR"))</f>
        <v>76.5</v>
      </c>
      <c r="I39" s="156">
        <f>IF($B39=" ","",IFERROR(INDEX(MMWR_RATING_STATE_ROLLUP_PMC[],MATCH($B39,MMWR_RATING_STATE_ROLLUP_PMC[MMWR_RATING_STATE_ROLLUP_PMC],0),MATCH(I$9,MMWR_RATING_STATE_ROLLUP_PMC[#Headers],0)),"ERROR"))</f>
        <v>70.164886515399999</v>
      </c>
      <c r="J39" s="42"/>
      <c r="K39" s="42"/>
      <c r="L39" s="42"/>
      <c r="M39" s="42"/>
      <c r="N39" s="28"/>
    </row>
    <row r="40" spans="1:14" x14ac:dyDescent="0.2">
      <c r="A40" s="25"/>
      <c r="B40" s="8" t="str">
        <f>VLOOKUP($B$15,DISTRICT_STATES[],8,0)</f>
        <v>New Hampshire</v>
      </c>
      <c r="C40" s="155">
        <f>IF($B40=" ","",IFERROR(INDEX(MMWR_RATING_STATE_ROLLUP_PMC[],MATCH($B40,MMWR_RATING_STATE_ROLLUP_PMC[MMWR_RATING_STATE_ROLLUP_PMC],0),MATCH(C$9,MMWR_RATING_STATE_ROLLUP_PMC[#Headers],0)),"ERROR"))</f>
        <v>50</v>
      </c>
      <c r="D40" s="156">
        <f>IF($B40=" ","",IFERROR(INDEX(MMWR_RATING_STATE_ROLLUP_PMC[],MATCH($B40,MMWR_RATING_STATE_ROLLUP_PMC[MMWR_RATING_STATE_ROLLUP_PMC],0),MATCH(D$9,MMWR_RATING_STATE_ROLLUP_PMC[#Headers],0)),"ERROR"))</f>
        <v>79.66</v>
      </c>
      <c r="E40" s="157">
        <f>IF($B40=" ","",IFERROR(INDEX(MMWR_RATING_STATE_ROLLUP_PMC[],MATCH($B40,MMWR_RATING_STATE_ROLLUP_PMC[MMWR_RATING_STATE_ROLLUP_PMC],0),MATCH(E$9,MMWR_RATING_STATE_ROLLUP_PMC[#Headers],0))/$C40,"ERROR"))</f>
        <v>0.12</v>
      </c>
      <c r="F40" s="155">
        <f>IF($B40=" ","",IFERROR(INDEX(MMWR_RATING_STATE_ROLLUP_PMC[],MATCH($B40,MMWR_RATING_STATE_ROLLUP_PMC[MMWR_RATING_STATE_ROLLUP_PMC],0),MATCH(F$9,MMWR_RATING_STATE_ROLLUP_PMC[#Headers],0)),"ERROR"))</f>
        <v>22</v>
      </c>
      <c r="G40" s="155">
        <f>IF($B40=" ","",IFERROR(INDEX(MMWR_RATING_STATE_ROLLUP_PMC[],MATCH($B40,MMWR_RATING_STATE_ROLLUP_PMC[MMWR_RATING_STATE_ROLLUP_PMC],0),MATCH(G$9,MMWR_RATING_STATE_ROLLUP_PMC[#Headers],0)),"ERROR"))</f>
        <v>426</v>
      </c>
      <c r="H40" s="156">
        <f>IF($B40=" ","",IFERROR(INDEX(MMWR_RATING_STATE_ROLLUP_PMC[],MATCH($B40,MMWR_RATING_STATE_ROLLUP_PMC[MMWR_RATING_STATE_ROLLUP_PMC],0),MATCH(H$9,MMWR_RATING_STATE_ROLLUP_PMC[#Headers],0)),"ERROR"))</f>
        <v>72.045454545499993</v>
      </c>
      <c r="I40" s="156">
        <f>IF($B40=" ","",IFERROR(INDEX(MMWR_RATING_STATE_ROLLUP_PMC[],MATCH($B40,MMWR_RATING_STATE_ROLLUP_PMC[MMWR_RATING_STATE_ROLLUP_PMC],0),MATCH(I$9,MMWR_RATING_STATE_ROLLUP_PMC[#Headers],0)),"ERROR"))</f>
        <v>73.117370891999997</v>
      </c>
      <c r="J40" s="42"/>
      <c r="K40" s="42"/>
      <c r="L40" s="42"/>
      <c r="M40" s="42"/>
      <c r="N40" s="28"/>
    </row>
    <row r="41" spans="1:14" x14ac:dyDescent="0.2">
      <c r="A41" s="25"/>
      <c r="B41" s="8" t="str">
        <f>VLOOKUP($B$15,DISTRICT_STATES[],9,0)</f>
        <v>New Jersey</v>
      </c>
      <c r="C41" s="155">
        <f>IF($B41=" ","",IFERROR(INDEX(MMWR_RATING_STATE_ROLLUP_PMC[],MATCH($B41,MMWR_RATING_STATE_ROLLUP_PMC[MMWR_RATING_STATE_ROLLUP_PMC],0),MATCH(C$9,MMWR_RATING_STATE_ROLLUP_PMC[#Headers],0)),"ERROR"))</f>
        <v>257</v>
      </c>
      <c r="D41" s="156">
        <f>IF($B41=" ","",IFERROR(INDEX(MMWR_RATING_STATE_ROLLUP_PMC[],MATCH($B41,MMWR_RATING_STATE_ROLLUP_PMC[MMWR_RATING_STATE_ROLLUP_PMC],0),MATCH(D$9,MMWR_RATING_STATE_ROLLUP_PMC[#Headers],0)),"ERROR"))</f>
        <v>71.420233463000002</v>
      </c>
      <c r="E41" s="157">
        <f>IF($B41=" ","",IFERROR(INDEX(MMWR_RATING_STATE_ROLLUP_PMC[],MATCH($B41,MMWR_RATING_STATE_ROLLUP_PMC[MMWR_RATING_STATE_ROLLUP_PMC],0),MATCH(E$9,MMWR_RATING_STATE_ROLLUP_PMC[#Headers],0))/$C41,"ERROR"))</f>
        <v>0.14396887159533073</v>
      </c>
      <c r="F41" s="155">
        <f>IF($B41=" ","",IFERROR(INDEX(MMWR_RATING_STATE_ROLLUP_PMC[],MATCH($B41,MMWR_RATING_STATE_ROLLUP_PMC[MMWR_RATING_STATE_ROLLUP_PMC],0),MATCH(F$9,MMWR_RATING_STATE_ROLLUP_PMC[#Headers],0)),"ERROR"))</f>
        <v>102</v>
      </c>
      <c r="G41" s="155">
        <f>IF($B41=" ","",IFERROR(INDEX(MMWR_RATING_STATE_ROLLUP_PMC[],MATCH($B41,MMWR_RATING_STATE_ROLLUP_PMC[MMWR_RATING_STATE_ROLLUP_PMC],0),MATCH(G$9,MMWR_RATING_STATE_ROLLUP_PMC[#Headers],0)),"ERROR"))</f>
        <v>1882</v>
      </c>
      <c r="H41" s="156">
        <f>IF($B41=" ","",IFERROR(INDEX(MMWR_RATING_STATE_ROLLUP_PMC[],MATCH($B41,MMWR_RATING_STATE_ROLLUP_PMC[MMWR_RATING_STATE_ROLLUP_PMC],0),MATCH(H$9,MMWR_RATING_STATE_ROLLUP_PMC[#Headers],0)),"ERROR"))</f>
        <v>92.323529411799996</v>
      </c>
      <c r="I41" s="156">
        <f>IF($B41=" ","",IFERROR(INDEX(MMWR_RATING_STATE_ROLLUP_PMC[],MATCH($B41,MMWR_RATING_STATE_ROLLUP_PMC[MMWR_RATING_STATE_ROLLUP_PMC],0),MATCH(I$9,MMWR_RATING_STATE_ROLLUP_PMC[#Headers],0)),"ERROR"))</f>
        <v>78.916578108400003</v>
      </c>
      <c r="J41" s="42"/>
      <c r="K41" s="42"/>
      <c r="L41" s="42"/>
      <c r="M41" s="42"/>
      <c r="N41" s="28"/>
    </row>
    <row r="42" spans="1:14" x14ac:dyDescent="0.2">
      <c r="A42" s="25"/>
      <c r="B42" s="8" t="str">
        <f>VLOOKUP($B$15,DISTRICT_STATES[],10,0)</f>
        <v>New York</v>
      </c>
      <c r="C42" s="155">
        <f>IF($B42=" ","",IFERROR(INDEX(MMWR_RATING_STATE_ROLLUP_PMC[],MATCH($B42,MMWR_RATING_STATE_ROLLUP_PMC[MMWR_RATING_STATE_ROLLUP_PMC],0),MATCH(C$9,MMWR_RATING_STATE_ROLLUP_PMC[#Headers],0)),"ERROR"))</f>
        <v>574</v>
      </c>
      <c r="D42" s="156">
        <f>IF($B42=" ","",IFERROR(INDEX(MMWR_RATING_STATE_ROLLUP_PMC[],MATCH($B42,MMWR_RATING_STATE_ROLLUP_PMC[MMWR_RATING_STATE_ROLLUP_PMC],0),MATCH(D$9,MMWR_RATING_STATE_ROLLUP_PMC[#Headers],0)),"ERROR"))</f>
        <v>73.212543554000007</v>
      </c>
      <c r="E42" s="157">
        <f>IF($B42=" ","",IFERROR(INDEX(MMWR_RATING_STATE_ROLLUP_PMC[],MATCH($B42,MMWR_RATING_STATE_ROLLUP_PMC[MMWR_RATING_STATE_ROLLUP_PMC],0),MATCH(E$9,MMWR_RATING_STATE_ROLLUP_PMC[#Headers],0))/$C42,"ERROR"))</f>
        <v>0.13763066202090593</v>
      </c>
      <c r="F42" s="155">
        <f>IF($B42=" ","",IFERROR(INDEX(MMWR_RATING_STATE_ROLLUP_PMC[],MATCH($B42,MMWR_RATING_STATE_ROLLUP_PMC[MMWR_RATING_STATE_ROLLUP_PMC],0),MATCH(F$9,MMWR_RATING_STATE_ROLLUP_PMC[#Headers],0)),"ERROR"))</f>
        <v>276</v>
      </c>
      <c r="G42" s="155">
        <f>IF($B42=" ","",IFERROR(INDEX(MMWR_RATING_STATE_ROLLUP_PMC[],MATCH($B42,MMWR_RATING_STATE_ROLLUP_PMC[MMWR_RATING_STATE_ROLLUP_PMC],0),MATCH(G$9,MMWR_RATING_STATE_ROLLUP_PMC[#Headers],0)),"ERROR"))</f>
        <v>4508</v>
      </c>
      <c r="H42" s="156">
        <f>IF($B42=" ","",IFERROR(INDEX(MMWR_RATING_STATE_ROLLUP_PMC[],MATCH($B42,MMWR_RATING_STATE_ROLLUP_PMC[MMWR_RATING_STATE_ROLLUP_PMC],0),MATCH(H$9,MMWR_RATING_STATE_ROLLUP_PMC[#Headers],0)),"ERROR"))</f>
        <v>73.333333333300004</v>
      </c>
      <c r="I42" s="156">
        <f>IF($B42=" ","",IFERROR(INDEX(MMWR_RATING_STATE_ROLLUP_PMC[],MATCH($B42,MMWR_RATING_STATE_ROLLUP_PMC[MMWR_RATING_STATE_ROLLUP_PMC],0),MATCH(I$9,MMWR_RATING_STATE_ROLLUP_PMC[#Headers],0)),"ERROR"))</f>
        <v>69.997781721400003</v>
      </c>
      <c r="J42" s="42"/>
      <c r="K42" s="42"/>
      <c r="L42" s="42"/>
      <c r="M42" s="42"/>
      <c r="N42" s="28"/>
    </row>
    <row r="43" spans="1:14" x14ac:dyDescent="0.2">
      <c r="A43" s="25"/>
      <c r="B43" s="8" t="str">
        <f>VLOOKUP($B$15,DISTRICT_STATES[],11,0)</f>
        <v>North Carolina</v>
      </c>
      <c r="C43" s="155">
        <f>IF($B43=" ","",IFERROR(INDEX(MMWR_RATING_STATE_ROLLUP_PMC[],MATCH($B43,MMWR_RATING_STATE_ROLLUP_PMC[MMWR_RATING_STATE_ROLLUP_PMC],0),MATCH(C$9,MMWR_RATING_STATE_ROLLUP_PMC[#Headers],0)),"ERROR"))</f>
        <v>662</v>
      </c>
      <c r="D43" s="156">
        <f>IF($B43=" ","",IFERROR(INDEX(MMWR_RATING_STATE_ROLLUP_PMC[],MATCH($B43,MMWR_RATING_STATE_ROLLUP_PMC[MMWR_RATING_STATE_ROLLUP_PMC],0),MATCH(D$9,MMWR_RATING_STATE_ROLLUP_PMC[#Headers],0)),"ERROR"))</f>
        <v>71.413897281000004</v>
      </c>
      <c r="E43" s="157">
        <f>IF($B43=" ","",IFERROR(INDEX(MMWR_RATING_STATE_ROLLUP_PMC[],MATCH($B43,MMWR_RATING_STATE_ROLLUP_PMC[MMWR_RATING_STATE_ROLLUP_PMC],0),MATCH(E$9,MMWR_RATING_STATE_ROLLUP_PMC[#Headers],0))/$C43,"ERROR"))</f>
        <v>0.13897280966767372</v>
      </c>
      <c r="F43" s="155">
        <f>IF($B43=" ","",IFERROR(INDEX(MMWR_RATING_STATE_ROLLUP_PMC[],MATCH($B43,MMWR_RATING_STATE_ROLLUP_PMC[MMWR_RATING_STATE_ROLLUP_PMC],0),MATCH(F$9,MMWR_RATING_STATE_ROLLUP_PMC[#Headers],0)),"ERROR"))</f>
        <v>288</v>
      </c>
      <c r="G43" s="155">
        <f>IF($B43=" ","",IFERROR(INDEX(MMWR_RATING_STATE_ROLLUP_PMC[],MATCH($B43,MMWR_RATING_STATE_ROLLUP_PMC[MMWR_RATING_STATE_ROLLUP_PMC],0),MATCH(G$9,MMWR_RATING_STATE_ROLLUP_PMC[#Headers],0)),"ERROR"))</f>
        <v>4854</v>
      </c>
      <c r="H43" s="156">
        <f>IF($B43=" ","",IFERROR(INDEX(MMWR_RATING_STATE_ROLLUP_PMC[],MATCH($B43,MMWR_RATING_STATE_ROLLUP_PMC[MMWR_RATING_STATE_ROLLUP_PMC],0),MATCH(H$9,MMWR_RATING_STATE_ROLLUP_PMC[#Headers],0)),"ERROR"))</f>
        <v>73.472222222200003</v>
      </c>
      <c r="I43" s="156">
        <f>IF($B43=" ","",IFERROR(INDEX(MMWR_RATING_STATE_ROLLUP_PMC[],MATCH($B43,MMWR_RATING_STATE_ROLLUP_PMC[MMWR_RATING_STATE_ROLLUP_PMC],0),MATCH(I$9,MMWR_RATING_STATE_ROLLUP_PMC[#Headers],0)),"ERROR"))</f>
        <v>76.045941491600004</v>
      </c>
      <c r="J43" s="42"/>
      <c r="K43" s="42"/>
      <c r="L43" s="42"/>
      <c r="M43" s="42"/>
      <c r="N43" s="28"/>
    </row>
    <row r="44" spans="1:14" x14ac:dyDescent="0.2">
      <c r="A44" s="25"/>
      <c r="B44" s="8" t="str">
        <f>VLOOKUP($B$15,DISTRICT_STATES[],12,0)</f>
        <v>Pennsylvania</v>
      </c>
      <c r="C44" s="155">
        <f>IF($B44=" ","",IFERROR(INDEX(MMWR_RATING_STATE_ROLLUP_PMC[],MATCH($B44,MMWR_RATING_STATE_ROLLUP_PMC[MMWR_RATING_STATE_ROLLUP_PMC],0),MATCH(C$9,MMWR_RATING_STATE_ROLLUP_PMC[#Headers],0)),"ERROR"))</f>
        <v>738</v>
      </c>
      <c r="D44" s="156">
        <f>IF($B44=" ","",IFERROR(INDEX(MMWR_RATING_STATE_ROLLUP_PMC[],MATCH($B44,MMWR_RATING_STATE_ROLLUP_PMC[MMWR_RATING_STATE_ROLLUP_PMC],0),MATCH(D$9,MMWR_RATING_STATE_ROLLUP_PMC[#Headers],0)),"ERROR"))</f>
        <v>66.375338753400001</v>
      </c>
      <c r="E44" s="157">
        <f>IF($B44=" ","",IFERROR(INDEX(MMWR_RATING_STATE_ROLLUP_PMC[],MATCH($B44,MMWR_RATING_STATE_ROLLUP_PMC[MMWR_RATING_STATE_ROLLUP_PMC],0),MATCH(E$9,MMWR_RATING_STATE_ROLLUP_PMC[#Headers],0))/$C44,"ERROR"))</f>
        <v>0.11382113821138211</v>
      </c>
      <c r="F44" s="155">
        <f>IF($B44=" ","",IFERROR(INDEX(MMWR_RATING_STATE_ROLLUP_PMC[],MATCH($B44,MMWR_RATING_STATE_ROLLUP_PMC[MMWR_RATING_STATE_ROLLUP_PMC],0),MATCH(F$9,MMWR_RATING_STATE_ROLLUP_PMC[#Headers],0)),"ERROR"))</f>
        <v>276</v>
      </c>
      <c r="G44" s="155">
        <f>IF($B44=" ","",IFERROR(INDEX(MMWR_RATING_STATE_ROLLUP_PMC[],MATCH($B44,MMWR_RATING_STATE_ROLLUP_PMC[MMWR_RATING_STATE_ROLLUP_PMC],0),MATCH(G$9,MMWR_RATING_STATE_ROLLUP_PMC[#Headers],0)),"ERROR"))</f>
        <v>5389</v>
      </c>
      <c r="H44" s="156">
        <f>IF($B44=" ","",IFERROR(INDEX(MMWR_RATING_STATE_ROLLUP_PMC[],MATCH($B44,MMWR_RATING_STATE_ROLLUP_PMC[MMWR_RATING_STATE_ROLLUP_PMC],0),MATCH(H$9,MMWR_RATING_STATE_ROLLUP_PMC[#Headers],0)),"ERROR"))</f>
        <v>65.6485507246</v>
      </c>
      <c r="I44" s="156">
        <f>IF($B44=" ","",IFERROR(INDEX(MMWR_RATING_STATE_ROLLUP_PMC[],MATCH($B44,MMWR_RATING_STATE_ROLLUP_PMC[MMWR_RATING_STATE_ROLLUP_PMC],0),MATCH(I$9,MMWR_RATING_STATE_ROLLUP_PMC[#Headers],0)),"ERROR"))</f>
        <v>68.253664872900004</v>
      </c>
      <c r="J44" s="42"/>
      <c r="K44" s="42"/>
      <c r="L44" s="42"/>
      <c r="M44" s="42"/>
      <c r="N44" s="28"/>
    </row>
    <row r="45" spans="1:14" x14ac:dyDescent="0.2">
      <c r="A45" s="25"/>
      <c r="B45" s="8" t="str">
        <f>VLOOKUP($B$15,DISTRICT_STATES[],13,0)</f>
        <v>Rhode Island</v>
      </c>
      <c r="C45" s="155">
        <f>IF($B45=" ","",IFERROR(INDEX(MMWR_RATING_STATE_ROLLUP_PMC[],MATCH($B45,MMWR_RATING_STATE_ROLLUP_PMC[MMWR_RATING_STATE_ROLLUP_PMC],0),MATCH(C$9,MMWR_RATING_STATE_ROLLUP_PMC[#Headers],0)),"ERROR"))</f>
        <v>60</v>
      </c>
      <c r="D45" s="156">
        <f>IF($B45=" ","",IFERROR(INDEX(MMWR_RATING_STATE_ROLLUP_PMC[],MATCH($B45,MMWR_RATING_STATE_ROLLUP_PMC[MMWR_RATING_STATE_ROLLUP_PMC],0),MATCH(D$9,MMWR_RATING_STATE_ROLLUP_PMC[#Headers],0)),"ERROR"))</f>
        <v>62.95</v>
      </c>
      <c r="E45" s="157">
        <f>IF($B45=" ","",IFERROR(INDEX(MMWR_RATING_STATE_ROLLUP_PMC[],MATCH($B45,MMWR_RATING_STATE_ROLLUP_PMC[MMWR_RATING_STATE_ROLLUP_PMC],0),MATCH(E$9,MMWR_RATING_STATE_ROLLUP_PMC[#Headers],0))/$C45,"ERROR"))</f>
        <v>0.11666666666666667</v>
      </c>
      <c r="F45" s="155">
        <f>IF($B45=" ","",IFERROR(INDEX(MMWR_RATING_STATE_ROLLUP_PMC[],MATCH($B45,MMWR_RATING_STATE_ROLLUP_PMC[MMWR_RATING_STATE_ROLLUP_PMC],0),MATCH(F$9,MMWR_RATING_STATE_ROLLUP_PMC[#Headers],0)),"ERROR"))</f>
        <v>18</v>
      </c>
      <c r="G45" s="155">
        <f>IF($B45=" ","",IFERROR(INDEX(MMWR_RATING_STATE_ROLLUP_PMC[],MATCH($B45,MMWR_RATING_STATE_ROLLUP_PMC[MMWR_RATING_STATE_ROLLUP_PMC],0),MATCH(G$9,MMWR_RATING_STATE_ROLLUP_PMC[#Headers],0)),"ERROR"))</f>
        <v>329</v>
      </c>
      <c r="H45" s="156">
        <f>IF($B45=" ","",IFERROR(INDEX(MMWR_RATING_STATE_ROLLUP_PMC[],MATCH($B45,MMWR_RATING_STATE_ROLLUP_PMC[MMWR_RATING_STATE_ROLLUP_PMC],0),MATCH(H$9,MMWR_RATING_STATE_ROLLUP_PMC[#Headers],0)),"ERROR"))</f>
        <v>65.055555555599994</v>
      </c>
      <c r="I45" s="156">
        <f>IF($B45=" ","",IFERROR(INDEX(MMWR_RATING_STATE_ROLLUP_PMC[],MATCH($B45,MMWR_RATING_STATE_ROLLUP_PMC[MMWR_RATING_STATE_ROLLUP_PMC],0),MATCH(I$9,MMWR_RATING_STATE_ROLLUP_PMC[#Headers],0)),"ERROR"))</f>
        <v>68.267477203599995</v>
      </c>
      <c r="J45" s="42"/>
      <c r="K45" s="42"/>
      <c r="L45" s="42"/>
      <c r="M45" s="42"/>
      <c r="N45" s="28"/>
    </row>
    <row r="46" spans="1:14" x14ac:dyDescent="0.2">
      <c r="A46" s="25"/>
      <c r="B46" s="8" t="str">
        <f>VLOOKUP($B$15,DISTRICT_STATES[],14,0)</f>
        <v>Vermont</v>
      </c>
      <c r="C46" s="155">
        <f>IF($B46=" ","",IFERROR(INDEX(MMWR_RATING_STATE_ROLLUP_PMC[],MATCH($B46,MMWR_RATING_STATE_ROLLUP_PMC[MMWR_RATING_STATE_ROLLUP_PMC],0),MATCH(C$9,MMWR_RATING_STATE_ROLLUP_PMC[#Headers],0)),"ERROR"))</f>
        <v>19</v>
      </c>
      <c r="D46" s="156">
        <f>IF($B46=" ","",IFERROR(INDEX(MMWR_RATING_STATE_ROLLUP_PMC[],MATCH($B46,MMWR_RATING_STATE_ROLLUP_PMC[MMWR_RATING_STATE_ROLLUP_PMC],0),MATCH(D$9,MMWR_RATING_STATE_ROLLUP_PMC[#Headers],0)),"ERROR"))</f>
        <v>64.210526315799996</v>
      </c>
      <c r="E46" s="157">
        <f>IF($B46=" ","",IFERROR(INDEX(MMWR_RATING_STATE_ROLLUP_PMC[],MATCH($B46,MMWR_RATING_STATE_ROLLUP_PMC[MMWR_RATING_STATE_ROLLUP_PMC],0),MATCH(E$9,MMWR_RATING_STATE_ROLLUP_PMC[#Headers],0))/$C46,"ERROR"))</f>
        <v>5.2631578947368418E-2</v>
      </c>
      <c r="F46" s="155">
        <f>IF($B46=" ","",IFERROR(INDEX(MMWR_RATING_STATE_ROLLUP_PMC[],MATCH($B46,MMWR_RATING_STATE_ROLLUP_PMC[MMWR_RATING_STATE_ROLLUP_PMC],0),MATCH(F$9,MMWR_RATING_STATE_ROLLUP_PMC[#Headers],0)),"ERROR"))</f>
        <v>7</v>
      </c>
      <c r="G46" s="155">
        <f>IF($B46=" ","",IFERROR(INDEX(MMWR_RATING_STATE_ROLLUP_PMC[],MATCH($B46,MMWR_RATING_STATE_ROLLUP_PMC[MMWR_RATING_STATE_ROLLUP_PMC],0),MATCH(G$9,MMWR_RATING_STATE_ROLLUP_PMC[#Headers],0)),"ERROR"))</f>
        <v>120</v>
      </c>
      <c r="H46" s="156">
        <f>IF($B46=" ","",IFERROR(INDEX(MMWR_RATING_STATE_ROLLUP_PMC[],MATCH($B46,MMWR_RATING_STATE_ROLLUP_PMC[MMWR_RATING_STATE_ROLLUP_PMC],0),MATCH(H$9,MMWR_RATING_STATE_ROLLUP_PMC[#Headers],0)),"ERROR"))</f>
        <v>62.285714285700003</v>
      </c>
      <c r="I46" s="156">
        <f>IF($B46=" ","",IFERROR(INDEX(MMWR_RATING_STATE_ROLLUP_PMC[],MATCH($B46,MMWR_RATING_STATE_ROLLUP_PMC[MMWR_RATING_STATE_ROLLUP_PMC],0),MATCH(I$9,MMWR_RATING_STATE_ROLLUP_PMC[#Headers],0)),"ERROR"))</f>
        <v>84.825000000000003</v>
      </c>
      <c r="J46" s="42"/>
      <c r="K46" s="42"/>
      <c r="L46" s="42"/>
      <c r="M46" s="42"/>
      <c r="N46" s="28"/>
    </row>
    <row r="47" spans="1:14" x14ac:dyDescent="0.2">
      <c r="A47" s="25"/>
      <c r="B47" s="8" t="str">
        <f>VLOOKUP($B$15,DISTRICT_STATES[],15,0)</f>
        <v>Virginia</v>
      </c>
      <c r="C47" s="155">
        <f>IF($B47=" ","",IFERROR(INDEX(MMWR_RATING_STATE_ROLLUP_PMC[],MATCH($B47,MMWR_RATING_STATE_ROLLUP_PMC[MMWR_RATING_STATE_ROLLUP_PMC],0),MATCH(C$9,MMWR_RATING_STATE_ROLLUP_PMC[#Headers],0)),"ERROR"))</f>
        <v>418</v>
      </c>
      <c r="D47" s="156">
        <f>IF($B47=" ","",IFERROR(INDEX(MMWR_RATING_STATE_ROLLUP_PMC[],MATCH($B47,MMWR_RATING_STATE_ROLLUP_PMC[MMWR_RATING_STATE_ROLLUP_PMC],0),MATCH(D$9,MMWR_RATING_STATE_ROLLUP_PMC[#Headers],0)),"ERROR"))</f>
        <v>78.966507176999997</v>
      </c>
      <c r="E47" s="157">
        <f>IF($B47=" ","",IFERROR(INDEX(MMWR_RATING_STATE_ROLLUP_PMC[],MATCH($B47,MMWR_RATING_STATE_ROLLUP_PMC[MMWR_RATING_STATE_ROLLUP_PMC],0),MATCH(E$9,MMWR_RATING_STATE_ROLLUP_PMC[#Headers],0))/$C47,"ERROR"))</f>
        <v>0.14832535885167464</v>
      </c>
      <c r="F47" s="155">
        <f>IF($B47=" ","",IFERROR(INDEX(MMWR_RATING_STATE_ROLLUP_PMC[],MATCH($B47,MMWR_RATING_STATE_ROLLUP_PMC[MMWR_RATING_STATE_ROLLUP_PMC],0),MATCH(F$9,MMWR_RATING_STATE_ROLLUP_PMC[#Headers],0)),"ERROR"))</f>
        <v>184</v>
      </c>
      <c r="G47" s="155">
        <f>IF($B47=" ","",IFERROR(INDEX(MMWR_RATING_STATE_ROLLUP_PMC[],MATCH($B47,MMWR_RATING_STATE_ROLLUP_PMC[MMWR_RATING_STATE_ROLLUP_PMC],0),MATCH(G$9,MMWR_RATING_STATE_ROLLUP_PMC[#Headers],0)),"ERROR"))</f>
        <v>3014</v>
      </c>
      <c r="H47" s="156">
        <f>IF($B47=" ","",IFERROR(INDEX(MMWR_RATING_STATE_ROLLUP_PMC[],MATCH($B47,MMWR_RATING_STATE_ROLLUP_PMC[MMWR_RATING_STATE_ROLLUP_PMC],0),MATCH(H$9,MMWR_RATING_STATE_ROLLUP_PMC[#Headers],0)),"ERROR"))</f>
        <v>74.190217391299996</v>
      </c>
      <c r="I47" s="156">
        <f>IF($B47=" ","",IFERROR(INDEX(MMWR_RATING_STATE_ROLLUP_PMC[],MATCH($B47,MMWR_RATING_STATE_ROLLUP_PMC[MMWR_RATING_STATE_ROLLUP_PMC],0),MATCH(I$9,MMWR_RATING_STATE_ROLLUP_PMC[#Headers],0)),"ERROR"))</f>
        <v>81.113802256100001</v>
      </c>
      <c r="J47" s="42"/>
      <c r="K47" s="42"/>
      <c r="L47" s="42"/>
      <c r="M47" s="42"/>
      <c r="N47" s="28"/>
    </row>
    <row r="48" spans="1:14" x14ac:dyDescent="0.2">
      <c r="A48" s="25"/>
      <c r="B48" s="8" t="str">
        <f>VLOOKUP($B$15,DISTRICT_STATES[],16,0)</f>
        <v>West Virginia</v>
      </c>
      <c r="C48" s="155">
        <f>IF($B48=" ","",IFERROR(INDEX(MMWR_RATING_STATE_ROLLUP_PMC[],MATCH($B48,MMWR_RATING_STATE_ROLLUP_PMC[MMWR_RATING_STATE_ROLLUP_PMC],0),MATCH(C$9,MMWR_RATING_STATE_ROLLUP_PMC[#Headers],0)),"ERROR"))</f>
        <v>120</v>
      </c>
      <c r="D48" s="156">
        <f>IF($B48=" ","",IFERROR(INDEX(MMWR_RATING_STATE_ROLLUP_PMC[],MATCH($B48,MMWR_RATING_STATE_ROLLUP_PMC[MMWR_RATING_STATE_ROLLUP_PMC],0),MATCH(D$9,MMWR_RATING_STATE_ROLLUP_PMC[#Headers],0)),"ERROR"))</f>
        <v>84.483333333299996</v>
      </c>
      <c r="E48" s="157">
        <f>IF($B48=" ","",IFERROR(INDEX(MMWR_RATING_STATE_ROLLUP_PMC[],MATCH($B48,MMWR_RATING_STATE_ROLLUP_PMC[MMWR_RATING_STATE_ROLLUP_PMC],0),MATCH(E$9,MMWR_RATING_STATE_ROLLUP_PMC[#Headers],0))/$C48,"ERROR"))</f>
        <v>0.19166666666666668</v>
      </c>
      <c r="F48" s="155">
        <f>IF($B48=" ","",IFERROR(INDEX(MMWR_RATING_STATE_ROLLUP_PMC[],MATCH($B48,MMWR_RATING_STATE_ROLLUP_PMC[MMWR_RATING_STATE_ROLLUP_PMC],0),MATCH(F$9,MMWR_RATING_STATE_ROLLUP_PMC[#Headers],0)),"ERROR"))</f>
        <v>63</v>
      </c>
      <c r="G48" s="155">
        <f>IF($B48=" ","",IFERROR(INDEX(MMWR_RATING_STATE_ROLLUP_PMC[],MATCH($B48,MMWR_RATING_STATE_ROLLUP_PMC[MMWR_RATING_STATE_ROLLUP_PMC],0),MATCH(G$9,MMWR_RATING_STATE_ROLLUP_PMC[#Headers],0)),"ERROR"))</f>
        <v>877</v>
      </c>
      <c r="H48" s="156">
        <f>IF($B48=" ","",IFERROR(INDEX(MMWR_RATING_STATE_ROLLUP_PMC[],MATCH($B48,MMWR_RATING_STATE_ROLLUP_PMC[MMWR_RATING_STATE_ROLLUP_PMC],0),MATCH(H$9,MMWR_RATING_STATE_ROLLUP_PMC[#Headers],0)),"ERROR"))</f>
        <v>78.507936507899998</v>
      </c>
      <c r="I48" s="156">
        <f>IF($B48=" ","",IFERROR(INDEX(MMWR_RATING_STATE_ROLLUP_PMC[],MATCH($B48,MMWR_RATING_STATE_ROLLUP_PMC[MMWR_RATING_STATE_ROLLUP_PMC],0),MATCH(I$9,MMWR_RATING_STATE_ROLLUP_PMC[#Headers],0)),"ERROR"))</f>
        <v>77.326111744599999</v>
      </c>
      <c r="J48" s="42"/>
      <c r="K48" s="42"/>
      <c r="L48" s="42"/>
      <c r="M48" s="42"/>
      <c r="N48" s="28"/>
    </row>
    <row r="49" spans="1:14" x14ac:dyDescent="0.2">
      <c r="A49" s="25"/>
      <c r="B49" s="339" t="s">
        <v>1052</v>
      </c>
      <c r="C49" s="340"/>
      <c r="D49" s="340"/>
      <c r="E49" s="340"/>
      <c r="F49" s="340"/>
      <c r="G49" s="340"/>
      <c r="H49" s="340"/>
      <c r="I49" s="340"/>
      <c r="J49" s="340"/>
      <c r="K49" s="340"/>
      <c r="L49" s="340"/>
      <c r="M49" s="390"/>
      <c r="N49" s="28"/>
    </row>
    <row r="50" spans="1:14" x14ac:dyDescent="0.2">
      <c r="A50" s="25"/>
      <c r="B50" s="41" t="s">
        <v>1051</v>
      </c>
      <c r="C50" s="155">
        <f>IF($B50=" ","",IFERROR(INDEX(MMWR_RATING_STATE_ROLLUP_QST[],MATCH($B50,MMWR_RATING_STATE_ROLLUP_QST[MMWR_RATING_STATE_ROLLUP_QST],0),MATCH(C$9,MMWR_RATING_STATE_ROLLUP_QST[#Headers],0)),"ERROR"))</f>
        <v>8283</v>
      </c>
      <c r="D50" s="156">
        <f>IF($B50=" ","",IFERROR(INDEX(MMWR_RATING_STATE_ROLLUP_QST[],MATCH($B50,MMWR_RATING_STATE_ROLLUP_QST[MMWR_RATING_STATE_ROLLUP_QST],0),MATCH(D$9,MMWR_RATING_STATE_ROLLUP_QST[#Headers],0)),"ERROR"))</f>
        <v>70.354098756499994</v>
      </c>
      <c r="E50" s="157">
        <f>IF($B50=" ","",IFERROR(INDEX(MMWR_RATING_STATE_ROLLUP_QST[],MATCH($B50,MMWR_RATING_STATE_ROLLUP_QST[MMWR_RATING_STATE_ROLLUP_QST],0),MATCH(E$9,MMWR_RATING_STATE_ROLLUP_QST[#Headers],0))/$C50,"ERROR"))</f>
        <v>0.13968368948448628</v>
      </c>
      <c r="F50" s="155">
        <f>IF($B50=" ","",IFERROR(INDEX(MMWR_RATING_STATE_ROLLUP_QST[],MATCH($B50,MMWR_RATING_STATE_ROLLUP_QST[MMWR_RATING_STATE_ROLLUP_QST],0),MATCH(F$9,MMWR_RATING_STATE_ROLLUP_QST[#Headers],0)),"ERROR"))</f>
        <v>1325</v>
      </c>
      <c r="G50" s="155">
        <f>IF($B50=" ","",IFERROR(INDEX(MMWR_RATING_STATE_ROLLUP_QST[],MATCH($B50,MMWR_RATING_STATE_ROLLUP_QST[MMWR_RATING_STATE_ROLLUP_QST],0),MATCH(G$9,MMWR_RATING_STATE_ROLLUP_QST[#Headers],0)),"ERROR"))</f>
        <v>23037</v>
      </c>
      <c r="H50" s="156">
        <f>IF($B50=" ","",IFERROR(INDEX(MMWR_RATING_STATE_ROLLUP_QST[],MATCH($B50,MMWR_RATING_STATE_ROLLUP_QST[MMWR_RATING_STATE_ROLLUP_QST],0),MATCH(H$9,MMWR_RATING_STATE_ROLLUP_QST[#Headers],0)),"ERROR"))</f>
        <v>125.8203773585</v>
      </c>
      <c r="I50" s="156">
        <f>IF($B50=" ","",IFERROR(INDEX(MMWR_RATING_STATE_ROLLUP_QST[],MATCH($B50,MMWR_RATING_STATE_ROLLUP_QST[MMWR_RATING_STATE_ROLLUP_QST],0),MATCH(I$9,MMWR_RATING_STATE_ROLLUP_QST[#Headers],0)),"ERROR"))</f>
        <v>133.30980596430001</v>
      </c>
      <c r="J50" s="42"/>
      <c r="K50" s="42"/>
      <c r="L50" s="42"/>
      <c r="M50" s="42"/>
      <c r="N50" s="28"/>
    </row>
    <row r="51" spans="1:14" x14ac:dyDescent="0.2">
      <c r="A51" s="25"/>
      <c r="B51" s="251" t="str">
        <f>INDEX(DISTRICT_STATES[],MATCH($B$5,DISTRICT_RO[District],0),1)</f>
        <v>North Atlantic</v>
      </c>
      <c r="C51" s="155">
        <f>IF($B51=" ","",IFERROR(INDEX(MMWR_RATING_STATE_ROLLUP_QST[],MATCH($B51,MMWR_RATING_STATE_ROLLUP_QST[MMWR_RATING_STATE_ROLLUP_QST],0),MATCH(C$9,MMWR_RATING_STATE_ROLLUP_QST[#Headers],0)),"ERROR"))</f>
        <v>1923</v>
      </c>
      <c r="D51" s="156">
        <f>IF($B51=" ","",IFERROR(INDEX(MMWR_RATING_STATE_ROLLUP_QST[],MATCH($B51,MMWR_RATING_STATE_ROLLUP_QST[MMWR_RATING_STATE_ROLLUP_QST],0),MATCH(D$9,MMWR_RATING_STATE_ROLLUP_QST[#Headers],0)),"ERROR"))</f>
        <v>73.539261570500003</v>
      </c>
      <c r="E51" s="157">
        <f>IF($B51=" ","",IFERROR(INDEX(MMWR_RATING_STATE_ROLLUP_QST[],MATCH($B51,MMWR_RATING_STATE_ROLLUP_QST[MMWR_RATING_STATE_ROLLUP_QST],0),MATCH(E$9,MMWR_RATING_STATE_ROLLUP_QST[#Headers],0))/$C51,"ERROR"))</f>
        <v>0.14872594903796152</v>
      </c>
      <c r="F51" s="155">
        <f>IF($B51=" ","",IFERROR(INDEX(MMWR_RATING_STATE_ROLLUP_QST[],MATCH($B51,MMWR_RATING_STATE_ROLLUP_QST[MMWR_RATING_STATE_ROLLUP_QST],0),MATCH(F$9,MMWR_RATING_STATE_ROLLUP_QST[#Headers],0)),"ERROR"))</f>
        <v>272</v>
      </c>
      <c r="G51" s="155">
        <f>IF($B51=" ","",IFERROR(INDEX(MMWR_RATING_STATE_ROLLUP_QST[],MATCH($B51,MMWR_RATING_STATE_ROLLUP_QST[MMWR_RATING_STATE_ROLLUP_QST],0),MATCH(G$9,MMWR_RATING_STATE_ROLLUP_QST[#Headers],0)),"ERROR"))</f>
        <v>4939</v>
      </c>
      <c r="H51" s="156">
        <f>IF($B51=" ","",IFERROR(INDEX(MMWR_RATING_STATE_ROLLUP_QST[],MATCH($B51,MMWR_RATING_STATE_ROLLUP_QST[MMWR_RATING_STATE_ROLLUP_QST],0),MATCH(H$9,MMWR_RATING_STATE_ROLLUP_QST[#Headers],0)),"ERROR"))</f>
        <v>137.8860294118</v>
      </c>
      <c r="I51" s="156">
        <f>IF($B51=" ","",IFERROR(INDEX(MMWR_RATING_STATE_ROLLUP_QST[],MATCH($B51,MMWR_RATING_STATE_ROLLUP_QST[MMWR_RATING_STATE_ROLLUP_QST],0),MATCH(I$9,MMWR_RATING_STATE_ROLLUP_QST[#Headers],0)),"ERROR"))</f>
        <v>139.9512046973</v>
      </c>
      <c r="J51" s="42"/>
      <c r="K51" s="42"/>
      <c r="L51" s="42"/>
      <c r="M51" s="42"/>
      <c r="N51" s="28"/>
    </row>
    <row r="52" spans="1:14" x14ac:dyDescent="0.2">
      <c r="A52" s="25"/>
      <c r="B52" s="8" t="str">
        <f>VLOOKUP($B$15,DISTRICT_STATES[],2,0)</f>
        <v>Connecticut</v>
      </c>
      <c r="C52" s="155">
        <f>IF($B52=" ","",IFERROR(INDEX(MMWR_RATING_STATE_ROLLUP_QST[],MATCH($B52,MMWR_RATING_STATE_ROLLUP_QST[MMWR_RATING_STATE_ROLLUP_QST],0),MATCH(C$9,MMWR_RATING_STATE_ROLLUP_QST[#Headers],0)),"ERROR"))</f>
        <v>43</v>
      </c>
      <c r="D52" s="156">
        <f>IF($B52=" ","",IFERROR(INDEX(MMWR_RATING_STATE_ROLLUP_QST[],MATCH($B52,MMWR_RATING_STATE_ROLLUP_QST[MMWR_RATING_STATE_ROLLUP_QST],0),MATCH(D$9,MMWR_RATING_STATE_ROLLUP_QST[#Headers],0)),"ERROR"))</f>
        <v>66.976744186000005</v>
      </c>
      <c r="E52" s="157">
        <f>IF($B52=" ","",IFERROR(INDEX(MMWR_RATING_STATE_ROLLUP_QST[],MATCH($B52,MMWR_RATING_STATE_ROLLUP_QST[MMWR_RATING_STATE_ROLLUP_QST],0),MATCH(E$9,MMWR_RATING_STATE_ROLLUP_QST[#Headers],0))/$C52,"ERROR"))</f>
        <v>9.3023255813953487E-2</v>
      </c>
      <c r="F52" s="155">
        <f>IF($B52=" ","",IFERROR(INDEX(MMWR_RATING_STATE_ROLLUP_QST[],MATCH($B52,MMWR_RATING_STATE_ROLLUP_QST[MMWR_RATING_STATE_ROLLUP_QST],0),MATCH(F$9,MMWR_RATING_STATE_ROLLUP_QST[#Headers],0)),"ERROR"))</f>
        <v>5</v>
      </c>
      <c r="G52" s="155">
        <f>IF($B52=" ","",IFERROR(INDEX(MMWR_RATING_STATE_ROLLUP_QST[],MATCH($B52,MMWR_RATING_STATE_ROLLUP_QST[MMWR_RATING_STATE_ROLLUP_QST],0),MATCH(G$9,MMWR_RATING_STATE_ROLLUP_QST[#Headers],0)),"ERROR"))</f>
        <v>135</v>
      </c>
      <c r="H52" s="156">
        <f>IF($B52=" ","",IFERROR(INDEX(MMWR_RATING_STATE_ROLLUP_QST[],MATCH($B52,MMWR_RATING_STATE_ROLLUP_QST[MMWR_RATING_STATE_ROLLUP_QST],0),MATCH(H$9,MMWR_RATING_STATE_ROLLUP_QST[#Headers],0)),"ERROR"))</f>
        <v>104.8</v>
      </c>
      <c r="I52" s="156">
        <f>IF($B52=" ","",IFERROR(INDEX(MMWR_RATING_STATE_ROLLUP_QST[],MATCH($B52,MMWR_RATING_STATE_ROLLUP_QST[MMWR_RATING_STATE_ROLLUP_QST],0),MATCH(I$9,MMWR_RATING_STATE_ROLLUP_QST[#Headers],0)),"ERROR"))</f>
        <v>136.09629629630001</v>
      </c>
      <c r="J52" s="42"/>
      <c r="K52" s="42"/>
      <c r="L52" s="42"/>
      <c r="M52" s="42"/>
      <c r="N52" s="28"/>
    </row>
    <row r="53" spans="1:14" x14ac:dyDescent="0.2">
      <c r="A53" s="25"/>
      <c r="B53" s="8" t="str">
        <f>VLOOKUP($B$15,DISTRICT_STATES[],3,0)</f>
        <v>Delaware</v>
      </c>
      <c r="C53" s="155">
        <f>IF($B53=" ","",IFERROR(INDEX(MMWR_RATING_STATE_ROLLUP_QST[],MATCH($B53,MMWR_RATING_STATE_ROLLUP_QST[MMWR_RATING_STATE_ROLLUP_QST],0),MATCH(C$9,MMWR_RATING_STATE_ROLLUP_QST[#Headers],0)),"ERROR"))</f>
        <v>15</v>
      </c>
      <c r="D53" s="156">
        <f>IF($B53=" ","",IFERROR(INDEX(MMWR_RATING_STATE_ROLLUP_QST[],MATCH($B53,MMWR_RATING_STATE_ROLLUP_QST[MMWR_RATING_STATE_ROLLUP_QST],0),MATCH(D$9,MMWR_RATING_STATE_ROLLUP_QST[#Headers],0)),"ERROR"))</f>
        <v>69.533333333300007</v>
      </c>
      <c r="E53" s="157">
        <f>IF($B53=" ","",IFERROR(INDEX(MMWR_RATING_STATE_ROLLUP_QST[],MATCH($B53,MMWR_RATING_STATE_ROLLUP_QST[MMWR_RATING_STATE_ROLLUP_QST],0),MATCH(E$9,MMWR_RATING_STATE_ROLLUP_QST[#Headers],0))/$C53,"ERROR"))</f>
        <v>0.2</v>
      </c>
      <c r="F53" s="155">
        <f>IF($B53=" ","",IFERROR(INDEX(MMWR_RATING_STATE_ROLLUP_QST[],MATCH($B53,MMWR_RATING_STATE_ROLLUP_QST[MMWR_RATING_STATE_ROLLUP_QST],0),MATCH(F$9,MMWR_RATING_STATE_ROLLUP_QST[#Headers],0)),"ERROR"))</f>
        <v>3</v>
      </c>
      <c r="G53" s="155">
        <f>IF($B53=" ","",IFERROR(INDEX(MMWR_RATING_STATE_ROLLUP_QST[],MATCH($B53,MMWR_RATING_STATE_ROLLUP_QST[MMWR_RATING_STATE_ROLLUP_QST],0),MATCH(G$9,MMWR_RATING_STATE_ROLLUP_QST[#Headers],0)),"ERROR"))</f>
        <v>42</v>
      </c>
      <c r="H53" s="156">
        <f>IF($B53=" ","",IFERROR(INDEX(MMWR_RATING_STATE_ROLLUP_QST[],MATCH($B53,MMWR_RATING_STATE_ROLLUP_QST[MMWR_RATING_STATE_ROLLUP_QST],0),MATCH(H$9,MMWR_RATING_STATE_ROLLUP_QST[#Headers],0)),"ERROR"))</f>
        <v>136</v>
      </c>
      <c r="I53" s="156">
        <f>IF($B53=" ","",IFERROR(INDEX(MMWR_RATING_STATE_ROLLUP_QST[],MATCH($B53,MMWR_RATING_STATE_ROLLUP_QST[MMWR_RATING_STATE_ROLLUP_QST],0),MATCH(I$9,MMWR_RATING_STATE_ROLLUP_QST[#Headers],0)),"ERROR"))</f>
        <v>120.57142857140001</v>
      </c>
      <c r="J53" s="42"/>
      <c r="K53" s="42"/>
      <c r="L53" s="42"/>
      <c r="M53" s="42"/>
      <c r="N53" s="28"/>
    </row>
    <row r="54" spans="1:14" x14ac:dyDescent="0.2">
      <c r="A54" s="25"/>
      <c r="B54" s="8" t="str">
        <f>VLOOKUP($B$15,DISTRICT_STATES[],4,0)</f>
        <v>District of Columbia</v>
      </c>
      <c r="C54" s="155">
        <f>IF($B54=" ","",IFERROR(INDEX(MMWR_RATING_STATE_ROLLUP_QST[],MATCH($B54,MMWR_RATING_STATE_ROLLUP_QST[MMWR_RATING_STATE_ROLLUP_QST],0),MATCH(C$9,MMWR_RATING_STATE_ROLLUP_QST[#Headers],0)),"ERROR"))</f>
        <v>16</v>
      </c>
      <c r="D54" s="156">
        <f>IF($B54=" ","",IFERROR(INDEX(MMWR_RATING_STATE_ROLLUP_QST[],MATCH($B54,MMWR_RATING_STATE_ROLLUP_QST[MMWR_RATING_STATE_ROLLUP_QST],0),MATCH(D$9,MMWR_RATING_STATE_ROLLUP_QST[#Headers],0)),"ERROR"))</f>
        <v>62.1875</v>
      </c>
      <c r="E54" s="157">
        <f>IF($B54=" ","",IFERROR(INDEX(MMWR_RATING_STATE_ROLLUP_QST[],MATCH($B54,MMWR_RATING_STATE_ROLLUP_QST[MMWR_RATING_STATE_ROLLUP_QST],0),MATCH(E$9,MMWR_RATING_STATE_ROLLUP_QST[#Headers],0))/$C54,"ERROR"))</f>
        <v>6.25E-2</v>
      </c>
      <c r="F54" s="155">
        <f>IF($B54=" ","",IFERROR(INDEX(MMWR_RATING_STATE_ROLLUP_QST[],MATCH($B54,MMWR_RATING_STATE_ROLLUP_QST[MMWR_RATING_STATE_ROLLUP_QST],0),MATCH(F$9,MMWR_RATING_STATE_ROLLUP_QST[#Headers],0)),"ERROR"))</f>
        <v>1</v>
      </c>
      <c r="G54" s="155">
        <f>IF($B54=" ","",IFERROR(INDEX(MMWR_RATING_STATE_ROLLUP_QST[],MATCH($B54,MMWR_RATING_STATE_ROLLUP_QST[MMWR_RATING_STATE_ROLLUP_QST],0),MATCH(G$9,MMWR_RATING_STATE_ROLLUP_QST[#Headers],0)),"ERROR"))</f>
        <v>42</v>
      </c>
      <c r="H54" s="156">
        <f>IF($B54=" ","",IFERROR(INDEX(MMWR_RATING_STATE_ROLLUP_QST[],MATCH($B54,MMWR_RATING_STATE_ROLLUP_QST[MMWR_RATING_STATE_ROLLUP_QST],0),MATCH(H$9,MMWR_RATING_STATE_ROLLUP_QST[#Headers],0)),"ERROR"))</f>
        <v>134</v>
      </c>
      <c r="I54" s="156">
        <f>IF($B54=" ","",IFERROR(INDEX(MMWR_RATING_STATE_ROLLUP_QST[],MATCH($B54,MMWR_RATING_STATE_ROLLUP_QST[MMWR_RATING_STATE_ROLLUP_QST],0),MATCH(I$9,MMWR_RATING_STATE_ROLLUP_QST[#Headers],0)),"ERROR"))</f>
        <v>142.8571428571</v>
      </c>
      <c r="J54" s="42"/>
      <c r="K54" s="42"/>
      <c r="L54" s="42"/>
      <c r="M54" s="42"/>
      <c r="N54" s="28"/>
    </row>
    <row r="55" spans="1:14" x14ac:dyDescent="0.2">
      <c r="A55" s="25"/>
      <c r="B55" s="8" t="str">
        <f>VLOOKUP($B$15,DISTRICT_STATES[],5,0)</f>
        <v>Maine</v>
      </c>
      <c r="C55" s="155">
        <f>IF($B55=" ","",IFERROR(INDEX(MMWR_RATING_STATE_ROLLUP_QST[],MATCH($B55,MMWR_RATING_STATE_ROLLUP_QST[MMWR_RATING_STATE_ROLLUP_QST],0),MATCH(C$9,MMWR_RATING_STATE_ROLLUP_QST[#Headers],0)),"ERROR"))</f>
        <v>13</v>
      </c>
      <c r="D55" s="156">
        <f>IF($B55=" ","",IFERROR(INDEX(MMWR_RATING_STATE_ROLLUP_QST[],MATCH($B55,MMWR_RATING_STATE_ROLLUP_QST[MMWR_RATING_STATE_ROLLUP_QST],0),MATCH(D$9,MMWR_RATING_STATE_ROLLUP_QST[#Headers],0)),"ERROR"))</f>
        <v>87.461538461499998</v>
      </c>
      <c r="E55" s="157">
        <f>IF($B55=" ","",IFERROR(INDEX(MMWR_RATING_STATE_ROLLUP_QST[],MATCH($B55,MMWR_RATING_STATE_ROLLUP_QST[MMWR_RATING_STATE_ROLLUP_QST],0),MATCH(E$9,MMWR_RATING_STATE_ROLLUP_QST[#Headers],0))/$C55,"ERROR"))</f>
        <v>0.23076923076923078</v>
      </c>
      <c r="F55" s="155">
        <f>IF($B55=" ","",IFERROR(INDEX(MMWR_RATING_STATE_ROLLUP_QST[],MATCH($B55,MMWR_RATING_STATE_ROLLUP_QST[MMWR_RATING_STATE_ROLLUP_QST],0),MATCH(F$9,MMWR_RATING_STATE_ROLLUP_QST[#Headers],0)),"ERROR"))</f>
        <v>2</v>
      </c>
      <c r="G55" s="155">
        <f>IF($B55=" ","",IFERROR(INDEX(MMWR_RATING_STATE_ROLLUP_QST[],MATCH($B55,MMWR_RATING_STATE_ROLLUP_QST[MMWR_RATING_STATE_ROLLUP_QST],0),MATCH(G$9,MMWR_RATING_STATE_ROLLUP_QST[#Headers],0)),"ERROR"))</f>
        <v>64</v>
      </c>
      <c r="H55" s="156">
        <f>IF($B55=" ","",IFERROR(INDEX(MMWR_RATING_STATE_ROLLUP_QST[],MATCH($B55,MMWR_RATING_STATE_ROLLUP_QST[MMWR_RATING_STATE_ROLLUP_QST],0),MATCH(H$9,MMWR_RATING_STATE_ROLLUP_QST[#Headers],0)),"ERROR"))</f>
        <v>43</v>
      </c>
      <c r="I55" s="156">
        <f>IF($B55=" ","",IFERROR(INDEX(MMWR_RATING_STATE_ROLLUP_QST[],MATCH($B55,MMWR_RATING_STATE_ROLLUP_QST[MMWR_RATING_STATE_ROLLUP_QST],0),MATCH(I$9,MMWR_RATING_STATE_ROLLUP_QST[#Headers],0)),"ERROR"))</f>
        <v>127.1875</v>
      </c>
      <c r="J55" s="42"/>
      <c r="K55" s="42"/>
      <c r="L55" s="42"/>
      <c r="M55" s="42"/>
      <c r="N55" s="28"/>
    </row>
    <row r="56" spans="1:14" x14ac:dyDescent="0.2">
      <c r="A56" s="25"/>
      <c r="B56" s="8" t="str">
        <f>VLOOKUP($B$15,DISTRICT_STATES[],6,0)</f>
        <v>Maryland</v>
      </c>
      <c r="C56" s="155">
        <f>IF($B56=" ","",IFERROR(INDEX(MMWR_RATING_STATE_ROLLUP_QST[],MATCH($B56,MMWR_RATING_STATE_ROLLUP_QST[MMWR_RATING_STATE_ROLLUP_QST],0),MATCH(C$9,MMWR_RATING_STATE_ROLLUP_QST[#Headers],0)),"ERROR"))</f>
        <v>203</v>
      </c>
      <c r="D56" s="156">
        <f>IF($B56=" ","",IFERROR(INDEX(MMWR_RATING_STATE_ROLLUP_QST[],MATCH($B56,MMWR_RATING_STATE_ROLLUP_QST[MMWR_RATING_STATE_ROLLUP_QST],0),MATCH(D$9,MMWR_RATING_STATE_ROLLUP_QST[#Headers],0)),"ERROR"))</f>
        <v>72.669950738899999</v>
      </c>
      <c r="E56" s="157">
        <f>IF($B56=" ","",IFERROR(INDEX(MMWR_RATING_STATE_ROLLUP_QST[],MATCH($B56,MMWR_RATING_STATE_ROLLUP_QST[MMWR_RATING_STATE_ROLLUP_QST],0),MATCH(E$9,MMWR_RATING_STATE_ROLLUP_QST[#Headers],0))/$C56,"ERROR"))</f>
        <v>0.13793103448275862</v>
      </c>
      <c r="F56" s="155">
        <f>IF($B56=" ","",IFERROR(INDEX(MMWR_RATING_STATE_ROLLUP_QST[],MATCH($B56,MMWR_RATING_STATE_ROLLUP_QST[MMWR_RATING_STATE_ROLLUP_QST],0),MATCH(F$9,MMWR_RATING_STATE_ROLLUP_QST[#Headers],0)),"ERROR"))</f>
        <v>30</v>
      </c>
      <c r="G56" s="155">
        <f>IF($B56=" ","",IFERROR(INDEX(MMWR_RATING_STATE_ROLLUP_QST[],MATCH($B56,MMWR_RATING_STATE_ROLLUP_QST[MMWR_RATING_STATE_ROLLUP_QST],0),MATCH(G$9,MMWR_RATING_STATE_ROLLUP_QST[#Headers],0)),"ERROR"))</f>
        <v>514</v>
      </c>
      <c r="H56" s="156">
        <f>IF($B56=" ","",IFERROR(INDEX(MMWR_RATING_STATE_ROLLUP_QST[],MATCH($B56,MMWR_RATING_STATE_ROLLUP_QST[MMWR_RATING_STATE_ROLLUP_QST],0),MATCH(H$9,MMWR_RATING_STATE_ROLLUP_QST[#Headers],0)),"ERROR"))</f>
        <v>119.5</v>
      </c>
      <c r="I56" s="156">
        <f>IF($B56=" ","",IFERROR(INDEX(MMWR_RATING_STATE_ROLLUP_QST[],MATCH($B56,MMWR_RATING_STATE_ROLLUP_QST[MMWR_RATING_STATE_ROLLUP_QST],0),MATCH(I$9,MMWR_RATING_STATE_ROLLUP_QST[#Headers],0)),"ERROR"))</f>
        <v>141.0972762646</v>
      </c>
      <c r="J56" s="42"/>
      <c r="K56" s="42"/>
      <c r="L56" s="42"/>
      <c r="M56" s="42"/>
      <c r="N56" s="28"/>
    </row>
    <row r="57" spans="1:14" x14ac:dyDescent="0.2">
      <c r="A57" s="25"/>
      <c r="B57" s="8" t="str">
        <f>VLOOKUP($B$15,DISTRICT_STATES[],7,0)</f>
        <v>Massachusetts</v>
      </c>
      <c r="C57" s="155">
        <f>IF($B57=" ","",IFERROR(INDEX(MMWR_RATING_STATE_ROLLUP_QST[],MATCH($B57,MMWR_RATING_STATE_ROLLUP_QST[MMWR_RATING_STATE_ROLLUP_QST],0),MATCH(C$9,MMWR_RATING_STATE_ROLLUP_QST[#Headers],0)),"ERROR"))</f>
        <v>80</v>
      </c>
      <c r="D57" s="156">
        <f>IF($B57=" ","",IFERROR(INDEX(MMWR_RATING_STATE_ROLLUP_QST[],MATCH($B57,MMWR_RATING_STATE_ROLLUP_QST[MMWR_RATING_STATE_ROLLUP_QST],0),MATCH(D$9,MMWR_RATING_STATE_ROLLUP_QST[#Headers],0)),"ERROR"))</f>
        <v>61.6</v>
      </c>
      <c r="E57" s="157">
        <f>IF($B57=" ","",IFERROR(INDEX(MMWR_RATING_STATE_ROLLUP_QST[],MATCH($B57,MMWR_RATING_STATE_ROLLUP_QST[MMWR_RATING_STATE_ROLLUP_QST],0),MATCH(E$9,MMWR_RATING_STATE_ROLLUP_QST[#Headers],0))/$C57,"ERROR"))</f>
        <v>7.4999999999999997E-2</v>
      </c>
      <c r="F57" s="155">
        <f>IF($B57=" ","",IFERROR(INDEX(MMWR_RATING_STATE_ROLLUP_QST[],MATCH($B57,MMWR_RATING_STATE_ROLLUP_QST[MMWR_RATING_STATE_ROLLUP_QST],0),MATCH(F$9,MMWR_RATING_STATE_ROLLUP_QST[#Headers],0)),"ERROR"))</f>
        <v>8</v>
      </c>
      <c r="G57" s="155">
        <f>IF($B57=" ","",IFERROR(INDEX(MMWR_RATING_STATE_ROLLUP_QST[],MATCH($B57,MMWR_RATING_STATE_ROLLUP_QST[MMWR_RATING_STATE_ROLLUP_QST],0),MATCH(G$9,MMWR_RATING_STATE_ROLLUP_QST[#Headers],0)),"ERROR"))</f>
        <v>206</v>
      </c>
      <c r="H57" s="156">
        <f>IF($B57=" ","",IFERROR(INDEX(MMWR_RATING_STATE_ROLLUP_QST[],MATCH($B57,MMWR_RATING_STATE_ROLLUP_QST[MMWR_RATING_STATE_ROLLUP_QST],0),MATCH(H$9,MMWR_RATING_STATE_ROLLUP_QST[#Headers],0)),"ERROR"))</f>
        <v>106.875</v>
      </c>
      <c r="I57" s="156">
        <f>IF($B57=" ","",IFERROR(INDEX(MMWR_RATING_STATE_ROLLUP_QST[],MATCH($B57,MMWR_RATING_STATE_ROLLUP_QST[MMWR_RATING_STATE_ROLLUP_QST],0),MATCH(I$9,MMWR_RATING_STATE_ROLLUP_QST[#Headers],0)),"ERROR"))</f>
        <v>130.49029126209999</v>
      </c>
      <c r="J57" s="42"/>
      <c r="K57" s="42"/>
      <c r="L57" s="42"/>
      <c r="M57" s="42"/>
      <c r="N57" s="28"/>
    </row>
    <row r="58" spans="1:14" x14ac:dyDescent="0.2">
      <c r="A58" s="25"/>
      <c r="B58" s="8" t="str">
        <f>VLOOKUP($B$15,DISTRICT_STATES[],8,0)</f>
        <v>New Hampshire</v>
      </c>
      <c r="C58" s="155">
        <f>IF($B58=" ","",IFERROR(INDEX(MMWR_RATING_STATE_ROLLUP_QST[],MATCH($B58,MMWR_RATING_STATE_ROLLUP_QST[MMWR_RATING_STATE_ROLLUP_QST],0),MATCH(C$9,MMWR_RATING_STATE_ROLLUP_QST[#Headers],0)),"ERROR"))</f>
        <v>13</v>
      </c>
      <c r="D58" s="156">
        <f>IF($B58=" ","",IFERROR(INDEX(MMWR_RATING_STATE_ROLLUP_QST[],MATCH($B58,MMWR_RATING_STATE_ROLLUP_QST[MMWR_RATING_STATE_ROLLUP_QST],0),MATCH(D$9,MMWR_RATING_STATE_ROLLUP_QST[#Headers],0)),"ERROR"))</f>
        <v>70.692307692300005</v>
      </c>
      <c r="E58" s="157">
        <f>IF($B58=" ","",IFERROR(INDEX(MMWR_RATING_STATE_ROLLUP_QST[],MATCH($B58,MMWR_RATING_STATE_ROLLUP_QST[MMWR_RATING_STATE_ROLLUP_QST],0),MATCH(E$9,MMWR_RATING_STATE_ROLLUP_QST[#Headers],0))/$C58,"ERROR"))</f>
        <v>0.30769230769230771</v>
      </c>
      <c r="F58" s="155">
        <f>IF($B58=" ","",IFERROR(INDEX(MMWR_RATING_STATE_ROLLUP_QST[],MATCH($B58,MMWR_RATING_STATE_ROLLUP_QST[MMWR_RATING_STATE_ROLLUP_QST],0),MATCH(F$9,MMWR_RATING_STATE_ROLLUP_QST[#Headers],0)),"ERROR"))</f>
        <v>3</v>
      </c>
      <c r="G58" s="155">
        <f>IF($B58=" ","",IFERROR(INDEX(MMWR_RATING_STATE_ROLLUP_QST[],MATCH($B58,MMWR_RATING_STATE_ROLLUP_QST[MMWR_RATING_STATE_ROLLUP_QST],0),MATCH(G$9,MMWR_RATING_STATE_ROLLUP_QST[#Headers],0)),"ERROR"))</f>
        <v>60</v>
      </c>
      <c r="H58" s="156">
        <f>IF($B58=" ","",IFERROR(INDEX(MMWR_RATING_STATE_ROLLUP_QST[],MATCH($B58,MMWR_RATING_STATE_ROLLUP_QST[MMWR_RATING_STATE_ROLLUP_QST],0),MATCH(H$9,MMWR_RATING_STATE_ROLLUP_QST[#Headers],0)),"ERROR"))</f>
        <v>97</v>
      </c>
      <c r="I58" s="156">
        <f>IF($B58=" ","",IFERROR(INDEX(MMWR_RATING_STATE_ROLLUP_QST[],MATCH($B58,MMWR_RATING_STATE_ROLLUP_QST[MMWR_RATING_STATE_ROLLUP_QST],0),MATCH(I$9,MMWR_RATING_STATE_ROLLUP_QST[#Headers],0)),"ERROR"))</f>
        <v>120.75</v>
      </c>
      <c r="J58" s="42"/>
      <c r="K58" s="42"/>
      <c r="L58" s="42"/>
      <c r="M58" s="42"/>
      <c r="N58" s="28"/>
    </row>
    <row r="59" spans="1:14" x14ac:dyDescent="0.2">
      <c r="A59" s="25"/>
      <c r="B59" s="8" t="str">
        <f>VLOOKUP($B$15,DISTRICT_STATES[],9,0)</f>
        <v>New Jersey</v>
      </c>
      <c r="C59" s="155">
        <f>IF($B59=" ","",IFERROR(INDEX(MMWR_RATING_STATE_ROLLUP_QST[],MATCH($B59,MMWR_RATING_STATE_ROLLUP_QST[MMWR_RATING_STATE_ROLLUP_QST],0),MATCH(C$9,MMWR_RATING_STATE_ROLLUP_QST[#Headers],0)),"ERROR"))</f>
        <v>79</v>
      </c>
      <c r="D59" s="156">
        <f>IF($B59=" ","",IFERROR(INDEX(MMWR_RATING_STATE_ROLLUP_QST[],MATCH($B59,MMWR_RATING_STATE_ROLLUP_QST[MMWR_RATING_STATE_ROLLUP_QST],0),MATCH(D$9,MMWR_RATING_STATE_ROLLUP_QST[#Headers],0)),"ERROR"))</f>
        <v>66.721518987300001</v>
      </c>
      <c r="E59" s="157">
        <f>IF($B59=" ","",IFERROR(INDEX(MMWR_RATING_STATE_ROLLUP_QST[],MATCH($B59,MMWR_RATING_STATE_ROLLUP_QST[MMWR_RATING_STATE_ROLLUP_QST],0),MATCH(E$9,MMWR_RATING_STATE_ROLLUP_QST[#Headers],0))/$C59,"ERROR"))</f>
        <v>0.12658227848101267</v>
      </c>
      <c r="F59" s="155">
        <f>IF($B59=" ","",IFERROR(INDEX(MMWR_RATING_STATE_ROLLUP_QST[],MATCH($B59,MMWR_RATING_STATE_ROLLUP_QST[MMWR_RATING_STATE_ROLLUP_QST],0),MATCH(F$9,MMWR_RATING_STATE_ROLLUP_QST[#Headers],0)),"ERROR"))</f>
        <v>12</v>
      </c>
      <c r="G59" s="155">
        <f>IF($B59=" ","",IFERROR(INDEX(MMWR_RATING_STATE_ROLLUP_QST[],MATCH($B59,MMWR_RATING_STATE_ROLLUP_QST[MMWR_RATING_STATE_ROLLUP_QST],0),MATCH(G$9,MMWR_RATING_STATE_ROLLUP_QST[#Headers],0)),"ERROR"))</f>
        <v>210</v>
      </c>
      <c r="H59" s="156">
        <f>IF($B59=" ","",IFERROR(INDEX(MMWR_RATING_STATE_ROLLUP_QST[],MATCH($B59,MMWR_RATING_STATE_ROLLUP_QST[MMWR_RATING_STATE_ROLLUP_QST],0),MATCH(H$9,MMWR_RATING_STATE_ROLLUP_QST[#Headers],0)),"ERROR"))</f>
        <v>116.3333333333</v>
      </c>
      <c r="I59" s="156">
        <f>IF($B59=" ","",IFERROR(INDEX(MMWR_RATING_STATE_ROLLUP_QST[],MATCH($B59,MMWR_RATING_STATE_ROLLUP_QST[MMWR_RATING_STATE_ROLLUP_QST],0),MATCH(I$9,MMWR_RATING_STATE_ROLLUP_QST[#Headers],0)),"ERROR"))</f>
        <v>135.50476190480001</v>
      </c>
      <c r="J59" s="42"/>
      <c r="K59" s="42"/>
      <c r="L59" s="42"/>
      <c r="M59" s="42"/>
      <c r="N59" s="28"/>
    </row>
    <row r="60" spans="1:14" x14ac:dyDescent="0.2">
      <c r="A60" s="25"/>
      <c r="B60" s="8" t="str">
        <f>VLOOKUP($B$15,DISTRICT_STATES[],10,0)</f>
        <v>New York</v>
      </c>
      <c r="C60" s="155">
        <f>IF($B60=" ","",IFERROR(INDEX(MMWR_RATING_STATE_ROLLUP_QST[],MATCH($B60,MMWR_RATING_STATE_ROLLUP_QST[MMWR_RATING_STATE_ROLLUP_QST],0),MATCH(C$9,MMWR_RATING_STATE_ROLLUP_QST[#Headers],0)),"ERROR"))</f>
        <v>204</v>
      </c>
      <c r="D60" s="156">
        <f>IF($B60=" ","",IFERROR(INDEX(MMWR_RATING_STATE_ROLLUP_QST[],MATCH($B60,MMWR_RATING_STATE_ROLLUP_QST[MMWR_RATING_STATE_ROLLUP_QST],0),MATCH(D$9,MMWR_RATING_STATE_ROLLUP_QST[#Headers],0)),"ERROR"))</f>
        <v>61.205882352899998</v>
      </c>
      <c r="E60" s="157">
        <f>IF($B60=" ","",IFERROR(INDEX(MMWR_RATING_STATE_ROLLUP_QST[],MATCH($B60,MMWR_RATING_STATE_ROLLUP_QST[MMWR_RATING_STATE_ROLLUP_QST],0),MATCH(E$9,MMWR_RATING_STATE_ROLLUP_QST[#Headers],0))/$C60,"ERROR"))</f>
        <v>0.10294117647058823</v>
      </c>
      <c r="F60" s="155">
        <f>IF($B60=" ","",IFERROR(INDEX(MMWR_RATING_STATE_ROLLUP_QST[],MATCH($B60,MMWR_RATING_STATE_ROLLUP_QST[MMWR_RATING_STATE_ROLLUP_QST],0),MATCH(F$9,MMWR_RATING_STATE_ROLLUP_QST[#Headers],0)),"ERROR"))</f>
        <v>28</v>
      </c>
      <c r="G60" s="155">
        <f>IF($B60=" ","",IFERROR(INDEX(MMWR_RATING_STATE_ROLLUP_QST[],MATCH($B60,MMWR_RATING_STATE_ROLLUP_QST[MMWR_RATING_STATE_ROLLUP_QST],0),MATCH(G$9,MMWR_RATING_STATE_ROLLUP_QST[#Headers],0)),"ERROR"))</f>
        <v>522</v>
      </c>
      <c r="H60" s="156">
        <f>IF($B60=" ","",IFERROR(INDEX(MMWR_RATING_STATE_ROLLUP_QST[],MATCH($B60,MMWR_RATING_STATE_ROLLUP_QST[MMWR_RATING_STATE_ROLLUP_QST],0),MATCH(H$9,MMWR_RATING_STATE_ROLLUP_QST[#Headers],0)),"ERROR"))</f>
        <v>133.46428571429999</v>
      </c>
      <c r="I60" s="156">
        <f>IF($B60=" ","",IFERROR(INDEX(MMWR_RATING_STATE_ROLLUP_QST[],MATCH($B60,MMWR_RATING_STATE_ROLLUP_QST[MMWR_RATING_STATE_ROLLUP_QST],0),MATCH(I$9,MMWR_RATING_STATE_ROLLUP_QST[#Headers],0)),"ERROR"))</f>
        <v>134.64942528739999</v>
      </c>
      <c r="J60" s="42"/>
      <c r="K60" s="42"/>
      <c r="L60" s="42"/>
      <c r="M60" s="42"/>
      <c r="N60" s="28"/>
    </row>
    <row r="61" spans="1:14" x14ac:dyDescent="0.2">
      <c r="A61" s="25"/>
      <c r="B61" s="8" t="str">
        <f>VLOOKUP($B$15,DISTRICT_STATES[],11,0)</f>
        <v>North Carolina</v>
      </c>
      <c r="C61" s="155">
        <f>IF($B61=" ","",IFERROR(INDEX(MMWR_RATING_STATE_ROLLUP_QST[],MATCH($B61,MMWR_RATING_STATE_ROLLUP_QST[MMWR_RATING_STATE_ROLLUP_QST],0),MATCH(C$9,MMWR_RATING_STATE_ROLLUP_QST[#Headers],0)),"ERROR"))</f>
        <v>513</v>
      </c>
      <c r="D61" s="156">
        <f>IF($B61=" ","",IFERROR(INDEX(MMWR_RATING_STATE_ROLLUP_QST[],MATCH($B61,MMWR_RATING_STATE_ROLLUP_QST[MMWR_RATING_STATE_ROLLUP_QST],0),MATCH(D$9,MMWR_RATING_STATE_ROLLUP_QST[#Headers],0)),"ERROR"))</f>
        <v>73.307992202700007</v>
      </c>
      <c r="E61" s="157">
        <f>IF($B61=" ","",IFERROR(INDEX(MMWR_RATING_STATE_ROLLUP_QST[],MATCH($B61,MMWR_RATING_STATE_ROLLUP_QST[MMWR_RATING_STATE_ROLLUP_QST],0),MATCH(E$9,MMWR_RATING_STATE_ROLLUP_QST[#Headers],0))/$C61,"ERROR"))</f>
        <v>0.14619883040935672</v>
      </c>
      <c r="F61" s="155">
        <f>IF($B61=" ","",IFERROR(INDEX(MMWR_RATING_STATE_ROLLUP_QST[],MATCH($B61,MMWR_RATING_STATE_ROLLUP_QST[MMWR_RATING_STATE_ROLLUP_QST],0),MATCH(F$9,MMWR_RATING_STATE_ROLLUP_QST[#Headers],0)),"ERROR"))</f>
        <v>68</v>
      </c>
      <c r="G61" s="155">
        <f>IF($B61=" ","",IFERROR(INDEX(MMWR_RATING_STATE_ROLLUP_QST[],MATCH($B61,MMWR_RATING_STATE_ROLLUP_QST[MMWR_RATING_STATE_ROLLUP_QST],0),MATCH(G$9,MMWR_RATING_STATE_ROLLUP_QST[#Headers],0)),"ERROR"))</f>
        <v>1190</v>
      </c>
      <c r="H61" s="156">
        <f>IF($B61=" ","",IFERROR(INDEX(MMWR_RATING_STATE_ROLLUP_QST[],MATCH($B61,MMWR_RATING_STATE_ROLLUP_QST[MMWR_RATING_STATE_ROLLUP_QST],0),MATCH(H$9,MMWR_RATING_STATE_ROLLUP_QST[#Headers],0)),"ERROR"))</f>
        <v>153.20588235290001</v>
      </c>
      <c r="I61" s="156">
        <f>IF($B61=" ","",IFERROR(INDEX(MMWR_RATING_STATE_ROLLUP_QST[],MATCH($B61,MMWR_RATING_STATE_ROLLUP_QST[MMWR_RATING_STATE_ROLLUP_QST],0),MATCH(I$9,MMWR_RATING_STATE_ROLLUP_QST[#Headers],0)),"ERROR"))</f>
        <v>141.90252100839999</v>
      </c>
      <c r="J61" s="42"/>
      <c r="K61" s="42"/>
      <c r="L61" s="42"/>
      <c r="M61" s="42"/>
      <c r="N61" s="28"/>
    </row>
    <row r="62" spans="1:14" x14ac:dyDescent="0.2">
      <c r="A62" s="25"/>
      <c r="B62" s="8" t="str">
        <f>VLOOKUP($B$15,DISTRICT_STATES[],12,0)</f>
        <v>Pennsylvania</v>
      </c>
      <c r="C62" s="155">
        <f>IF($B62=" ","",IFERROR(INDEX(MMWR_RATING_STATE_ROLLUP_QST[],MATCH($B62,MMWR_RATING_STATE_ROLLUP_QST[MMWR_RATING_STATE_ROLLUP_QST],0),MATCH(C$9,MMWR_RATING_STATE_ROLLUP_QST[#Headers],0)),"ERROR"))</f>
        <v>173</v>
      </c>
      <c r="D62" s="156">
        <f>IF($B62=" ","",IFERROR(INDEX(MMWR_RATING_STATE_ROLLUP_QST[],MATCH($B62,MMWR_RATING_STATE_ROLLUP_QST[MMWR_RATING_STATE_ROLLUP_QST],0),MATCH(D$9,MMWR_RATING_STATE_ROLLUP_QST[#Headers],0)),"ERROR"))</f>
        <v>66.693641618499996</v>
      </c>
      <c r="E62" s="157">
        <f>IF($B62=" ","",IFERROR(INDEX(MMWR_RATING_STATE_ROLLUP_QST[],MATCH($B62,MMWR_RATING_STATE_ROLLUP_QST[MMWR_RATING_STATE_ROLLUP_QST],0),MATCH(E$9,MMWR_RATING_STATE_ROLLUP_QST[#Headers],0))/$C62,"ERROR"))</f>
        <v>9.8265895953757232E-2</v>
      </c>
      <c r="F62" s="155">
        <f>IF($B62=" ","",IFERROR(INDEX(MMWR_RATING_STATE_ROLLUP_QST[],MATCH($B62,MMWR_RATING_STATE_ROLLUP_QST[MMWR_RATING_STATE_ROLLUP_QST],0),MATCH(F$9,MMWR_RATING_STATE_ROLLUP_QST[#Headers],0)),"ERROR"))</f>
        <v>29</v>
      </c>
      <c r="G62" s="155">
        <f>IF($B62=" ","",IFERROR(INDEX(MMWR_RATING_STATE_ROLLUP_QST[],MATCH($B62,MMWR_RATING_STATE_ROLLUP_QST[MMWR_RATING_STATE_ROLLUP_QST],0),MATCH(G$9,MMWR_RATING_STATE_ROLLUP_QST[#Headers],0)),"ERROR"))</f>
        <v>466</v>
      </c>
      <c r="H62" s="156">
        <f>IF($B62=" ","",IFERROR(INDEX(MMWR_RATING_STATE_ROLLUP_QST[],MATCH($B62,MMWR_RATING_STATE_ROLLUP_QST[MMWR_RATING_STATE_ROLLUP_QST],0),MATCH(H$9,MMWR_RATING_STATE_ROLLUP_QST[#Headers],0)),"ERROR"))</f>
        <v>146.89655172409999</v>
      </c>
      <c r="I62" s="156">
        <f>IF($B62=" ","",IFERROR(INDEX(MMWR_RATING_STATE_ROLLUP_QST[],MATCH($B62,MMWR_RATING_STATE_ROLLUP_QST[MMWR_RATING_STATE_ROLLUP_QST],0),MATCH(I$9,MMWR_RATING_STATE_ROLLUP_QST[#Headers],0)),"ERROR"))</f>
        <v>132.79828326180001</v>
      </c>
      <c r="J62" s="42"/>
      <c r="K62" s="42"/>
      <c r="L62" s="42"/>
      <c r="M62" s="42"/>
      <c r="N62" s="28"/>
    </row>
    <row r="63" spans="1:14" x14ac:dyDescent="0.2">
      <c r="A63" s="25"/>
      <c r="B63" s="8" t="str">
        <f>VLOOKUP($B$15,DISTRICT_STATES[],13,0)</f>
        <v>Rhode Island</v>
      </c>
      <c r="C63" s="155">
        <f>IF($B63=" ","",IFERROR(INDEX(MMWR_RATING_STATE_ROLLUP_QST[],MATCH($B63,MMWR_RATING_STATE_ROLLUP_QST[MMWR_RATING_STATE_ROLLUP_QST],0),MATCH(C$9,MMWR_RATING_STATE_ROLLUP_QST[#Headers],0)),"ERROR"))</f>
        <v>11</v>
      </c>
      <c r="D63" s="156">
        <f>IF($B63=" ","",IFERROR(INDEX(MMWR_RATING_STATE_ROLLUP_QST[],MATCH($B63,MMWR_RATING_STATE_ROLLUP_QST[MMWR_RATING_STATE_ROLLUP_QST],0),MATCH(D$9,MMWR_RATING_STATE_ROLLUP_QST[#Headers],0)),"ERROR"))</f>
        <v>61.363636363600001</v>
      </c>
      <c r="E63" s="157">
        <f>IF($B63=" ","",IFERROR(INDEX(MMWR_RATING_STATE_ROLLUP_QST[],MATCH($B63,MMWR_RATING_STATE_ROLLUP_QST[MMWR_RATING_STATE_ROLLUP_QST],0),MATCH(E$9,MMWR_RATING_STATE_ROLLUP_QST[#Headers],0))/$C63,"ERROR"))</f>
        <v>9.0909090909090912E-2</v>
      </c>
      <c r="F63" s="155">
        <f>IF($B63=" ","",IFERROR(INDEX(MMWR_RATING_STATE_ROLLUP_QST[],MATCH($B63,MMWR_RATING_STATE_ROLLUP_QST[MMWR_RATING_STATE_ROLLUP_QST],0),MATCH(F$9,MMWR_RATING_STATE_ROLLUP_QST[#Headers],0)),"ERROR"))</f>
        <v>0</v>
      </c>
      <c r="G63" s="155">
        <f>IF($B63=" ","",IFERROR(INDEX(MMWR_RATING_STATE_ROLLUP_QST[],MATCH($B63,MMWR_RATING_STATE_ROLLUP_QST[MMWR_RATING_STATE_ROLLUP_QST],0),MATCH(G$9,MMWR_RATING_STATE_ROLLUP_QST[#Headers],0)),"ERROR"))</f>
        <v>28</v>
      </c>
      <c r="H63" s="156">
        <f>IF($B63=" ","",IFERROR(INDEX(MMWR_RATING_STATE_ROLLUP_QST[],MATCH($B63,MMWR_RATING_STATE_ROLLUP_QST[MMWR_RATING_STATE_ROLLUP_QST],0),MATCH(H$9,MMWR_RATING_STATE_ROLLUP_QST[#Headers],0)),"ERROR"))</f>
        <v>0</v>
      </c>
      <c r="I63" s="156">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5">
        <f>IF($B64=" ","",IFERROR(INDEX(MMWR_RATING_STATE_ROLLUP_QST[],MATCH($B64,MMWR_RATING_STATE_ROLLUP_QST[MMWR_RATING_STATE_ROLLUP_QST],0),MATCH(C$9,MMWR_RATING_STATE_ROLLUP_QST[#Headers],0)),"ERROR"))</f>
        <v>5</v>
      </c>
      <c r="D64" s="156">
        <f>IF($B64=" ","",IFERROR(INDEX(MMWR_RATING_STATE_ROLLUP_QST[],MATCH($B64,MMWR_RATING_STATE_ROLLUP_QST[MMWR_RATING_STATE_ROLLUP_QST],0),MATCH(D$9,MMWR_RATING_STATE_ROLLUP_QST[#Headers],0)),"ERROR"))</f>
        <v>23.2</v>
      </c>
      <c r="E64" s="157">
        <f>IF($B64=" ","",IFERROR(INDEX(MMWR_RATING_STATE_ROLLUP_QST[],MATCH($B64,MMWR_RATING_STATE_ROLLUP_QST[MMWR_RATING_STATE_ROLLUP_QST],0),MATCH(E$9,MMWR_RATING_STATE_ROLLUP_QST[#Headers],0))/$C64,"ERROR"))</f>
        <v>0</v>
      </c>
      <c r="F64" s="155">
        <f>IF($B64=" ","",IFERROR(INDEX(MMWR_RATING_STATE_ROLLUP_QST[],MATCH($B64,MMWR_RATING_STATE_ROLLUP_QST[MMWR_RATING_STATE_ROLLUP_QST],0),MATCH(F$9,MMWR_RATING_STATE_ROLLUP_QST[#Headers],0)),"ERROR"))</f>
        <v>0</v>
      </c>
      <c r="G64" s="155">
        <f>IF($B64=" ","",IFERROR(INDEX(MMWR_RATING_STATE_ROLLUP_QST[],MATCH($B64,MMWR_RATING_STATE_ROLLUP_QST[MMWR_RATING_STATE_ROLLUP_QST],0),MATCH(G$9,MMWR_RATING_STATE_ROLLUP_QST[#Headers],0)),"ERROR"))</f>
        <v>22</v>
      </c>
      <c r="H64" s="156">
        <f>IF($B64=" ","",IFERROR(INDEX(MMWR_RATING_STATE_ROLLUP_QST[],MATCH($B64,MMWR_RATING_STATE_ROLLUP_QST[MMWR_RATING_STATE_ROLLUP_QST],0),MATCH(H$9,MMWR_RATING_STATE_ROLLUP_QST[#Headers],0)),"ERROR"))</f>
        <v>0</v>
      </c>
      <c r="I64" s="156">
        <f>IF($B64=" ","",IFERROR(INDEX(MMWR_RATING_STATE_ROLLUP_QST[],MATCH($B64,MMWR_RATING_STATE_ROLLUP_QST[MMWR_RATING_STATE_ROLLUP_QST],0),MATCH(I$9,MMWR_RATING_STATE_ROLLUP_QST[#Headers],0)),"ERROR"))</f>
        <v>134.9090909091</v>
      </c>
      <c r="J64" s="42"/>
      <c r="K64" s="42"/>
      <c r="L64" s="42"/>
      <c r="M64" s="42"/>
      <c r="N64" s="28"/>
    </row>
    <row r="65" spans="1:14" x14ac:dyDescent="0.2">
      <c r="A65" s="25"/>
      <c r="B65" s="8" t="str">
        <f>VLOOKUP($B$15,DISTRICT_STATES[],15,0)</f>
        <v>Virginia</v>
      </c>
      <c r="C65" s="155">
        <f>IF($B65=" ","",IFERROR(INDEX(MMWR_RATING_STATE_ROLLUP_QST[],MATCH($B65,MMWR_RATING_STATE_ROLLUP_QST[MMWR_RATING_STATE_ROLLUP_QST],0),MATCH(C$9,MMWR_RATING_STATE_ROLLUP_QST[#Headers],0)),"ERROR"))</f>
        <v>538</v>
      </c>
      <c r="D65" s="156">
        <f>IF($B65=" ","",IFERROR(INDEX(MMWR_RATING_STATE_ROLLUP_QST[],MATCH($B65,MMWR_RATING_STATE_ROLLUP_QST[MMWR_RATING_STATE_ROLLUP_QST],0),MATCH(D$9,MMWR_RATING_STATE_ROLLUP_QST[#Headers],0)),"ERROR"))</f>
        <v>85.3215613383</v>
      </c>
      <c r="E65" s="157">
        <f>IF($B65=" ","",IFERROR(INDEX(MMWR_RATING_STATE_ROLLUP_QST[],MATCH($B65,MMWR_RATING_STATE_ROLLUP_QST[MMWR_RATING_STATE_ROLLUP_QST],0),MATCH(E$9,MMWR_RATING_STATE_ROLLUP_QST[#Headers],0))/$C65,"ERROR"))</f>
        <v>0.20631970260223048</v>
      </c>
      <c r="F65" s="155">
        <f>IF($B65=" ","",IFERROR(INDEX(MMWR_RATING_STATE_ROLLUP_QST[],MATCH($B65,MMWR_RATING_STATE_ROLLUP_QST[MMWR_RATING_STATE_ROLLUP_QST],0),MATCH(F$9,MMWR_RATING_STATE_ROLLUP_QST[#Headers],0)),"ERROR"))</f>
        <v>83</v>
      </c>
      <c r="G65" s="155">
        <f>IF($B65=" ","",IFERROR(INDEX(MMWR_RATING_STATE_ROLLUP_QST[],MATCH($B65,MMWR_RATING_STATE_ROLLUP_QST[MMWR_RATING_STATE_ROLLUP_QST],0),MATCH(G$9,MMWR_RATING_STATE_ROLLUP_QST[#Headers],0)),"ERROR"))</f>
        <v>1377</v>
      </c>
      <c r="H65" s="156">
        <f>IF($B65=" ","",IFERROR(INDEX(MMWR_RATING_STATE_ROLLUP_QST[],MATCH($B65,MMWR_RATING_STATE_ROLLUP_QST[MMWR_RATING_STATE_ROLLUP_QST],0),MATCH(H$9,MMWR_RATING_STATE_ROLLUP_QST[#Headers],0)),"ERROR"))</f>
        <v>142.30120481930001</v>
      </c>
      <c r="I65" s="156">
        <f>IF($B65=" ","",IFERROR(INDEX(MMWR_RATING_STATE_ROLLUP_QST[],MATCH($B65,MMWR_RATING_STATE_ROLLUP_QST[MMWR_RATING_STATE_ROLLUP_QST],0),MATCH(I$9,MMWR_RATING_STATE_ROLLUP_QST[#Headers],0)),"ERROR"))</f>
        <v>148.13435003629999</v>
      </c>
      <c r="J65" s="42"/>
      <c r="K65" s="42"/>
      <c r="L65" s="42"/>
      <c r="M65" s="42"/>
      <c r="N65" s="28"/>
    </row>
    <row r="66" spans="1:14" x14ac:dyDescent="0.2">
      <c r="A66" s="25"/>
      <c r="B66" s="8" t="str">
        <f>VLOOKUP($B$15,DISTRICT_STATES[],16,0)</f>
        <v>West Virginia</v>
      </c>
      <c r="C66" s="155">
        <f>IF($B66=" ","",IFERROR(INDEX(MMWR_RATING_STATE_ROLLUP_QST[],MATCH($B66,MMWR_RATING_STATE_ROLLUP_QST[MMWR_RATING_STATE_ROLLUP_QST],0),MATCH(C$9,MMWR_RATING_STATE_ROLLUP_QST[#Headers],0)),"ERROR"))</f>
        <v>17</v>
      </c>
      <c r="D66" s="156">
        <f>IF($B66=" ","",IFERROR(INDEX(MMWR_RATING_STATE_ROLLUP_QST[],MATCH($B66,MMWR_RATING_STATE_ROLLUP_QST[MMWR_RATING_STATE_ROLLUP_QST],0),MATCH(D$9,MMWR_RATING_STATE_ROLLUP_QST[#Headers],0)),"ERROR"))</f>
        <v>68.588235294100002</v>
      </c>
      <c r="E66" s="157">
        <f>IF($B66=" ","",IFERROR(INDEX(MMWR_RATING_STATE_ROLLUP_QST[],MATCH($B66,MMWR_RATING_STATE_ROLLUP_QST[MMWR_RATING_STATE_ROLLUP_QST],0),MATCH(E$9,MMWR_RATING_STATE_ROLLUP_QST[#Headers],0))/$C66,"ERROR"))</f>
        <v>0.11764705882352941</v>
      </c>
      <c r="F66" s="155">
        <f>IF($B66=" ","",IFERROR(INDEX(MMWR_RATING_STATE_ROLLUP_QST[],MATCH($B66,MMWR_RATING_STATE_ROLLUP_QST[MMWR_RATING_STATE_ROLLUP_QST],0),MATCH(F$9,MMWR_RATING_STATE_ROLLUP_QST[#Headers],0)),"ERROR"))</f>
        <v>0</v>
      </c>
      <c r="G66" s="155">
        <f>IF($B66=" ","",IFERROR(INDEX(MMWR_RATING_STATE_ROLLUP_QST[],MATCH($B66,MMWR_RATING_STATE_ROLLUP_QST[MMWR_RATING_STATE_ROLLUP_QST],0),MATCH(G$9,MMWR_RATING_STATE_ROLLUP_QST[#Headers],0)),"ERROR"))</f>
        <v>61</v>
      </c>
      <c r="H66" s="156">
        <f>IF($B66=" ","",IFERROR(INDEX(MMWR_RATING_STATE_ROLLUP_QST[],MATCH($B66,MMWR_RATING_STATE_ROLLUP_QST[MMWR_RATING_STATE_ROLLUP_QST],0),MATCH(H$9,MMWR_RATING_STATE_ROLLUP_QST[#Headers],0)),"ERROR"))</f>
        <v>0</v>
      </c>
      <c r="I66" s="156">
        <f>IF($B66=" ","",IFERROR(INDEX(MMWR_RATING_STATE_ROLLUP_QST[],MATCH($B66,MMWR_RATING_STATE_ROLLUP_QST[MMWR_RATING_STATE_ROLLUP_QST],0),MATCH(I$9,MMWR_RATING_STATE_ROLLUP_QST[#Headers],0)),"ERROR"))</f>
        <v>126.90163934429999</v>
      </c>
      <c r="J66" s="42"/>
      <c r="K66" s="42"/>
      <c r="L66" s="42"/>
      <c r="M66" s="42"/>
      <c r="N66" s="28"/>
    </row>
    <row r="67" spans="1:14" x14ac:dyDescent="0.2">
      <c r="A67" s="25"/>
      <c r="B67" s="339" t="s">
        <v>1053</v>
      </c>
      <c r="C67" s="340"/>
      <c r="D67" s="340"/>
      <c r="E67" s="340"/>
      <c r="F67" s="340"/>
      <c r="G67" s="340"/>
      <c r="H67" s="340"/>
      <c r="I67" s="340"/>
      <c r="J67" s="340"/>
      <c r="K67" s="340"/>
      <c r="L67" s="340"/>
      <c r="M67" s="390"/>
      <c r="N67" s="28"/>
    </row>
    <row r="68" spans="1:14" ht="25.5" x14ac:dyDescent="0.2">
      <c r="A68" s="25"/>
      <c r="B68" s="253" t="s">
        <v>1049</v>
      </c>
      <c r="C68" s="155">
        <f>IF($B68=" ","",IFERROR(INDEX(MMWR_RATING_STATE_ROLLUP_BDD[],MATCH($B68,MMWR_RATING_STATE_ROLLUP_BDD[MMWR_RATING_STATE_ROLLUP_BDD],0),MATCH(C$9,MMWR_RATING_STATE_ROLLUP_BDD[#Headers],0)),"ERROR"))</f>
        <v>9106</v>
      </c>
      <c r="D68" s="156">
        <f>IF($B68=" ","",IFERROR(INDEX(MMWR_RATING_STATE_ROLLUP_BDD[],MATCH($B68,MMWR_RATING_STATE_ROLLUP_BDD[MMWR_RATING_STATE_ROLLUP_BDD],0),MATCH(D$9,MMWR_RATING_STATE_ROLLUP_BDD[#Headers],0)),"ERROR"))</f>
        <v>70.623874368499997</v>
      </c>
      <c r="E68" s="157">
        <f>IF($B68=" ","",IFERROR(INDEX(MMWR_RATING_STATE_ROLLUP_BDD[],MATCH($B68,MMWR_RATING_STATE_ROLLUP_BDD[MMWR_RATING_STATE_ROLLUP_BDD],0),MATCH(E$9,MMWR_RATING_STATE_ROLLUP_BDD[#Headers],0))/$C68,"ERROR"))</f>
        <v>0.12025038436195915</v>
      </c>
      <c r="F68" s="155">
        <f>IF($B68=" ","",IFERROR(INDEX(MMWR_RATING_STATE_ROLLUP_BDD[],MATCH($B68,MMWR_RATING_STATE_ROLLUP_BDD[MMWR_RATING_STATE_ROLLUP_BDD],0),MATCH(F$9,MMWR_RATING_STATE_ROLLUP_BDD[#Headers],0)),"ERROR"))</f>
        <v>1289</v>
      </c>
      <c r="G68" s="155">
        <f>IF($B68=" ","",IFERROR(INDEX(MMWR_RATING_STATE_ROLLUP_BDD[],MATCH($B68,MMWR_RATING_STATE_ROLLUP_BDD[MMWR_RATING_STATE_ROLLUP_BDD],0),MATCH(G$9,MMWR_RATING_STATE_ROLLUP_BDD[#Headers],0)),"ERROR"))</f>
        <v>22932</v>
      </c>
      <c r="H68" s="156">
        <f>IF($B68=" ","",IFERROR(INDEX(MMWR_RATING_STATE_ROLLUP_BDD[],MATCH($B68,MMWR_RATING_STATE_ROLLUP_BDD[MMWR_RATING_STATE_ROLLUP_BDD],0),MATCH(H$9,MMWR_RATING_STATE_ROLLUP_BDD[#Headers],0)),"ERROR"))</f>
        <v>134.55236617529999</v>
      </c>
      <c r="I68" s="156">
        <f>IF($B68=" ","",IFERROR(INDEX(MMWR_RATING_STATE_ROLLUP_BDD[],MATCH($B68,MMWR_RATING_STATE_ROLLUP_BDD[MMWR_RATING_STATE_ROLLUP_BDD],0),MATCH(I$9,MMWR_RATING_STATE_ROLLUP_BDD[#Headers],0)),"ERROR"))</f>
        <v>151.35300017439999</v>
      </c>
      <c r="J68" s="42"/>
      <c r="K68" s="42"/>
      <c r="L68" s="42"/>
      <c r="M68" s="42"/>
      <c r="N68" s="28"/>
    </row>
    <row r="69" spans="1:14" x14ac:dyDescent="0.2">
      <c r="A69" s="25"/>
      <c r="B69" s="251" t="str">
        <f>INDEX(DISTRICT_STATES[],MATCH($B$5,DISTRICT_RO[District],0),1)</f>
        <v>North Atlantic</v>
      </c>
      <c r="C69" s="155">
        <f>IF($B69=" ","",IFERROR(INDEX(MMWR_RATING_STATE_ROLLUP_BDD[],MATCH($B69,MMWR_RATING_STATE_ROLLUP_BDD[MMWR_RATING_STATE_ROLLUP_BDD],0),MATCH(C$9,MMWR_RATING_STATE_ROLLUP_BDD[#Headers],0)),"ERROR"))</f>
        <v>2696</v>
      </c>
      <c r="D69" s="156">
        <f>IF($B69=" ","",IFERROR(INDEX(MMWR_RATING_STATE_ROLLUP_BDD[],MATCH($B69,MMWR_RATING_STATE_ROLLUP_BDD[MMWR_RATING_STATE_ROLLUP_BDD],0),MATCH(D$9,MMWR_RATING_STATE_ROLLUP_BDD[#Headers],0)),"ERROR"))</f>
        <v>70.745919881299997</v>
      </c>
      <c r="E69" s="157">
        <f>IF($B69=" ","",IFERROR(INDEX(MMWR_RATING_STATE_ROLLUP_BDD[],MATCH($B69,MMWR_RATING_STATE_ROLLUP_BDD[MMWR_RATING_STATE_ROLLUP_BDD],0),MATCH(E$9,MMWR_RATING_STATE_ROLLUP_BDD[#Headers],0))/$C69,"ERROR"))</f>
        <v>0.12611275964391691</v>
      </c>
      <c r="F69" s="155">
        <f>IF($B69=" ","",IFERROR(INDEX(MMWR_RATING_STATE_ROLLUP_BDD[],MATCH($B69,MMWR_RATING_STATE_ROLLUP_BDD[MMWR_RATING_STATE_ROLLUP_BDD],0),MATCH(F$9,MMWR_RATING_STATE_ROLLUP_BDD[#Headers],0)),"ERROR"))</f>
        <v>292</v>
      </c>
      <c r="G69" s="155">
        <f>IF($B69=" ","",IFERROR(INDEX(MMWR_RATING_STATE_ROLLUP_BDD[],MATCH($B69,MMWR_RATING_STATE_ROLLUP_BDD[MMWR_RATING_STATE_ROLLUP_BDD],0),MATCH(G$9,MMWR_RATING_STATE_ROLLUP_BDD[#Headers],0)),"ERROR"))</f>
        <v>5106</v>
      </c>
      <c r="H69" s="156">
        <f>IF($B69=" ","",IFERROR(INDEX(MMWR_RATING_STATE_ROLLUP_BDD[],MATCH($B69,MMWR_RATING_STATE_ROLLUP_BDD[MMWR_RATING_STATE_ROLLUP_BDD],0),MATCH(H$9,MMWR_RATING_STATE_ROLLUP_BDD[#Headers],0)),"ERROR"))</f>
        <v>140.4931506849</v>
      </c>
      <c r="I69" s="156">
        <f>IF($B69=" ","",IFERROR(INDEX(MMWR_RATING_STATE_ROLLUP_BDD[],MATCH($B69,MMWR_RATING_STATE_ROLLUP_BDD[MMWR_RATING_STATE_ROLLUP_BDD],0),MATCH(I$9,MMWR_RATING_STATE_ROLLUP_BDD[#Headers],0)),"ERROR"))</f>
        <v>139.33548766160001</v>
      </c>
      <c r="J69" s="42"/>
      <c r="K69" s="42"/>
      <c r="L69" s="42"/>
      <c r="M69" s="42"/>
      <c r="N69" s="28"/>
    </row>
    <row r="70" spans="1:14" x14ac:dyDescent="0.2">
      <c r="A70" s="25"/>
      <c r="B70" s="8" t="str">
        <f>VLOOKUP($B$15,DISTRICT_STATES[],2,0)</f>
        <v>Connecticut</v>
      </c>
      <c r="C70" s="155">
        <f>IF($B70=" ","",IFERROR(INDEX(MMWR_RATING_STATE_ROLLUP_BDD[],MATCH($B70,MMWR_RATING_STATE_ROLLUP_BDD[MMWR_RATING_STATE_ROLLUP_BDD],0),MATCH(C$9,MMWR_RATING_STATE_ROLLUP_BDD[#Headers],0)),"ERROR"))</f>
        <v>49</v>
      </c>
      <c r="D70" s="156">
        <f>IF($B70=" ","",IFERROR(INDEX(MMWR_RATING_STATE_ROLLUP_BDD[],MATCH($B70,MMWR_RATING_STATE_ROLLUP_BDD[MMWR_RATING_STATE_ROLLUP_BDD],0),MATCH(D$9,MMWR_RATING_STATE_ROLLUP_BDD[#Headers],0)),"ERROR"))</f>
        <v>52.673469387799997</v>
      </c>
      <c r="E70" s="157">
        <f>IF($B70=" ","",IFERROR(INDEX(MMWR_RATING_STATE_ROLLUP_BDD[],MATCH($B70,MMWR_RATING_STATE_ROLLUP_BDD[MMWR_RATING_STATE_ROLLUP_BDD],0),MATCH(E$9,MMWR_RATING_STATE_ROLLUP_BDD[#Headers],0))/$C70,"ERROR"))</f>
        <v>6.1224489795918366E-2</v>
      </c>
      <c r="F70" s="155">
        <f>IF($B70=" ","",IFERROR(INDEX(MMWR_RATING_STATE_ROLLUP_BDD[],MATCH($B70,MMWR_RATING_STATE_ROLLUP_BDD[MMWR_RATING_STATE_ROLLUP_BDD],0),MATCH(F$9,MMWR_RATING_STATE_ROLLUP_BDD[#Headers],0)),"ERROR"))</f>
        <v>8</v>
      </c>
      <c r="G70" s="155">
        <f>IF($B70=" ","",IFERROR(INDEX(MMWR_RATING_STATE_ROLLUP_BDD[],MATCH($B70,MMWR_RATING_STATE_ROLLUP_BDD[MMWR_RATING_STATE_ROLLUP_BDD],0),MATCH(G$9,MMWR_RATING_STATE_ROLLUP_BDD[#Headers],0)),"ERROR"))</f>
        <v>71</v>
      </c>
      <c r="H70" s="156">
        <f>IF($B70=" ","",IFERROR(INDEX(MMWR_RATING_STATE_ROLLUP_BDD[],MATCH($B70,MMWR_RATING_STATE_ROLLUP_BDD[MMWR_RATING_STATE_ROLLUP_BDD],0),MATCH(H$9,MMWR_RATING_STATE_ROLLUP_BDD[#Headers],0)),"ERROR"))</f>
        <v>118.75</v>
      </c>
      <c r="I70" s="156">
        <f>IF($B70=" ","",IFERROR(INDEX(MMWR_RATING_STATE_ROLLUP_BDD[],MATCH($B70,MMWR_RATING_STATE_ROLLUP_BDD[MMWR_RATING_STATE_ROLLUP_BDD],0),MATCH(I$9,MMWR_RATING_STATE_ROLLUP_BDD[#Headers],0)),"ERROR"))</f>
        <v>115.9154929577</v>
      </c>
      <c r="J70" s="42"/>
      <c r="K70" s="42"/>
      <c r="L70" s="42"/>
      <c r="M70" s="42"/>
      <c r="N70" s="28"/>
    </row>
    <row r="71" spans="1:14" x14ac:dyDescent="0.2">
      <c r="A71" s="25"/>
      <c r="B71" s="8" t="str">
        <f>VLOOKUP($B$15,DISTRICT_STATES[],3,0)</f>
        <v>Delaware</v>
      </c>
      <c r="C71" s="155">
        <f>IF($B71=" ","",IFERROR(INDEX(MMWR_RATING_STATE_ROLLUP_BDD[],MATCH($B71,MMWR_RATING_STATE_ROLLUP_BDD[MMWR_RATING_STATE_ROLLUP_BDD],0),MATCH(C$9,MMWR_RATING_STATE_ROLLUP_BDD[#Headers],0)),"ERROR"))</f>
        <v>17</v>
      </c>
      <c r="D71" s="156">
        <f>IF($B71=" ","",IFERROR(INDEX(MMWR_RATING_STATE_ROLLUP_BDD[],MATCH($B71,MMWR_RATING_STATE_ROLLUP_BDD[MMWR_RATING_STATE_ROLLUP_BDD],0),MATCH(D$9,MMWR_RATING_STATE_ROLLUP_BDD[#Headers],0)),"ERROR"))</f>
        <v>77.588235294100002</v>
      </c>
      <c r="E71" s="157">
        <f>IF($B71=" ","",IFERROR(INDEX(MMWR_RATING_STATE_ROLLUP_BDD[],MATCH($B71,MMWR_RATING_STATE_ROLLUP_BDD[MMWR_RATING_STATE_ROLLUP_BDD],0),MATCH(E$9,MMWR_RATING_STATE_ROLLUP_BDD[#Headers],0))/$C71,"ERROR"))</f>
        <v>0.23529411764705882</v>
      </c>
      <c r="F71" s="155">
        <f>IF($B71=" ","",IFERROR(INDEX(MMWR_RATING_STATE_ROLLUP_BDD[],MATCH($B71,MMWR_RATING_STATE_ROLLUP_BDD[MMWR_RATING_STATE_ROLLUP_BDD],0),MATCH(F$9,MMWR_RATING_STATE_ROLLUP_BDD[#Headers],0)),"ERROR"))</f>
        <v>2</v>
      </c>
      <c r="G71" s="155">
        <f>IF($B71=" ","",IFERROR(INDEX(MMWR_RATING_STATE_ROLLUP_BDD[],MATCH($B71,MMWR_RATING_STATE_ROLLUP_BDD[MMWR_RATING_STATE_ROLLUP_BDD],0),MATCH(G$9,MMWR_RATING_STATE_ROLLUP_BDD[#Headers],0)),"ERROR"))</f>
        <v>36</v>
      </c>
      <c r="H71" s="156">
        <f>IF($B71=" ","",IFERROR(INDEX(MMWR_RATING_STATE_ROLLUP_BDD[],MATCH($B71,MMWR_RATING_STATE_ROLLUP_BDD[MMWR_RATING_STATE_ROLLUP_BDD],0),MATCH(H$9,MMWR_RATING_STATE_ROLLUP_BDD[#Headers],0)),"ERROR"))</f>
        <v>151.5</v>
      </c>
      <c r="I71" s="156">
        <f>IF($B71=" ","",IFERROR(INDEX(MMWR_RATING_STATE_ROLLUP_BDD[],MATCH($B71,MMWR_RATING_STATE_ROLLUP_BDD[MMWR_RATING_STATE_ROLLUP_BDD],0),MATCH(I$9,MMWR_RATING_STATE_ROLLUP_BDD[#Headers],0)),"ERROR"))</f>
        <v>121.05555555559999</v>
      </c>
      <c r="J71" s="42"/>
      <c r="K71" s="42"/>
      <c r="L71" s="42"/>
      <c r="M71" s="42"/>
      <c r="N71" s="28"/>
    </row>
    <row r="72" spans="1:14" x14ac:dyDescent="0.2">
      <c r="A72" s="25"/>
      <c r="B72" s="8" t="str">
        <f>VLOOKUP($B$15,DISTRICT_STATES[],4,0)</f>
        <v>District of Columbia</v>
      </c>
      <c r="C72" s="155">
        <f>IF($B72=" ","",IFERROR(INDEX(MMWR_RATING_STATE_ROLLUP_BDD[],MATCH($B72,MMWR_RATING_STATE_ROLLUP_BDD[MMWR_RATING_STATE_ROLLUP_BDD],0),MATCH(C$9,MMWR_RATING_STATE_ROLLUP_BDD[#Headers],0)),"ERROR"))</f>
        <v>21</v>
      </c>
      <c r="D72" s="156">
        <f>IF($B72=" ","",IFERROR(INDEX(MMWR_RATING_STATE_ROLLUP_BDD[],MATCH($B72,MMWR_RATING_STATE_ROLLUP_BDD[MMWR_RATING_STATE_ROLLUP_BDD],0),MATCH(D$9,MMWR_RATING_STATE_ROLLUP_BDD[#Headers],0)),"ERROR"))</f>
        <v>55.904761904799997</v>
      </c>
      <c r="E72" s="157">
        <f>IF($B72=" ","",IFERROR(INDEX(MMWR_RATING_STATE_ROLLUP_BDD[],MATCH($B72,MMWR_RATING_STATE_ROLLUP_BDD[MMWR_RATING_STATE_ROLLUP_BDD],0),MATCH(E$9,MMWR_RATING_STATE_ROLLUP_BDD[#Headers],0))/$C72,"ERROR"))</f>
        <v>0</v>
      </c>
      <c r="F72" s="155">
        <f>IF($B72=" ","",IFERROR(INDEX(MMWR_RATING_STATE_ROLLUP_BDD[],MATCH($B72,MMWR_RATING_STATE_ROLLUP_BDD[MMWR_RATING_STATE_ROLLUP_BDD],0),MATCH(F$9,MMWR_RATING_STATE_ROLLUP_BDD[#Headers],0)),"ERROR"))</f>
        <v>4</v>
      </c>
      <c r="G72" s="155">
        <f>IF($B72=" ","",IFERROR(INDEX(MMWR_RATING_STATE_ROLLUP_BDD[],MATCH($B72,MMWR_RATING_STATE_ROLLUP_BDD[MMWR_RATING_STATE_ROLLUP_BDD],0),MATCH(G$9,MMWR_RATING_STATE_ROLLUP_BDD[#Headers],0)),"ERROR"))</f>
        <v>30</v>
      </c>
      <c r="H72" s="156">
        <f>IF($B72=" ","",IFERROR(INDEX(MMWR_RATING_STATE_ROLLUP_BDD[],MATCH($B72,MMWR_RATING_STATE_ROLLUP_BDD[MMWR_RATING_STATE_ROLLUP_BDD],0),MATCH(H$9,MMWR_RATING_STATE_ROLLUP_BDD[#Headers],0)),"ERROR"))</f>
        <v>120.25</v>
      </c>
      <c r="I72" s="156">
        <f>IF($B72=" ","",IFERROR(INDEX(MMWR_RATING_STATE_ROLLUP_BDD[],MATCH($B72,MMWR_RATING_STATE_ROLLUP_BDD[MMWR_RATING_STATE_ROLLUP_BDD],0),MATCH(I$9,MMWR_RATING_STATE_ROLLUP_BDD[#Headers],0)),"ERROR"))</f>
        <v>124.6</v>
      </c>
      <c r="J72" s="42"/>
      <c r="K72" s="42"/>
      <c r="L72" s="42"/>
      <c r="M72" s="42"/>
      <c r="N72" s="28"/>
    </row>
    <row r="73" spans="1:14" x14ac:dyDescent="0.2">
      <c r="A73" s="25"/>
      <c r="B73" s="8" t="str">
        <f>VLOOKUP($B$15,DISTRICT_STATES[],5,0)</f>
        <v>Maine</v>
      </c>
      <c r="C73" s="155">
        <f>IF($B73=" ","",IFERROR(INDEX(MMWR_RATING_STATE_ROLLUP_BDD[],MATCH($B73,MMWR_RATING_STATE_ROLLUP_BDD[MMWR_RATING_STATE_ROLLUP_BDD],0),MATCH(C$9,MMWR_RATING_STATE_ROLLUP_BDD[#Headers],0)),"ERROR"))</f>
        <v>15</v>
      </c>
      <c r="D73" s="156">
        <f>IF($B73=" ","",IFERROR(INDEX(MMWR_RATING_STATE_ROLLUP_BDD[],MATCH($B73,MMWR_RATING_STATE_ROLLUP_BDD[MMWR_RATING_STATE_ROLLUP_BDD],0),MATCH(D$9,MMWR_RATING_STATE_ROLLUP_BDD[#Headers],0)),"ERROR"))</f>
        <v>59.933333333299998</v>
      </c>
      <c r="E73" s="157">
        <f>IF($B73=" ","",IFERROR(INDEX(MMWR_RATING_STATE_ROLLUP_BDD[],MATCH($B73,MMWR_RATING_STATE_ROLLUP_BDD[MMWR_RATING_STATE_ROLLUP_BDD],0),MATCH(E$9,MMWR_RATING_STATE_ROLLUP_BDD[#Headers],0))/$C73,"ERROR"))</f>
        <v>0.13333333333333333</v>
      </c>
      <c r="F73" s="155">
        <f>IF($B73=" ","",IFERROR(INDEX(MMWR_RATING_STATE_ROLLUP_BDD[],MATCH($B73,MMWR_RATING_STATE_ROLLUP_BDD[MMWR_RATING_STATE_ROLLUP_BDD],0),MATCH(F$9,MMWR_RATING_STATE_ROLLUP_BDD[#Headers],0)),"ERROR"))</f>
        <v>2</v>
      </c>
      <c r="G73" s="155">
        <f>IF($B73=" ","",IFERROR(INDEX(MMWR_RATING_STATE_ROLLUP_BDD[],MATCH($B73,MMWR_RATING_STATE_ROLLUP_BDD[MMWR_RATING_STATE_ROLLUP_BDD],0),MATCH(G$9,MMWR_RATING_STATE_ROLLUP_BDD[#Headers],0)),"ERROR"))</f>
        <v>33</v>
      </c>
      <c r="H73" s="156">
        <f>IF($B73=" ","",IFERROR(INDEX(MMWR_RATING_STATE_ROLLUP_BDD[],MATCH($B73,MMWR_RATING_STATE_ROLLUP_BDD[MMWR_RATING_STATE_ROLLUP_BDD],0),MATCH(H$9,MMWR_RATING_STATE_ROLLUP_BDD[#Headers],0)),"ERROR"))</f>
        <v>64</v>
      </c>
      <c r="I73" s="156">
        <f>IF($B73=" ","",IFERROR(INDEX(MMWR_RATING_STATE_ROLLUP_BDD[],MATCH($B73,MMWR_RATING_STATE_ROLLUP_BDD[MMWR_RATING_STATE_ROLLUP_BDD],0),MATCH(I$9,MMWR_RATING_STATE_ROLLUP_BDD[#Headers],0)),"ERROR"))</f>
        <v>114.8181818182</v>
      </c>
      <c r="J73" s="42"/>
      <c r="K73" s="42"/>
      <c r="L73" s="42"/>
      <c r="M73" s="42"/>
      <c r="N73" s="28"/>
    </row>
    <row r="74" spans="1:14" x14ac:dyDescent="0.2">
      <c r="A74" s="25"/>
      <c r="B74" s="8" t="str">
        <f>VLOOKUP($B$15,DISTRICT_STATES[],6,0)</f>
        <v>Maryland</v>
      </c>
      <c r="C74" s="155">
        <f>IF($B74=" ","",IFERROR(INDEX(MMWR_RATING_STATE_ROLLUP_BDD[],MATCH($B74,MMWR_RATING_STATE_ROLLUP_BDD[MMWR_RATING_STATE_ROLLUP_BDD],0),MATCH(C$9,MMWR_RATING_STATE_ROLLUP_BDD[#Headers],0)),"ERROR"))</f>
        <v>271</v>
      </c>
      <c r="D74" s="156">
        <f>IF($B74=" ","",IFERROR(INDEX(MMWR_RATING_STATE_ROLLUP_BDD[],MATCH($B74,MMWR_RATING_STATE_ROLLUP_BDD[MMWR_RATING_STATE_ROLLUP_BDD],0),MATCH(D$9,MMWR_RATING_STATE_ROLLUP_BDD[#Headers],0)),"ERROR"))</f>
        <v>75.464944649399996</v>
      </c>
      <c r="E74" s="157">
        <f>IF($B74=" ","",IFERROR(INDEX(MMWR_RATING_STATE_ROLLUP_BDD[],MATCH($B74,MMWR_RATING_STATE_ROLLUP_BDD[MMWR_RATING_STATE_ROLLUP_BDD],0),MATCH(E$9,MMWR_RATING_STATE_ROLLUP_BDD[#Headers],0))/$C74,"ERROR"))</f>
        <v>0.12915129151291513</v>
      </c>
      <c r="F74" s="155">
        <f>IF($B74=" ","",IFERROR(INDEX(MMWR_RATING_STATE_ROLLUP_BDD[],MATCH($B74,MMWR_RATING_STATE_ROLLUP_BDD[MMWR_RATING_STATE_ROLLUP_BDD],0),MATCH(F$9,MMWR_RATING_STATE_ROLLUP_BDD[#Headers],0)),"ERROR"))</f>
        <v>29</v>
      </c>
      <c r="G74" s="155">
        <f>IF($B74=" ","",IFERROR(INDEX(MMWR_RATING_STATE_ROLLUP_BDD[],MATCH($B74,MMWR_RATING_STATE_ROLLUP_BDD[MMWR_RATING_STATE_ROLLUP_BDD],0),MATCH(G$9,MMWR_RATING_STATE_ROLLUP_BDD[#Headers],0)),"ERROR"))</f>
        <v>571</v>
      </c>
      <c r="H74" s="156">
        <f>IF($B74=" ","",IFERROR(INDEX(MMWR_RATING_STATE_ROLLUP_BDD[],MATCH($B74,MMWR_RATING_STATE_ROLLUP_BDD[MMWR_RATING_STATE_ROLLUP_BDD],0),MATCH(H$9,MMWR_RATING_STATE_ROLLUP_BDD[#Headers],0)),"ERROR"))</f>
        <v>174.2413793103</v>
      </c>
      <c r="I74" s="156">
        <f>IF($B74=" ","",IFERROR(INDEX(MMWR_RATING_STATE_ROLLUP_BDD[],MATCH($B74,MMWR_RATING_STATE_ROLLUP_BDD[MMWR_RATING_STATE_ROLLUP_BDD],0),MATCH(I$9,MMWR_RATING_STATE_ROLLUP_BDD[#Headers],0)),"ERROR"))</f>
        <v>151.09982486870001</v>
      </c>
      <c r="J74" s="42"/>
      <c r="K74" s="42"/>
      <c r="L74" s="42"/>
      <c r="M74" s="42"/>
      <c r="N74" s="28"/>
    </row>
    <row r="75" spans="1:14" x14ac:dyDescent="0.2">
      <c r="A75" s="25"/>
      <c r="B75" s="8" t="str">
        <f>VLOOKUP($B$15,DISTRICT_STATES[],7,0)</f>
        <v>Massachusetts</v>
      </c>
      <c r="C75" s="155">
        <f>IF($B75=" ","",IFERROR(INDEX(MMWR_RATING_STATE_ROLLUP_BDD[],MATCH($B75,MMWR_RATING_STATE_ROLLUP_BDD[MMWR_RATING_STATE_ROLLUP_BDD],0),MATCH(C$9,MMWR_RATING_STATE_ROLLUP_BDD[#Headers],0)),"ERROR"))</f>
        <v>36</v>
      </c>
      <c r="D75" s="156">
        <f>IF($B75=" ","",IFERROR(INDEX(MMWR_RATING_STATE_ROLLUP_BDD[],MATCH($B75,MMWR_RATING_STATE_ROLLUP_BDD[MMWR_RATING_STATE_ROLLUP_BDD],0),MATCH(D$9,MMWR_RATING_STATE_ROLLUP_BDD[#Headers],0)),"ERROR"))</f>
        <v>84.916666666699996</v>
      </c>
      <c r="E75" s="157">
        <f>IF($B75=" ","",IFERROR(INDEX(MMWR_RATING_STATE_ROLLUP_BDD[],MATCH($B75,MMWR_RATING_STATE_ROLLUP_BDD[MMWR_RATING_STATE_ROLLUP_BDD],0),MATCH(E$9,MMWR_RATING_STATE_ROLLUP_BDD[#Headers],0))/$C75,"ERROR"))</f>
        <v>0.22222222222222221</v>
      </c>
      <c r="F75" s="155">
        <f>IF($B75=" ","",IFERROR(INDEX(MMWR_RATING_STATE_ROLLUP_BDD[],MATCH($B75,MMWR_RATING_STATE_ROLLUP_BDD[MMWR_RATING_STATE_ROLLUP_BDD],0),MATCH(F$9,MMWR_RATING_STATE_ROLLUP_BDD[#Headers],0)),"ERROR"))</f>
        <v>2</v>
      </c>
      <c r="G75" s="155">
        <f>IF($B75=" ","",IFERROR(INDEX(MMWR_RATING_STATE_ROLLUP_BDD[],MATCH($B75,MMWR_RATING_STATE_ROLLUP_BDD[MMWR_RATING_STATE_ROLLUP_BDD],0),MATCH(G$9,MMWR_RATING_STATE_ROLLUP_BDD[#Headers],0)),"ERROR"))</f>
        <v>118</v>
      </c>
      <c r="H75" s="156">
        <f>IF($B75=" ","",IFERROR(INDEX(MMWR_RATING_STATE_ROLLUP_BDD[],MATCH($B75,MMWR_RATING_STATE_ROLLUP_BDD[MMWR_RATING_STATE_ROLLUP_BDD],0),MATCH(H$9,MMWR_RATING_STATE_ROLLUP_BDD[#Headers],0)),"ERROR"))</f>
        <v>68</v>
      </c>
      <c r="I75" s="156">
        <f>IF($B75=" ","",IFERROR(INDEX(MMWR_RATING_STATE_ROLLUP_BDD[],MATCH($B75,MMWR_RATING_STATE_ROLLUP_BDD[MMWR_RATING_STATE_ROLLUP_BDD],0),MATCH(I$9,MMWR_RATING_STATE_ROLLUP_BDD[#Headers],0)),"ERROR"))</f>
        <v>155.11864406780001</v>
      </c>
      <c r="J75" s="42"/>
      <c r="K75" s="42"/>
      <c r="L75" s="42"/>
      <c r="M75" s="42"/>
      <c r="N75" s="28"/>
    </row>
    <row r="76" spans="1:14" x14ac:dyDescent="0.2">
      <c r="A76" s="25"/>
      <c r="B76" s="8" t="str">
        <f>VLOOKUP($B$15,DISTRICT_STATES[],8,0)</f>
        <v>New Hampshire</v>
      </c>
      <c r="C76" s="155">
        <f>IF($B76=" ","",IFERROR(INDEX(MMWR_RATING_STATE_ROLLUP_BDD[],MATCH($B76,MMWR_RATING_STATE_ROLLUP_BDD[MMWR_RATING_STATE_ROLLUP_BDD],0),MATCH(C$9,MMWR_RATING_STATE_ROLLUP_BDD[#Headers],0)),"ERROR"))</f>
        <v>18</v>
      </c>
      <c r="D76" s="156">
        <f>IF($B76=" ","",IFERROR(INDEX(MMWR_RATING_STATE_ROLLUP_BDD[],MATCH($B76,MMWR_RATING_STATE_ROLLUP_BDD[MMWR_RATING_STATE_ROLLUP_BDD],0),MATCH(D$9,MMWR_RATING_STATE_ROLLUP_BDD[#Headers],0)),"ERROR"))</f>
        <v>86.333333333300004</v>
      </c>
      <c r="E76" s="157">
        <f>IF($B76=" ","",IFERROR(INDEX(MMWR_RATING_STATE_ROLLUP_BDD[],MATCH($B76,MMWR_RATING_STATE_ROLLUP_BDD[MMWR_RATING_STATE_ROLLUP_BDD],0),MATCH(E$9,MMWR_RATING_STATE_ROLLUP_BDD[#Headers],0))/$C76,"ERROR"))</f>
        <v>0.16666666666666666</v>
      </c>
      <c r="F76" s="155">
        <f>IF($B76=" ","",IFERROR(INDEX(MMWR_RATING_STATE_ROLLUP_BDD[],MATCH($B76,MMWR_RATING_STATE_ROLLUP_BDD[MMWR_RATING_STATE_ROLLUP_BDD],0),MATCH(F$9,MMWR_RATING_STATE_ROLLUP_BDD[#Headers],0)),"ERROR"))</f>
        <v>3</v>
      </c>
      <c r="G76" s="155">
        <f>IF($B76=" ","",IFERROR(INDEX(MMWR_RATING_STATE_ROLLUP_BDD[],MATCH($B76,MMWR_RATING_STATE_ROLLUP_BDD[MMWR_RATING_STATE_ROLLUP_BDD],0),MATCH(G$9,MMWR_RATING_STATE_ROLLUP_BDD[#Headers],0)),"ERROR"))</f>
        <v>26</v>
      </c>
      <c r="H76" s="156">
        <f>IF($B76=" ","",IFERROR(INDEX(MMWR_RATING_STATE_ROLLUP_BDD[],MATCH($B76,MMWR_RATING_STATE_ROLLUP_BDD[MMWR_RATING_STATE_ROLLUP_BDD],0),MATCH(H$9,MMWR_RATING_STATE_ROLLUP_BDD[#Headers],0)),"ERROR"))</f>
        <v>121</v>
      </c>
      <c r="I76" s="156">
        <f>IF($B76=" ","",IFERROR(INDEX(MMWR_RATING_STATE_ROLLUP_BDD[],MATCH($B76,MMWR_RATING_STATE_ROLLUP_BDD[MMWR_RATING_STATE_ROLLUP_BDD],0),MATCH(I$9,MMWR_RATING_STATE_ROLLUP_BDD[#Headers],0)),"ERROR"))</f>
        <v>154.6538461538</v>
      </c>
      <c r="J76" s="42"/>
      <c r="K76" s="42"/>
      <c r="L76" s="42"/>
      <c r="M76" s="42"/>
      <c r="N76" s="28"/>
    </row>
    <row r="77" spans="1:14" x14ac:dyDescent="0.2">
      <c r="A77" s="25"/>
      <c r="B77" s="8" t="str">
        <f>VLOOKUP($B$15,DISTRICT_STATES[],9,0)</f>
        <v>New Jersey</v>
      </c>
      <c r="C77" s="155">
        <f>IF($B77=" ","",IFERROR(INDEX(MMWR_RATING_STATE_ROLLUP_BDD[],MATCH($B77,MMWR_RATING_STATE_ROLLUP_BDD[MMWR_RATING_STATE_ROLLUP_BDD],0),MATCH(C$9,MMWR_RATING_STATE_ROLLUP_BDD[#Headers],0)),"ERROR"))</f>
        <v>59</v>
      </c>
      <c r="D77" s="156">
        <f>IF($B77=" ","",IFERROR(INDEX(MMWR_RATING_STATE_ROLLUP_BDD[],MATCH($B77,MMWR_RATING_STATE_ROLLUP_BDD[MMWR_RATING_STATE_ROLLUP_BDD],0),MATCH(D$9,MMWR_RATING_STATE_ROLLUP_BDD[#Headers],0)),"ERROR"))</f>
        <v>74.661016949200004</v>
      </c>
      <c r="E77" s="157">
        <f>IF($B77=" ","",IFERROR(INDEX(MMWR_RATING_STATE_ROLLUP_BDD[],MATCH($B77,MMWR_RATING_STATE_ROLLUP_BDD[MMWR_RATING_STATE_ROLLUP_BDD],0),MATCH(E$9,MMWR_RATING_STATE_ROLLUP_BDD[#Headers],0))/$C77,"ERROR"))</f>
        <v>0.1864406779661017</v>
      </c>
      <c r="F77" s="155">
        <f>IF($B77=" ","",IFERROR(INDEX(MMWR_RATING_STATE_ROLLUP_BDD[],MATCH($B77,MMWR_RATING_STATE_ROLLUP_BDD[MMWR_RATING_STATE_ROLLUP_BDD],0),MATCH(F$9,MMWR_RATING_STATE_ROLLUP_BDD[#Headers],0)),"ERROR"))</f>
        <v>10</v>
      </c>
      <c r="G77" s="155">
        <f>IF($B77=" ","",IFERROR(INDEX(MMWR_RATING_STATE_ROLLUP_BDD[],MATCH($B77,MMWR_RATING_STATE_ROLLUP_BDD[MMWR_RATING_STATE_ROLLUP_BDD],0),MATCH(G$9,MMWR_RATING_STATE_ROLLUP_BDD[#Headers],0)),"ERROR"))</f>
        <v>172</v>
      </c>
      <c r="H77" s="156">
        <f>IF($B77=" ","",IFERROR(INDEX(MMWR_RATING_STATE_ROLLUP_BDD[],MATCH($B77,MMWR_RATING_STATE_ROLLUP_BDD[MMWR_RATING_STATE_ROLLUP_BDD],0),MATCH(H$9,MMWR_RATING_STATE_ROLLUP_BDD[#Headers],0)),"ERROR"))</f>
        <v>116.4</v>
      </c>
      <c r="I77" s="156">
        <f>IF($B77=" ","",IFERROR(INDEX(MMWR_RATING_STATE_ROLLUP_BDD[],MATCH($B77,MMWR_RATING_STATE_ROLLUP_BDD[MMWR_RATING_STATE_ROLLUP_BDD],0),MATCH(I$9,MMWR_RATING_STATE_ROLLUP_BDD[#Headers],0)),"ERROR"))</f>
        <v>140.56395348839999</v>
      </c>
      <c r="J77" s="42"/>
      <c r="K77" s="42"/>
      <c r="L77" s="42"/>
      <c r="M77" s="42"/>
      <c r="N77" s="28"/>
    </row>
    <row r="78" spans="1:14" x14ac:dyDescent="0.2">
      <c r="A78" s="25"/>
      <c r="B78" s="8" t="str">
        <f>VLOOKUP($B$15,DISTRICT_STATES[],10,0)</f>
        <v>New York</v>
      </c>
      <c r="C78" s="155">
        <f>IF($B78=" ","",IFERROR(INDEX(MMWR_RATING_STATE_ROLLUP_BDD[],MATCH($B78,MMWR_RATING_STATE_ROLLUP_BDD[MMWR_RATING_STATE_ROLLUP_BDD],0),MATCH(C$9,MMWR_RATING_STATE_ROLLUP_BDD[#Headers],0)),"ERROR"))</f>
        <v>152</v>
      </c>
      <c r="D78" s="156">
        <f>IF($B78=" ","",IFERROR(INDEX(MMWR_RATING_STATE_ROLLUP_BDD[],MATCH($B78,MMWR_RATING_STATE_ROLLUP_BDD[MMWR_RATING_STATE_ROLLUP_BDD],0),MATCH(D$9,MMWR_RATING_STATE_ROLLUP_BDD[#Headers],0)),"ERROR"))</f>
        <v>70.822368421099995</v>
      </c>
      <c r="E78" s="157">
        <f>IF($B78=" ","",IFERROR(INDEX(MMWR_RATING_STATE_ROLLUP_BDD[],MATCH($B78,MMWR_RATING_STATE_ROLLUP_BDD[MMWR_RATING_STATE_ROLLUP_BDD],0),MATCH(E$9,MMWR_RATING_STATE_ROLLUP_BDD[#Headers],0))/$C78,"ERROR"))</f>
        <v>0.13157894736842105</v>
      </c>
      <c r="F78" s="155">
        <f>IF($B78=" ","",IFERROR(INDEX(MMWR_RATING_STATE_ROLLUP_BDD[],MATCH($B78,MMWR_RATING_STATE_ROLLUP_BDD[MMWR_RATING_STATE_ROLLUP_BDD],0),MATCH(F$9,MMWR_RATING_STATE_ROLLUP_BDD[#Headers],0)),"ERROR"))</f>
        <v>22</v>
      </c>
      <c r="G78" s="155">
        <f>IF($B78=" ","",IFERROR(INDEX(MMWR_RATING_STATE_ROLLUP_BDD[],MATCH($B78,MMWR_RATING_STATE_ROLLUP_BDD[MMWR_RATING_STATE_ROLLUP_BDD],0),MATCH(G$9,MMWR_RATING_STATE_ROLLUP_BDD[#Headers],0)),"ERROR"))</f>
        <v>408</v>
      </c>
      <c r="H78" s="156">
        <f>IF($B78=" ","",IFERROR(INDEX(MMWR_RATING_STATE_ROLLUP_BDD[],MATCH($B78,MMWR_RATING_STATE_ROLLUP_BDD[MMWR_RATING_STATE_ROLLUP_BDD],0),MATCH(H$9,MMWR_RATING_STATE_ROLLUP_BDD[#Headers],0)),"ERROR"))</f>
        <v>132.04545454550001</v>
      </c>
      <c r="I78" s="156">
        <f>IF($B78=" ","",IFERROR(INDEX(MMWR_RATING_STATE_ROLLUP_BDD[],MATCH($B78,MMWR_RATING_STATE_ROLLUP_BDD[MMWR_RATING_STATE_ROLLUP_BDD],0),MATCH(I$9,MMWR_RATING_STATE_ROLLUP_BDD[#Headers],0)),"ERROR"))</f>
        <v>148.8014705882</v>
      </c>
      <c r="J78" s="42"/>
      <c r="K78" s="42"/>
      <c r="L78" s="42"/>
      <c r="M78" s="42"/>
      <c r="N78" s="28"/>
    </row>
    <row r="79" spans="1:14" x14ac:dyDescent="0.2">
      <c r="A79" s="25"/>
      <c r="B79" s="8" t="str">
        <f>VLOOKUP($B$15,DISTRICT_STATES[],11,0)</f>
        <v>North Carolina</v>
      </c>
      <c r="C79" s="155">
        <f>IF($B79=" ","",IFERROR(INDEX(MMWR_RATING_STATE_ROLLUP_BDD[],MATCH($B79,MMWR_RATING_STATE_ROLLUP_BDD[MMWR_RATING_STATE_ROLLUP_BDD],0),MATCH(C$9,MMWR_RATING_STATE_ROLLUP_BDD[#Headers],0)),"ERROR"))</f>
        <v>1068</v>
      </c>
      <c r="D79" s="156">
        <f>IF($B79=" ","",IFERROR(INDEX(MMWR_RATING_STATE_ROLLUP_BDD[],MATCH($B79,MMWR_RATING_STATE_ROLLUP_BDD[MMWR_RATING_STATE_ROLLUP_BDD],0),MATCH(D$9,MMWR_RATING_STATE_ROLLUP_BDD[#Headers],0)),"ERROR"))</f>
        <v>66.405430711600005</v>
      </c>
      <c r="E79" s="157">
        <f>IF($B79=" ","",IFERROR(INDEX(MMWR_RATING_STATE_ROLLUP_BDD[],MATCH($B79,MMWR_RATING_STATE_ROLLUP_BDD[MMWR_RATING_STATE_ROLLUP_BDD],0),MATCH(E$9,MMWR_RATING_STATE_ROLLUP_BDD[#Headers],0))/$C79,"ERROR"))</f>
        <v>0.11142322097378277</v>
      </c>
      <c r="F79" s="155">
        <f>IF($B79=" ","",IFERROR(INDEX(MMWR_RATING_STATE_ROLLUP_BDD[],MATCH($B79,MMWR_RATING_STATE_ROLLUP_BDD[MMWR_RATING_STATE_ROLLUP_BDD],0),MATCH(F$9,MMWR_RATING_STATE_ROLLUP_BDD[#Headers],0)),"ERROR"))</f>
        <v>94</v>
      </c>
      <c r="G79" s="155">
        <f>IF($B79=" ","",IFERROR(INDEX(MMWR_RATING_STATE_ROLLUP_BDD[],MATCH($B79,MMWR_RATING_STATE_ROLLUP_BDD[MMWR_RATING_STATE_ROLLUP_BDD],0),MATCH(G$9,MMWR_RATING_STATE_ROLLUP_BDD[#Headers],0)),"ERROR"))</f>
        <v>1611</v>
      </c>
      <c r="H79" s="156">
        <f>IF($B79=" ","",IFERROR(INDEX(MMWR_RATING_STATE_ROLLUP_BDD[],MATCH($B79,MMWR_RATING_STATE_ROLLUP_BDD[MMWR_RATING_STATE_ROLLUP_BDD],0),MATCH(H$9,MMWR_RATING_STATE_ROLLUP_BDD[#Headers],0)),"ERROR"))</f>
        <v>131.38297872339999</v>
      </c>
      <c r="I79" s="156">
        <f>IF($B79=" ","",IFERROR(INDEX(MMWR_RATING_STATE_ROLLUP_BDD[],MATCH($B79,MMWR_RATING_STATE_ROLLUP_BDD[MMWR_RATING_STATE_ROLLUP_BDD],0),MATCH(I$9,MMWR_RATING_STATE_ROLLUP_BDD[#Headers],0)),"ERROR"))</f>
        <v>128.38237119799999</v>
      </c>
      <c r="J79" s="42"/>
      <c r="K79" s="42"/>
      <c r="L79" s="42"/>
      <c r="M79" s="42"/>
      <c r="N79" s="28"/>
    </row>
    <row r="80" spans="1:14" x14ac:dyDescent="0.2">
      <c r="A80" s="25"/>
      <c r="B80" s="8" t="str">
        <f>VLOOKUP($B$15,DISTRICT_STATES[],12,0)</f>
        <v>Pennsylvania</v>
      </c>
      <c r="C80" s="155">
        <f>IF($B80=" ","",IFERROR(INDEX(MMWR_RATING_STATE_ROLLUP_BDD[],MATCH($B80,MMWR_RATING_STATE_ROLLUP_BDD[MMWR_RATING_STATE_ROLLUP_BDD],0),MATCH(C$9,MMWR_RATING_STATE_ROLLUP_BDD[#Headers],0)),"ERROR"))</f>
        <v>99</v>
      </c>
      <c r="D80" s="156">
        <f>IF($B80=" ","",IFERROR(INDEX(MMWR_RATING_STATE_ROLLUP_BDD[],MATCH($B80,MMWR_RATING_STATE_ROLLUP_BDD[MMWR_RATING_STATE_ROLLUP_BDD],0),MATCH(D$9,MMWR_RATING_STATE_ROLLUP_BDD[#Headers],0)),"ERROR"))</f>
        <v>81.636363636400006</v>
      </c>
      <c r="E80" s="157">
        <f>IF($B80=" ","",IFERROR(INDEX(MMWR_RATING_STATE_ROLLUP_BDD[],MATCH($B80,MMWR_RATING_STATE_ROLLUP_BDD[MMWR_RATING_STATE_ROLLUP_BDD],0),MATCH(E$9,MMWR_RATING_STATE_ROLLUP_BDD[#Headers],0))/$C80,"ERROR"))</f>
        <v>0.16161616161616163</v>
      </c>
      <c r="F80" s="155">
        <f>IF($B80=" ","",IFERROR(INDEX(MMWR_RATING_STATE_ROLLUP_BDD[],MATCH($B80,MMWR_RATING_STATE_ROLLUP_BDD[MMWR_RATING_STATE_ROLLUP_BDD],0),MATCH(F$9,MMWR_RATING_STATE_ROLLUP_BDD[#Headers],0)),"ERROR"))</f>
        <v>18</v>
      </c>
      <c r="G80" s="155">
        <f>IF($B80=" ","",IFERROR(INDEX(MMWR_RATING_STATE_ROLLUP_BDD[],MATCH($B80,MMWR_RATING_STATE_ROLLUP_BDD[MMWR_RATING_STATE_ROLLUP_BDD],0),MATCH(G$9,MMWR_RATING_STATE_ROLLUP_BDD[#Headers],0)),"ERROR"))</f>
        <v>311</v>
      </c>
      <c r="H80" s="156">
        <f>IF($B80=" ","",IFERROR(INDEX(MMWR_RATING_STATE_ROLLUP_BDD[],MATCH($B80,MMWR_RATING_STATE_ROLLUP_BDD[MMWR_RATING_STATE_ROLLUP_BDD],0),MATCH(H$9,MMWR_RATING_STATE_ROLLUP_BDD[#Headers],0)),"ERROR"))</f>
        <v>193.44444444440001</v>
      </c>
      <c r="I80" s="156">
        <f>IF($B80=" ","",IFERROR(INDEX(MMWR_RATING_STATE_ROLLUP_BDD[],MATCH($B80,MMWR_RATING_STATE_ROLLUP_BDD[MMWR_RATING_STATE_ROLLUP_BDD],0),MATCH(I$9,MMWR_RATING_STATE_ROLLUP_BDD[#Headers],0)),"ERROR"))</f>
        <v>153.56591639870001</v>
      </c>
      <c r="J80" s="42"/>
      <c r="K80" s="42"/>
      <c r="L80" s="42"/>
      <c r="M80" s="42"/>
      <c r="N80" s="28"/>
    </row>
    <row r="81" spans="1:14" x14ac:dyDescent="0.2">
      <c r="A81" s="25"/>
      <c r="B81" s="8" t="str">
        <f>VLOOKUP($B$15,DISTRICT_STATES[],13,0)</f>
        <v>Rhode Island</v>
      </c>
      <c r="C81" s="155">
        <f>IF($B81=" ","",IFERROR(INDEX(MMWR_RATING_STATE_ROLLUP_BDD[],MATCH($B81,MMWR_RATING_STATE_ROLLUP_BDD[MMWR_RATING_STATE_ROLLUP_BDD],0),MATCH(C$9,MMWR_RATING_STATE_ROLLUP_BDD[#Headers],0)),"ERROR"))</f>
        <v>6</v>
      </c>
      <c r="D81" s="156">
        <f>IF($B81=" ","",IFERROR(INDEX(MMWR_RATING_STATE_ROLLUP_BDD[],MATCH($B81,MMWR_RATING_STATE_ROLLUP_BDD[MMWR_RATING_STATE_ROLLUP_BDD],0),MATCH(D$9,MMWR_RATING_STATE_ROLLUP_BDD[#Headers],0)),"ERROR"))</f>
        <v>46.666666666700003</v>
      </c>
      <c r="E81" s="157">
        <f>IF($B81=" ","",IFERROR(INDEX(MMWR_RATING_STATE_ROLLUP_BDD[],MATCH($B81,MMWR_RATING_STATE_ROLLUP_BDD[MMWR_RATING_STATE_ROLLUP_BDD],0),MATCH(E$9,MMWR_RATING_STATE_ROLLUP_BDD[#Headers],0))/$C81,"ERROR"))</f>
        <v>0</v>
      </c>
      <c r="F81" s="155">
        <f>IF($B81=" ","",IFERROR(INDEX(MMWR_RATING_STATE_ROLLUP_BDD[],MATCH($B81,MMWR_RATING_STATE_ROLLUP_BDD[MMWR_RATING_STATE_ROLLUP_BDD],0),MATCH(F$9,MMWR_RATING_STATE_ROLLUP_BDD[#Headers],0)),"ERROR"))</f>
        <v>0</v>
      </c>
      <c r="G81" s="155">
        <f>IF($B81=" ","",IFERROR(INDEX(MMWR_RATING_STATE_ROLLUP_BDD[],MATCH($B81,MMWR_RATING_STATE_ROLLUP_BDD[MMWR_RATING_STATE_ROLLUP_BDD],0),MATCH(G$9,MMWR_RATING_STATE_ROLLUP_BDD[#Headers],0)),"ERROR"))</f>
        <v>13</v>
      </c>
      <c r="H81" s="156">
        <f>IF($B81=" ","",IFERROR(INDEX(MMWR_RATING_STATE_ROLLUP_BDD[],MATCH($B81,MMWR_RATING_STATE_ROLLUP_BDD[MMWR_RATING_STATE_ROLLUP_BDD],0),MATCH(H$9,MMWR_RATING_STATE_ROLLUP_BDD[#Headers],0)),"ERROR"))</f>
        <v>0</v>
      </c>
      <c r="I81" s="156">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5">
        <f>IF($B82=" ","",IFERROR(INDEX(MMWR_RATING_STATE_ROLLUP_BDD[],MATCH($B82,MMWR_RATING_STATE_ROLLUP_BDD[MMWR_RATING_STATE_ROLLUP_BDD],0),MATCH(C$9,MMWR_RATING_STATE_ROLLUP_BDD[#Headers],0)),"ERROR"))</f>
        <v>6</v>
      </c>
      <c r="D82" s="156">
        <f>IF($B82=" ","",IFERROR(INDEX(MMWR_RATING_STATE_ROLLUP_BDD[],MATCH($B82,MMWR_RATING_STATE_ROLLUP_BDD[MMWR_RATING_STATE_ROLLUP_BDD],0),MATCH(D$9,MMWR_RATING_STATE_ROLLUP_BDD[#Headers],0)),"ERROR"))</f>
        <v>48</v>
      </c>
      <c r="E82" s="157">
        <f>IF($B82=" ","",IFERROR(INDEX(MMWR_RATING_STATE_ROLLUP_BDD[],MATCH($B82,MMWR_RATING_STATE_ROLLUP_BDD[MMWR_RATING_STATE_ROLLUP_BDD],0),MATCH(E$9,MMWR_RATING_STATE_ROLLUP_BDD[#Headers],0))/$C82,"ERROR"))</f>
        <v>0.16666666666666666</v>
      </c>
      <c r="F82" s="155">
        <f>IF($B82=" ","",IFERROR(INDEX(MMWR_RATING_STATE_ROLLUP_BDD[],MATCH($B82,MMWR_RATING_STATE_ROLLUP_BDD[MMWR_RATING_STATE_ROLLUP_BDD],0),MATCH(F$9,MMWR_RATING_STATE_ROLLUP_BDD[#Headers],0)),"ERROR"))</f>
        <v>0</v>
      </c>
      <c r="G82" s="155">
        <f>IF($B82=" ","",IFERROR(INDEX(MMWR_RATING_STATE_ROLLUP_BDD[],MATCH($B82,MMWR_RATING_STATE_ROLLUP_BDD[MMWR_RATING_STATE_ROLLUP_BDD],0),MATCH(G$9,MMWR_RATING_STATE_ROLLUP_BDD[#Headers],0)),"ERROR"))</f>
        <v>16</v>
      </c>
      <c r="H82" s="156">
        <f>IF($B82=" ","",IFERROR(INDEX(MMWR_RATING_STATE_ROLLUP_BDD[],MATCH($B82,MMWR_RATING_STATE_ROLLUP_BDD[MMWR_RATING_STATE_ROLLUP_BDD],0),MATCH(H$9,MMWR_RATING_STATE_ROLLUP_BDD[#Headers],0)),"ERROR"))</f>
        <v>0</v>
      </c>
      <c r="I82" s="156">
        <f>IF($B82=" ","",IFERROR(INDEX(MMWR_RATING_STATE_ROLLUP_BDD[],MATCH($B82,MMWR_RATING_STATE_ROLLUP_BDD[MMWR_RATING_STATE_ROLLUP_BDD],0),MATCH(I$9,MMWR_RATING_STATE_ROLLUP_BDD[#Headers],0)),"ERROR"))</f>
        <v>154</v>
      </c>
      <c r="J82" s="42"/>
      <c r="K82" s="42"/>
      <c r="L82" s="42"/>
      <c r="M82" s="42"/>
      <c r="N82" s="28"/>
    </row>
    <row r="83" spans="1:14" x14ac:dyDescent="0.2">
      <c r="A83" s="25"/>
      <c r="B83" s="8" t="str">
        <f>VLOOKUP($B$15,DISTRICT_STATES[],15,0)</f>
        <v>Virginia</v>
      </c>
      <c r="C83" s="155">
        <f>IF($B83=" ","",IFERROR(INDEX(MMWR_RATING_STATE_ROLLUP_BDD[],MATCH($B83,MMWR_RATING_STATE_ROLLUP_BDD[MMWR_RATING_STATE_ROLLUP_BDD],0),MATCH(C$9,MMWR_RATING_STATE_ROLLUP_BDD[#Headers],0)),"ERROR"))</f>
        <v>855</v>
      </c>
      <c r="D83" s="156">
        <f>IF($B83=" ","",IFERROR(INDEX(MMWR_RATING_STATE_ROLLUP_BDD[],MATCH($B83,MMWR_RATING_STATE_ROLLUP_BDD[MMWR_RATING_STATE_ROLLUP_BDD],0),MATCH(D$9,MMWR_RATING_STATE_ROLLUP_BDD[#Headers],0)),"ERROR"))</f>
        <v>74.049122807000003</v>
      </c>
      <c r="E83" s="157">
        <f>IF($B83=" ","",IFERROR(INDEX(MMWR_RATING_STATE_ROLLUP_BDD[],MATCH($B83,MMWR_RATING_STATE_ROLLUP_BDD[MMWR_RATING_STATE_ROLLUP_BDD],0),MATCH(E$9,MMWR_RATING_STATE_ROLLUP_BDD[#Headers],0))/$C83,"ERROR"))</f>
        <v>0.13567251461988303</v>
      </c>
      <c r="F83" s="155">
        <f>IF($B83=" ","",IFERROR(INDEX(MMWR_RATING_STATE_ROLLUP_BDD[],MATCH($B83,MMWR_RATING_STATE_ROLLUP_BDD[MMWR_RATING_STATE_ROLLUP_BDD],0),MATCH(F$9,MMWR_RATING_STATE_ROLLUP_BDD[#Headers],0)),"ERROR"))</f>
        <v>95</v>
      </c>
      <c r="G83" s="155">
        <f>IF($B83=" ","",IFERROR(INDEX(MMWR_RATING_STATE_ROLLUP_BDD[],MATCH($B83,MMWR_RATING_STATE_ROLLUP_BDD[MMWR_RATING_STATE_ROLLUP_BDD],0),MATCH(G$9,MMWR_RATING_STATE_ROLLUP_BDD[#Headers],0)),"ERROR"))</f>
        <v>1632</v>
      </c>
      <c r="H83" s="156">
        <f>IF($B83=" ","",IFERROR(INDEX(MMWR_RATING_STATE_ROLLUP_BDD[],MATCH($B83,MMWR_RATING_STATE_ROLLUP_BDD[MMWR_RATING_STATE_ROLLUP_BDD],0),MATCH(H$9,MMWR_RATING_STATE_ROLLUP_BDD[#Headers],0)),"ERROR"))</f>
        <v>139.94736842110001</v>
      </c>
      <c r="I83" s="156">
        <f>IF($B83=" ","",IFERROR(INDEX(MMWR_RATING_STATE_ROLLUP_BDD[],MATCH($B83,MMWR_RATING_STATE_ROLLUP_BDD[MMWR_RATING_STATE_ROLLUP_BDD],0),MATCH(I$9,MMWR_RATING_STATE_ROLLUP_BDD[#Headers],0)),"ERROR"))</f>
        <v>140.7757352941</v>
      </c>
      <c r="J83" s="42"/>
      <c r="K83" s="42"/>
      <c r="L83" s="42"/>
      <c r="M83" s="42"/>
      <c r="N83" s="28"/>
    </row>
    <row r="84" spans="1:14" x14ac:dyDescent="0.2">
      <c r="A84" s="25"/>
      <c r="B84" s="252" t="str">
        <f>VLOOKUP($B$15,DISTRICT_STATES[],16,0)</f>
        <v>West Virginia</v>
      </c>
      <c r="C84" s="155">
        <f>IF($B84=" ","",IFERROR(INDEX(MMWR_RATING_STATE_ROLLUP_BDD[],MATCH($B84,MMWR_RATING_STATE_ROLLUP_BDD[MMWR_RATING_STATE_ROLLUP_BDD],0),MATCH(C$9,MMWR_RATING_STATE_ROLLUP_BDD[#Headers],0)),"ERROR"))</f>
        <v>24</v>
      </c>
      <c r="D84" s="156">
        <f>IF($B84=" ","",IFERROR(INDEX(MMWR_RATING_STATE_ROLLUP_BDD[],MATCH($B84,MMWR_RATING_STATE_ROLLUP_BDD[MMWR_RATING_STATE_ROLLUP_BDD],0),MATCH(D$9,MMWR_RATING_STATE_ROLLUP_BDD[#Headers],0)),"ERROR"))</f>
        <v>68.458333333300004</v>
      </c>
      <c r="E84" s="157">
        <f>IF($B84=" ","",IFERROR(INDEX(MMWR_RATING_STATE_ROLLUP_BDD[],MATCH($B84,MMWR_RATING_STATE_ROLLUP_BDD[MMWR_RATING_STATE_ROLLUP_BDD],0),MATCH(E$9,MMWR_RATING_STATE_ROLLUP_BDD[#Headers],0))/$C84,"ERROR"))</f>
        <v>8.3333333333333329E-2</v>
      </c>
      <c r="F84" s="155">
        <f>IF($B84=" ","",IFERROR(INDEX(MMWR_RATING_STATE_ROLLUP_BDD[],MATCH($B84,MMWR_RATING_STATE_ROLLUP_BDD[MMWR_RATING_STATE_ROLLUP_BDD],0),MATCH(F$9,MMWR_RATING_STATE_ROLLUP_BDD[#Headers],0)),"ERROR"))</f>
        <v>3</v>
      </c>
      <c r="G84" s="155">
        <f>IF($B84=" ","",IFERROR(INDEX(MMWR_RATING_STATE_ROLLUP_BDD[],MATCH($B84,MMWR_RATING_STATE_ROLLUP_BDD[MMWR_RATING_STATE_ROLLUP_BDD],0),MATCH(G$9,MMWR_RATING_STATE_ROLLUP_BDD[#Headers],0)),"ERROR"))</f>
        <v>58</v>
      </c>
      <c r="H84" s="156">
        <f>IF($B84=" ","",IFERROR(INDEX(MMWR_RATING_STATE_ROLLUP_BDD[],MATCH($B84,MMWR_RATING_STATE_ROLLUP_BDD[MMWR_RATING_STATE_ROLLUP_BDD],0),MATCH(H$9,MMWR_RATING_STATE_ROLLUP_BDD[#Headers],0)),"ERROR"))</f>
        <v>138</v>
      </c>
      <c r="I84" s="156">
        <f>IF($B84=" ","",IFERROR(INDEX(MMWR_RATING_STATE_ROLLUP_BDD[],MATCH($B84,MMWR_RATING_STATE_ROLLUP_BDD[MMWR_RATING_STATE_ROLLUP_BDD],0),MATCH(I$9,MMWR_RATING_STATE_ROLLUP_BDD[#Headers],0)),"ERROR"))</f>
        <v>157.775862069</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BD20" sheet="1" autoFilter="0"/>
  <protectedRanges>
    <protectedRange sqref="C12:I12 C15:I30 C33:I48 C51:I66 C69:I84" name="SOJ"/>
    <protectedRange sqref="C14:I14 C32:I32 C50:I50 C68:I68" name="SOJ_1"/>
  </protectedRanges>
  <mergeCells count="20">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 ref="C2:I3"/>
    <mergeCell ref="J2:M2"/>
    <mergeCell ref="J3:M3"/>
    <mergeCell ref="C4:M4"/>
    <mergeCell ref="C5:O5"/>
  </mergeCells>
  <conditionalFormatting sqref="A1:N3 A11:J11 N11 B30:I30 A31:N31 A6:N10 A4 C4:N4 A12:N13 E15:E30 A49:N49 A33:A48 A67:N67 A51:A66 A85:N85 A69:A84 A15:N29 A14 J14:N14 A32:B32 J32:N48 A50:B50 J50:N66 A68:B68 J68:N84 A5:B5">
    <cfRule type="expression" dxfId="431" priority="18">
      <formula>IF(OR(ISERROR(A1),A1="ERROR"),TRUE,FALSE)</formula>
    </cfRule>
  </conditionalFormatting>
  <conditionalFormatting sqref="A30 J30:N30">
    <cfRule type="expression" dxfId="430" priority="17">
      <formula>IF(OR(ISERROR(A30),A30="ERROR"),TRUE,FALSE)</formula>
    </cfRule>
  </conditionalFormatting>
  <conditionalFormatting sqref="B4">
    <cfRule type="expression" dxfId="429" priority="16">
      <formula>IF(OR(ISERROR(B4),B4="ERROR"),TRUE,FALSE)</formula>
    </cfRule>
  </conditionalFormatting>
  <conditionalFormatting sqref="B33:B48">
    <cfRule type="expression" dxfId="428" priority="14">
      <formula>IF(OR(ISERROR(B33),B33="ERROR"),TRUE,FALSE)</formula>
    </cfRule>
  </conditionalFormatting>
  <conditionalFormatting sqref="B51:B66">
    <cfRule type="expression" dxfId="427" priority="13">
      <formula>IF(OR(ISERROR(B51),B51="ERROR"),TRUE,FALSE)</formula>
    </cfRule>
  </conditionalFormatting>
  <conditionalFormatting sqref="B69:B84">
    <cfRule type="expression" dxfId="426" priority="12">
      <formula>IF(OR(ISERROR(B69),B69="ERROR"),TRUE,FALSE)</formula>
    </cfRule>
  </conditionalFormatting>
  <conditionalFormatting sqref="B14:I14">
    <cfRule type="expression" dxfId="425" priority="8">
      <formula>IF(OR(ISERROR(B13),B14="ERROR"),TRUE,FALSE)</formula>
    </cfRule>
  </conditionalFormatting>
  <conditionalFormatting sqref="C33:I48">
    <cfRule type="expression" dxfId="424" priority="7">
      <formula>IF(OR(ISERROR(C33),C33="ERROR"),TRUE,FALSE)</formula>
    </cfRule>
  </conditionalFormatting>
  <conditionalFormatting sqref="C32:I32">
    <cfRule type="expression" dxfId="423" priority="6">
      <formula>IF(OR(ISERROR(C31),C32="ERROR"),TRUE,FALSE)</formula>
    </cfRule>
  </conditionalFormatting>
  <conditionalFormatting sqref="C51:I66">
    <cfRule type="expression" dxfId="422" priority="5">
      <formula>IF(OR(ISERROR(C51),C51="ERROR"),TRUE,FALSE)</formula>
    </cfRule>
  </conditionalFormatting>
  <conditionalFormatting sqref="C50:I50">
    <cfRule type="expression" dxfId="421" priority="4">
      <formula>IF(OR(ISERROR(C49),C50="ERROR"),TRUE,FALSE)</formula>
    </cfRule>
  </conditionalFormatting>
  <conditionalFormatting sqref="C69:I84">
    <cfRule type="expression" dxfId="420" priority="3">
      <formula>IF(OR(ISERROR(C69),C69="ERROR"),TRUE,FALSE)</formula>
    </cfRule>
  </conditionalFormatting>
  <conditionalFormatting sqref="C68:I68">
    <cfRule type="expression" dxfId="419" priority="2">
      <formula>IF(OR(ISERROR(C67),C68="ERROR"),TRUE,FALSE)</formula>
    </cfRule>
  </conditionalFormatting>
  <conditionalFormatting sqref="C5:O5">
    <cfRule type="expression" dxfId="418"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4"/>
      <c r="D1" s="54"/>
      <c r="E1" s="54"/>
      <c r="F1" s="54"/>
      <c r="G1" s="54"/>
      <c r="H1" s="54"/>
      <c r="I1" s="54"/>
      <c r="J1" s="54"/>
      <c r="K1" s="54"/>
      <c r="L1" s="54"/>
      <c r="M1" s="54"/>
      <c r="N1" s="54"/>
      <c r="O1" s="54"/>
      <c r="P1" s="54"/>
      <c r="Q1" s="54"/>
      <c r="R1" s="54"/>
      <c r="S1" s="54"/>
      <c r="T1" s="54"/>
      <c r="U1" s="54"/>
      <c r="V1" s="25"/>
    </row>
    <row r="2" spans="1:22" s="1" customFormat="1" ht="27" thickBot="1" x14ac:dyDescent="0.45">
      <c r="A2" s="25"/>
      <c r="B2" s="420" t="s">
        <v>305</v>
      </c>
      <c r="C2" s="421"/>
      <c r="D2" s="421"/>
      <c r="E2" s="421"/>
      <c r="F2" s="421"/>
      <c r="G2" s="421"/>
      <c r="H2" s="421"/>
      <c r="I2" s="421"/>
      <c r="J2" s="421"/>
      <c r="K2" s="421"/>
      <c r="L2" s="421"/>
      <c r="M2" s="421"/>
      <c r="N2" s="421"/>
      <c r="O2" s="421"/>
      <c r="P2" s="421"/>
      <c r="Q2" s="421"/>
      <c r="R2" s="421"/>
      <c r="S2" s="421"/>
      <c r="T2" s="421"/>
      <c r="U2" s="422"/>
      <c r="V2" s="25"/>
    </row>
    <row r="3" spans="1:22" s="1" customFormat="1" ht="63" customHeight="1" thickBot="1" x14ac:dyDescent="0.25">
      <c r="A3" s="25"/>
      <c r="B3" s="429" t="s">
        <v>320</v>
      </c>
      <c r="C3" s="430"/>
      <c r="D3" s="430"/>
      <c r="E3" s="430"/>
      <c r="F3" s="430"/>
      <c r="G3" s="430"/>
      <c r="H3" s="430"/>
      <c r="I3" s="430"/>
      <c r="J3" s="430"/>
      <c r="K3" s="430"/>
      <c r="L3" s="430"/>
      <c r="M3" s="430"/>
      <c r="N3" s="430"/>
      <c r="O3" s="430"/>
      <c r="P3" s="430"/>
      <c r="Q3" s="430"/>
      <c r="R3" s="430"/>
      <c r="S3" s="430"/>
      <c r="T3" s="430"/>
      <c r="U3" s="431"/>
      <c r="V3" s="25"/>
    </row>
    <row r="4" spans="1:22" s="1" customFormat="1" ht="32.25" customHeight="1" thickBot="1" x14ac:dyDescent="0.25">
      <c r="A4" s="25"/>
      <c r="B4" s="426" t="str">
        <f>Transformation!B4</f>
        <v>As of: August 22, 2015</v>
      </c>
      <c r="C4" s="427"/>
      <c r="D4" s="427"/>
      <c r="E4" s="427"/>
      <c r="F4" s="427"/>
      <c r="G4" s="427"/>
      <c r="H4" s="427"/>
      <c r="I4" s="427"/>
      <c r="J4" s="427"/>
      <c r="K4" s="427"/>
      <c r="L4" s="427"/>
      <c r="M4" s="427"/>
      <c r="N4" s="427"/>
      <c r="O4" s="427"/>
      <c r="P4" s="427"/>
      <c r="Q4" s="427"/>
      <c r="R4" s="427"/>
      <c r="S4" s="427"/>
      <c r="T4" s="427"/>
      <c r="U4" s="428"/>
      <c r="V4" s="25"/>
    </row>
    <row r="5" spans="1:22" s="1" customFormat="1" ht="27" customHeight="1" thickBot="1" x14ac:dyDescent="0.45">
      <c r="A5" s="25"/>
      <c r="B5" s="432" t="s">
        <v>247</v>
      </c>
      <c r="C5" s="433"/>
      <c r="D5" s="433"/>
      <c r="E5" s="433"/>
      <c r="F5" s="433"/>
      <c r="G5" s="433"/>
      <c r="H5" s="434"/>
      <c r="I5" s="55"/>
      <c r="J5" s="432" t="s">
        <v>244</v>
      </c>
      <c r="K5" s="433"/>
      <c r="L5" s="433"/>
      <c r="M5" s="433"/>
      <c r="N5" s="434"/>
      <c r="O5" s="56"/>
      <c r="P5" s="404" t="s">
        <v>11</v>
      </c>
      <c r="Q5" s="405"/>
      <c r="R5" s="405"/>
      <c r="S5" s="405"/>
      <c r="T5" s="405"/>
      <c r="U5" s="406"/>
      <c r="V5" s="25"/>
    </row>
    <row r="6" spans="1:22" s="1" customFormat="1" ht="65.25" customHeight="1" thickBot="1" x14ac:dyDescent="0.25">
      <c r="A6" s="25"/>
      <c r="B6" s="423" t="s">
        <v>288</v>
      </c>
      <c r="C6" s="424"/>
      <c r="D6" s="424"/>
      <c r="E6" s="425"/>
      <c r="F6" s="57" t="s">
        <v>12</v>
      </c>
      <c r="G6" s="58" t="s">
        <v>3</v>
      </c>
      <c r="H6" s="59" t="s">
        <v>4</v>
      </c>
      <c r="I6" s="25"/>
      <c r="J6" s="443" t="s">
        <v>288</v>
      </c>
      <c r="K6" s="444"/>
      <c r="L6" s="60" t="s">
        <v>12</v>
      </c>
      <c r="M6" s="61" t="s">
        <v>3</v>
      </c>
      <c r="N6" s="62" t="s">
        <v>4</v>
      </c>
      <c r="O6" s="63"/>
      <c r="P6" s="435" t="s">
        <v>288</v>
      </c>
      <c r="Q6" s="436"/>
      <c r="R6" s="64" t="s">
        <v>498</v>
      </c>
      <c r="S6" s="438" t="s">
        <v>288</v>
      </c>
      <c r="T6" s="439"/>
      <c r="U6" s="65" t="s">
        <v>140</v>
      </c>
      <c r="V6" s="25"/>
    </row>
    <row r="7" spans="1:22" s="1" customFormat="1" ht="32.25" customHeight="1" thickBot="1" x14ac:dyDescent="0.25">
      <c r="A7" s="25"/>
      <c r="B7" s="407" t="s">
        <v>307</v>
      </c>
      <c r="C7" s="408"/>
      <c r="D7" s="408"/>
      <c r="E7" s="408"/>
      <c r="F7" s="169">
        <f>SUM(F8:F10)</f>
        <v>127699</v>
      </c>
      <c r="G7" s="170">
        <f>SUM(G8:G10)</f>
        <v>43274</v>
      </c>
      <c r="H7" s="171">
        <f t="shared" ref="H7:H44" si="0">IF(G7="--", 0, G7/F7)</f>
        <v>0.33887501076750798</v>
      </c>
      <c r="I7" s="25"/>
      <c r="J7" s="407" t="s">
        <v>273</v>
      </c>
      <c r="K7" s="408"/>
      <c r="L7" s="170">
        <f>SUM(L8:L10)</f>
        <v>24999</v>
      </c>
      <c r="M7" s="170">
        <f>SUM(M8:M10)</f>
        <v>3363</v>
      </c>
      <c r="N7" s="181">
        <f>IF(M7="--", 0, M7/L7)</f>
        <v>0.13452538101524061</v>
      </c>
      <c r="O7" s="66"/>
      <c r="P7" s="407" t="s">
        <v>978</v>
      </c>
      <c r="Q7" s="408"/>
      <c r="R7" s="182">
        <f>R8+R9+R10+R11+R12</f>
        <v>313338</v>
      </c>
      <c r="S7" s="407"/>
      <c r="T7" s="408"/>
      <c r="U7" s="67"/>
      <c r="V7" s="25"/>
    </row>
    <row r="8" spans="1:22" s="1" customFormat="1" ht="51" customHeight="1" x14ac:dyDescent="0.2">
      <c r="A8" s="25"/>
      <c r="B8" s="321" t="s">
        <v>257</v>
      </c>
      <c r="C8" s="322"/>
      <c r="D8" s="322"/>
      <c r="E8" s="400"/>
      <c r="F8" s="172">
        <f>IFERROR(VLOOKUP(MID(B8,4,3),MMWR_TRAD_AGG_NATIONAL[],2,0),"--")</f>
        <v>346</v>
      </c>
      <c r="G8" s="173">
        <f>IFERROR(VLOOKUP(MID(B8,4,3),MMWR_TRAD_AGG_NATIONAL[],3,0),"--")</f>
        <v>220</v>
      </c>
      <c r="H8" s="174">
        <f t="shared" si="0"/>
        <v>0.63583815028901736</v>
      </c>
      <c r="I8" s="25"/>
      <c r="J8" s="418" t="s">
        <v>275</v>
      </c>
      <c r="K8" s="437"/>
      <c r="L8" s="172">
        <f>IFERROR(VLOOKUP(MID(J8,4,3),MMWR_TRAD_AGG_NATIONAL[],2,0),"--")</f>
        <v>5459</v>
      </c>
      <c r="M8" s="173">
        <f>IFERROR(VLOOKUP(MID(J8,4,3),MMWR_TRAD_AGG_NATIONAL[],3,0),"--")</f>
        <v>279</v>
      </c>
      <c r="N8" s="174">
        <f>IF(M8="--", 0, M8/L8)</f>
        <v>5.1108261586371127E-2</v>
      </c>
      <c r="O8" s="68" t="s">
        <v>319</v>
      </c>
      <c r="P8" s="440" t="s">
        <v>248</v>
      </c>
      <c r="Q8" s="441"/>
      <c r="R8" s="183">
        <f>VLOOKUP(P8,MMWR_APP_NATIONAL[],2,0)</f>
        <v>219667</v>
      </c>
      <c r="S8" s="442" t="s">
        <v>237</v>
      </c>
      <c r="T8" s="419"/>
      <c r="U8" s="184">
        <f>VLOOKUP(P8,MMWR_APP_NATIONAL[],3,0)</f>
        <v>396.16875998670002</v>
      </c>
      <c r="V8" s="25"/>
    </row>
    <row r="9" spans="1:22" s="1" customFormat="1" ht="45" customHeight="1" x14ac:dyDescent="0.2">
      <c r="A9" s="25"/>
      <c r="B9" s="321" t="s">
        <v>255</v>
      </c>
      <c r="C9" s="322"/>
      <c r="D9" s="322"/>
      <c r="E9" s="400"/>
      <c r="F9" s="172">
        <f>IFERROR(VLOOKUP(MID(B9,4,3),MMWR_TRAD_AGG_NATIONAL[],2,0),"--")</f>
        <v>40498</v>
      </c>
      <c r="G9" s="173">
        <f>IFERROR(VLOOKUP(MID(B9,4,3),MMWR_TRAD_AGG_NATIONAL[],3,0),"--")</f>
        <v>14531</v>
      </c>
      <c r="H9" s="174">
        <f t="shared" si="0"/>
        <v>0.35880784236258578</v>
      </c>
      <c r="I9" s="68" t="s">
        <v>319</v>
      </c>
      <c r="J9" s="321" t="s">
        <v>274</v>
      </c>
      <c r="K9" s="322"/>
      <c r="L9" s="172">
        <f>IFERROR(VLOOKUP(MID(J9,4,3),MMWR_TRAD_AGG_NATIONAL[],2,0),"--")</f>
        <v>5758</v>
      </c>
      <c r="M9" s="173">
        <f>IFERROR(VLOOKUP(MID(J9,4,3),MMWR_TRAD_AGG_NATIONAL[],3,0),"--")</f>
        <v>238</v>
      </c>
      <c r="N9" s="174">
        <f>IF(M9="--", 0, M9/L9)</f>
        <v>4.133379645710316E-2</v>
      </c>
      <c r="O9" s="68" t="s">
        <v>319</v>
      </c>
      <c r="P9" s="398" t="s">
        <v>249</v>
      </c>
      <c r="Q9" s="399"/>
      <c r="R9" s="185">
        <f>VLOOKUP(P9,MMWR_APP_NATIONAL[],2,0)</f>
        <v>56902</v>
      </c>
      <c r="S9" s="394" t="s">
        <v>238</v>
      </c>
      <c r="T9" s="395"/>
      <c r="U9" s="186">
        <f>VLOOKUP(P9,MMWR_APP_NATIONAL[],3,0)</f>
        <v>613.67814839549999</v>
      </c>
      <c r="V9" s="25"/>
    </row>
    <row r="10" spans="1:22" s="1" customFormat="1" ht="63" customHeight="1" thickBot="1" x14ac:dyDescent="0.25">
      <c r="A10" s="25"/>
      <c r="B10" s="321" t="s">
        <v>256</v>
      </c>
      <c r="C10" s="322"/>
      <c r="D10" s="322"/>
      <c r="E10" s="400"/>
      <c r="F10" s="172">
        <f>IFERROR(VLOOKUP(MID(B10,4,3),MMWR_TRAD_AGG_NATIONAL[],2,0),"--")</f>
        <v>86855</v>
      </c>
      <c r="G10" s="173">
        <f>IFERROR(VLOOKUP(MID(B10,4,3),MMWR_TRAD_AGG_NATIONAL[],3,0),"--")</f>
        <v>28523</v>
      </c>
      <c r="H10" s="174">
        <f t="shared" si="0"/>
        <v>0.32839790455356627</v>
      </c>
      <c r="I10" s="68" t="s">
        <v>319</v>
      </c>
      <c r="J10" s="323" t="s">
        <v>276</v>
      </c>
      <c r="K10" s="324"/>
      <c r="L10" s="172">
        <f>IFERROR(VLOOKUP(MID(J10,4,3),MMWR_TRAD_AGG_NATIONAL[],2,0),"--")</f>
        <v>13782</v>
      </c>
      <c r="M10" s="173">
        <f>IFERROR(VLOOKUP(MID(J10,4,3),MMWR_TRAD_AGG_NATIONAL[],3,0),"--")</f>
        <v>2846</v>
      </c>
      <c r="N10" s="174">
        <f>IF(M10="--", 0, M10/L10)</f>
        <v>0.20650123349296184</v>
      </c>
      <c r="O10" s="69"/>
      <c r="P10" s="398" t="s">
        <v>250</v>
      </c>
      <c r="Q10" s="399"/>
      <c r="R10" s="185">
        <f>VLOOKUP(P10,MMWR_APP_NATIONAL[],2,0)</f>
        <v>23615</v>
      </c>
      <c r="S10" s="394" t="s">
        <v>239</v>
      </c>
      <c r="T10" s="395"/>
      <c r="U10" s="186">
        <f>VLOOKUP(P10,MMWR_APP_NATIONAL[],3,0)</f>
        <v>523.59131907690005</v>
      </c>
      <c r="V10" s="25"/>
    </row>
    <row r="11" spans="1:22" s="1" customFormat="1" ht="45" customHeight="1" thickBot="1" x14ac:dyDescent="0.25">
      <c r="A11" s="25"/>
      <c r="B11" s="407" t="s">
        <v>308</v>
      </c>
      <c r="C11" s="408"/>
      <c r="D11" s="408"/>
      <c r="E11" s="408"/>
      <c r="F11" s="169">
        <f>SUM(F12:F13)</f>
        <v>7119</v>
      </c>
      <c r="G11" s="170">
        <f>SUM(G12:G13)</f>
        <v>1511</v>
      </c>
      <c r="H11" s="171">
        <f t="shared" si="0"/>
        <v>0.2122489113639556</v>
      </c>
      <c r="I11" s="25"/>
      <c r="J11" s="407" t="s">
        <v>245</v>
      </c>
      <c r="K11" s="408"/>
      <c r="L11" s="169">
        <f>SUM(L12:L17)</f>
        <v>29981</v>
      </c>
      <c r="M11" s="169">
        <f>SUM(M12:M17)</f>
        <v>6487</v>
      </c>
      <c r="N11" s="162">
        <f>IF(M11="--", 0, M11/L11)</f>
        <v>0.21637036789966979</v>
      </c>
      <c r="O11" s="69"/>
      <c r="P11" s="398" t="s">
        <v>979</v>
      </c>
      <c r="Q11" s="399"/>
      <c r="R11" s="185">
        <f>VLOOKUP(P11,MMWR_APP_NATIONAL[],2,0)</f>
        <v>12697</v>
      </c>
      <c r="S11" s="394" t="s">
        <v>240</v>
      </c>
      <c r="T11" s="395"/>
      <c r="U11" s="186">
        <f>VLOOKUP(P11,MMWR_APP_NATIONAL[],3,0)</f>
        <v>184.6308576829</v>
      </c>
      <c r="V11" s="25"/>
    </row>
    <row r="12" spans="1:22" s="1" customFormat="1" ht="46.5" customHeight="1" thickBot="1" x14ac:dyDescent="0.25">
      <c r="A12" s="25"/>
      <c r="B12" s="401" t="s">
        <v>278</v>
      </c>
      <c r="C12" s="402"/>
      <c r="D12" s="402"/>
      <c r="E12" s="403"/>
      <c r="F12" s="172">
        <f>IFERROR(VLOOKUP(MID(B12,4,3),MMWR_TRAD_AGG_NATIONAL[],2,0),"--")</f>
        <v>6636</v>
      </c>
      <c r="G12" s="173">
        <f>IFERROR(VLOOKUP(MID(B12,4,3),MMWR_TRAD_AGG_NATIONAL[],3,0),"--")</f>
        <v>1124</v>
      </c>
      <c r="H12" s="174">
        <f t="shared" si="0"/>
        <v>0.16937914406268836</v>
      </c>
      <c r="I12" s="68" t="s">
        <v>319</v>
      </c>
      <c r="J12" s="323" t="s">
        <v>268</v>
      </c>
      <c r="K12" s="395"/>
      <c r="L12" s="172">
        <f>IFERROR(VLOOKUP(MID(J12,4,3)&amp;"p",MMWR_TRAD_AGG_NATIONAL[],2,0),"--")</f>
        <v>936</v>
      </c>
      <c r="M12" s="173">
        <f>IFERROR(VLOOKUP(MID(J12,4,3)&amp;"p",MMWR_TRAD_AGG_NATIONAL[],3,0),"--")</f>
        <v>69</v>
      </c>
      <c r="N12" s="174">
        <f t="shared" ref="N12:N17" si="1">IF(L12="--", 0,M12/L12)</f>
        <v>7.371794871794872E-2</v>
      </c>
      <c r="O12" s="69"/>
      <c r="P12" s="398" t="s">
        <v>960</v>
      </c>
      <c r="Q12" s="399"/>
      <c r="R12" s="185">
        <f>VLOOKUP(P12,MMWR_APP_NATIONAL[],2,0)</f>
        <v>457</v>
      </c>
      <c r="S12" s="396" t="s">
        <v>977</v>
      </c>
      <c r="T12" s="397"/>
      <c r="U12" s="186">
        <f>VLOOKUP(P12,MMWR_APP_NATIONAL[],3,0)</f>
        <v>449.99124726479999</v>
      </c>
      <c r="V12" s="25"/>
    </row>
    <row r="13" spans="1:22" s="1" customFormat="1" ht="49.5" customHeight="1" thickBot="1" x14ac:dyDescent="0.25">
      <c r="A13" s="25"/>
      <c r="B13" s="401" t="s">
        <v>258</v>
      </c>
      <c r="C13" s="402"/>
      <c r="D13" s="402"/>
      <c r="E13" s="403"/>
      <c r="F13" s="172">
        <f>IFERROR(VLOOKUP(MID(B13,4,3),MMWR_TRAD_AGG_NATIONAL[],2,0),"--")</f>
        <v>483</v>
      </c>
      <c r="G13" s="173">
        <f>IFERROR(VLOOKUP(MID(B13,4,3),MMWR_TRAD_AGG_NATIONAL[],3,0),"--")</f>
        <v>387</v>
      </c>
      <c r="H13" s="174">
        <f t="shared" si="0"/>
        <v>0.80124223602484468</v>
      </c>
      <c r="I13" s="25"/>
      <c r="J13" s="323" t="s">
        <v>277</v>
      </c>
      <c r="K13" s="395"/>
      <c r="L13" s="172">
        <f>IFERROR(VLOOKUP(MID(J13,4,3),MMWR_TRAD_AGG_NATIONAL[],2,0),"--")</f>
        <v>3467</v>
      </c>
      <c r="M13" s="173">
        <f>IFERROR(VLOOKUP(MID(J13,4,3),MMWR_TRAD_AGG_NATIONAL[],3,0),"--")</f>
        <v>805</v>
      </c>
      <c r="N13" s="174">
        <f t="shared" si="1"/>
        <v>0.23218921257571387</v>
      </c>
      <c r="O13" s="69"/>
      <c r="P13" s="407" t="s">
        <v>989</v>
      </c>
      <c r="Q13" s="408"/>
      <c r="R13" s="409"/>
      <c r="S13" s="410">
        <f>VLOOKUP(P13,MMWR_APP_NATIONAL[],2,0)</f>
        <v>21673</v>
      </c>
      <c r="T13" s="411"/>
      <c r="U13" s="412"/>
      <c r="V13" s="25"/>
    </row>
    <row r="14" spans="1:22" s="1" customFormat="1" ht="45" customHeight="1" thickBot="1" x14ac:dyDescent="0.25">
      <c r="A14" s="25"/>
      <c r="B14" s="407" t="s">
        <v>1</v>
      </c>
      <c r="C14" s="408"/>
      <c r="D14" s="408"/>
      <c r="E14" s="408"/>
      <c r="F14" s="169">
        <f>SUM(F15:F21)</f>
        <v>202768</v>
      </c>
      <c r="G14" s="170">
        <f>SUM(G15:G21)</f>
        <v>52145</v>
      </c>
      <c r="H14" s="171">
        <f t="shared" si="0"/>
        <v>0.25716582498224572</v>
      </c>
      <c r="I14" s="25"/>
      <c r="J14" s="323" t="s">
        <v>279</v>
      </c>
      <c r="K14" s="395"/>
      <c r="L14" s="172">
        <f>IFERROR(VLOOKUP(MID(J14,4,3),MMWR_TRAD_AGG_NATIONAL[],2,0),"--")</f>
        <v>11464</v>
      </c>
      <c r="M14" s="173">
        <f>IFERROR(VLOOKUP(MID(J14,4,3),MMWR_TRAD_AGG_NATIONAL[],3,0),"--")</f>
        <v>2576</v>
      </c>
      <c r="N14" s="174">
        <f t="shared" si="1"/>
        <v>0.22470341939986044</v>
      </c>
      <c r="O14" s="69"/>
      <c r="P14" s="21"/>
      <c r="Q14" s="21"/>
      <c r="R14" s="21"/>
      <c r="S14" s="28"/>
      <c r="T14" s="28"/>
      <c r="U14" s="70"/>
      <c r="V14" s="25"/>
    </row>
    <row r="15" spans="1:22" s="1" customFormat="1" ht="44.25" customHeight="1" thickBot="1" x14ac:dyDescent="0.25">
      <c r="A15" s="25"/>
      <c r="B15" s="321" t="s">
        <v>259</v>
      </c>
      <c r="C15" s="322"/>
      <c r="D15" s="322"/>
      <c r="E15" s="400"/>
      <c r="F15" s="172">
        <f>IFERROR(VLOOKUP(MID(B15,4,3),MMWR_TRAD_AGG_NATIONAL[],2,0),"--")</f>
        <v>202351</v>
      </c>
      <c r="G15" s="173">
        <f>IFERROR(VLOOKUP(MID(B15,4,3),MMWR_TRAD_AGG_NATIONAL[],3,0),"--")</f>
        <v>51985</v>
      </c>
      <c r="H15" s="174">
        <f t="shared" si="0"/>
        <v>0.25690508077548418</v>
      </c>
      <c r="I15" s="68" t="s">
        <v>319</v>
      </c>
      <c r="J15" s="323" t="s">
        <v>280</v>
      </c>
      <c r="K15" s="395"/>
      <c r="L15" s="172">
        <f>IFERROR(VLOOKUP(MID(J15,4,3),MMWR_TRAD_AGG_NATIONAL[],2,0),"--")</f>
        <v>1</v>
      </c>
      <c r="M15" s="173">
        <f>IFERROR(VLOOKUP(MID(J15,4,3),MMWR_TRAD_AGG_NATIONAL[],3,0),"--")</f>
        <v>1</v>
      </c>
      <c r="N15" s="174">
        <f t="shared" si="1"/>
        <v>1</v>
      </c>
      <c r="O15" s="69"/>
      <c r="P15" s="25"/>
      <c r="Q15" s="25"/>
      <c r="R15" s="25"/>
      <c r="S15" s="25"/>
      <c r="T15" s="28"/>
      <c r="U15" s="71"/>
      <c r="V15" s="25"/>
    </row>
    <row r="16" spans="1:22" s="1" customFormat="1" ht="57.75" customHeight="1" thickBot="1" x14ac:dyDescent="0.25">
      <c r="A16" s="25"/>
      <c r="B16" s="323" t="s">
        <v>260</v>
      </c>
      <c r="C16" s="324"/>
      <c r="D16" s="324"/>
      <c r="E16" s="395"/>
      <c r="F16" s="172">
        <f>IFERROR(VLOOKUP(MID(B16,4,3),MMWR_TRAD_AGG_NATIONAL[],2,0),"--")</f>
        <v>218</v>
      </c>
      <c r="G16" s="173">
        <f>IFERROR(VLOOKUP(MID(B16,4,3),MMWR_TRAD_AGG_NATIONAL[],3,0),"--")</f>
        <v>42</v>
      </c>
      <c r="H16" s="174">
        <f t="shared" si="0"/>
        <v>0.19266055045871561</v>
      </c>
      <c r="I16" s="68" t="s">
        <v>319</v>
      </c>
      <c r="J16" s="323" t="s">
        <v>281</v>
      </c>
      <c r="K16" s="395"/>
      <c r="L16" s="172">
        <f>IFERROR(VLOOKUP(MID(J16,4,3),MMWR_TRAD_AGG_NATIONAL[],2,0),"--")</f>
        <v>3460</v>
      </c>
      <c r="M16" s="173">
        <f>IFERROR(VLOOKUP(MID(J16,4,3),MMWR_TRAD_AGG_NATIONAL[],3,0),"--")</f>
        <v>696</v>
      </c>
      <c r="N16" s="174">
        <f t="shared" si="1"/>
        <v>0.20115606936416186</v>
      </c>
      <c r="O16" s="69"/>
      <c r="P16" s="404" t="s">
        <v>961</v>
      </c>
      <c r="Q16" s="405"/>
      <c r="R16" s="405"/>
      <c r="S16" s="406"/>
      <c r="T16" s="28"/>
      <c r="U16" s="71"/>
      <c r="V16" s="25"/>
    </row>
    <row r="17" spans="1:22" s="1" customFormat="1" ht="31.5" customHeight="1" thickBot="1" x14ac:dyDescent="0.25">
      <c r="A17" s="25"/>
      <c r="B17" s="323" t="s">
        <v>261</v>
      </c>
      <c r="C17" s="324"/>
      <c r="D17" s="324"/>
      <c r="E17" s="395"/>
      <c r="F17" s="172">
        <f>IFERROR(VLOOKUP(MID(B17,4,3),MMWR_TRAD_AGG_NATIONAL[],2,0),"--")</f>
        <v>165</v>
      </c>
      <c r="G17" s="173">
        <f>IFERROR(VLOOKUP(MID(B17,4,3),MMWR_TRAD_AGG_NATIONAL[],3,0),"--")</f>
        <v>112</v>
      </c>
      <c r="H17" s="174">
        <f t="shared" si="0"/>
        <v>0.67878787878787883</v>
      </c>
      <c r="I17" s="25"/>
      <c r="J17" s="323" t="s">
        <v>282</v>
      </c>
      <c r="K17" s="395"/>
      <c r="L17" s="172">
        <f>IFERROR(VLOOKUP(MID(J17,4,3),MMWR_TRAD_AGG_NATIONAL[],2,0),"--")</f>
        <v>10653</v>
      </c>
      <c r="M17" s="173">
        <f>IFERROR(VLOOKUP(MID(J17,4,3),MMWR_TRAD_AGG_NATIONAL[],3,0),"--")</f>
        <v>2340</v>
      </c>
      <c r="N17" s="174">
        <f t="shared" si="1"/>
        <v>0.2196564348070966</v>
      </c>
      <c r="O17" s="72"/>
      <c r="P17" s="413" t="s">
        <v>253</v>
      </c>
      <c r="Q17" s="414"/>
      <c r="R17" s="414"/>
      <c r="S17" s="187">
        <f>IFERROR(VLOOKUP("160",MMWR_TRAD_AGG_NATIONAL[],2,0),"--")</f>
        <v>20493</v>
      </c>
      <c r="T17" s="28"/>
      <c r="U17" s="71"/>
      <c r="V17" s="25"/>
    </row>
    <row r="18" spans="1:22" s="1" customFormat="1" ht="32.25" customHeight="1" thickBot="1" x14ac:dyDescent="0.25">
      <c r="A18" s="25"/>
      <c r="B18" s="323" t="s">
        <v>262</v>
      </c>
      <c r="C18" s="324"/>
      <c r="D18" s="324"/>
      <c r="E18" s="395"/>
      <c r="F18" s="172">
        <f>IFERROR(VLOOKUP(MID(B18,4,3),MMWR_TRAD_AGG_NATIONAL[],2,0),"--")</f>
        <v>11</v>
      </c>
      <c r="G18" s="173">
        <f>IFERROR(VLOOKUP(MID(B18,4,3),MMWR_TRAD_AGG_NATIONAL[],3,0),"--")</f>
        <v>5</v>
      </c>
      <c r="H18" s="174">
        <f t="shared" si="0"/>
        <v>0.45454545454545453</v>
      </c>
      <c r="I18" s="68" t="s">
        <v>319</v>
      </c>
      <c r="J18" s="407" t="s">
        <v>15</v>
      </c>
      <c r="K18" s="408"/>
      <c r="L18" s="169">
        <f>SUM(L19:L21)</f>
        <v>825</v>
      </c>
      <c r="M18" s="169">
        <f>SUM(M19:M21)</f>
        <v>798</v>
      </c>
      <c r="N18" s="162">
        <f t="shared" ref="N18:N26" si="2">IF(M18="--", 0, M18/L18)</f>
        <v>0.96727272727272728</v>
      </c>
      <c r="O18" s="73"/>
      <c r="P18" s="415" t="s">
        <v>254</v>
      </c>
      <c r="Q18" s="416"/>
      <c r="R18" s="416"/>
      <c r="S18" s="188">
        <f>IFERROR(VLOOKUP("165",MMWR_TRAD_AGG_NATIONAL[],2,0),"--")</f>
        <v>9540</v>
      </c>
      <c r="T18" s="28"/>
      <c r="U18" s="71"/>
      <c r="V18" s="25"/>
    </row>
    <row r="19" spans="1:22" s="1" customFormat="1" ht="41.25" customHeight="1" x14ac:dyDescent="0.4">
      <c r="A19" s="25"/>
      <c r="B19" s="323" t="s">
        <v>263</v>
      </c>
      <c r="C19" s="324"/>
      <c r="D19" s="324"/>
      <c r="E19" s="395"/>
      <c r="F19" s="172">
        <f>IFERROR(VLOOKUP(MID(B19,4,3),MMWR_TRAD_AGG_NATIONAL[],2,0),"--")</f>
        <v>1</v>
      </c>
      <c r="G19" s="173">
        <f>IFERROR(VLOOKUP(MID(B19,4,3),MMWR_TRAD_AGG_NATIONAL[],3,0),"--")</f>
        <v>1</v>
      </c>
      <c r="H19" s="174">
        <f t="shared" si="0"/>
        <v>1</v>
      </c>
      <c r="I19" s="68" t="s">
        <v>319</v>
      </c>
      <c r="J19" s="323" t="s">
        <v>283</v>
      </c>
      <c r="K19" s="395"/>
      <c r="L19" s="172">
        <f>IFERROR(VLOOKUP(MID(J19,4,3),MMWR_TRAD_AGG_NATIONAL[],2,0),"--")</f>
        <v>540</v>
      </c>
      <c r="M19" s="173">
        <f>IFERROR(VLOOKUP(MID(J19,4,3),MMWR_TRAD_AGG_NATIONAL[],3,0),"--")</f>
        <v>531</v>
      </c>
      <c r="N19" s="174">
        <f t="shared" si="2"/>
        <v>0.98333333333333328</v>
      </c>
      <c r="O19" s="56"/>
      <c r="P19" s="25"/>
      <c r="Q19" s="25"/>
      <c r="R19" s="25"/>
      <c r="S19" s="25"/>
      <c r="T19" s="28"/>
      <c r="U19" s="71"/>
      <c r="V19" s="25"/>
    </row>
    <row r="20" spans="1:22" s="1" customFormat="1" ht="40.5" customHeight="1" x14ac:dyDescent="0.4">
      <c r="A20" s="25"/>
      <c r="B20" s="323" t="s">
        <v>264</v>
      </c>
      <c r="C20" s="324"/>
      <c r="D20" s="324"/>
      <c r="E20" s="395"/>
      <c r="F20" s="172">
        <f>IFERROR(VLOOKUP(MID(B20,4,3),MMWR_TRAD_AGG_NATIONAL[],2,0),"--")</f>
        <v>16</v>
      </c>
      <c r="G20" s="173">
        <f>IFERROR(VLOOKUP(MID(B20,4,3),MMWR_TRAD_AGG_NATIONAL[],3,0),"--")</f>
        <v>0</v>
      </c>
      <c r="H20" s="174">
        <f t="shared" si="0"/>
        <v>0</v>
      </c>
      <c r="I20" s="68" t="s">
        <v>319</v>
      </c>
      <c r="J20" s="323" t="s">
        <v>306</v>
      </c>
      <c r="K20" s="395"/>
      <c r="L20" s="172">
        <f>IFERROR(VLOOKUP(MID(J20,4,3),MMWR_TRAD_AGG_NATIONAL[],2,0),"--")</f>
        <v>270</v>
      </c>
      <c r="M20" s="173">
        <f>IFERROR(VLOOKUP(MID(J20,4,3),MMWR_TRAD_AGG_NATIONAL[],3,0),"--")</f>
        <v>262</v>
      </c>
      <c r="N20" s="174">
        <f t="shared" si="2"/>
        <v>0.97037037037037033</v>
      </c>
      <c r="O20" s="56"/>
      <c r="P20" s="56"/>
      <c r="Q20" s="56"/>
      <c r="R20" s="56"/>
      <c r="S20" s="56"/>
      <c r="T20" s="56"/>
      <c r="U20" s="74"/>
      <c r="V20" s="25"/>
    </row>
    <row r="21" spans="1:22" s="1" customFormat="1" ht="39" customHeight="1" thickBot="1" x14ac:dyDescent="0.45">
      <c r="A21" s="25"/>
      <c r="B21" s="323" t="s">
        <v>265</v>
      </c>
      <c r="C21" s="324"/>
      <c r="D21" s="324"/>
      <c r="E21" s="395"/>
      <c r="F21" s="172">
        <f>IFERROR(VLOOKUP(MID(B21,4,3),MMWR_TRAD_AGG_NATIONAL[],2,0),"--")</f>
        <v>6</v>
      </c>
      <c r="G21" s="173">
        <f>IFERROR(VLOOKUP(MID(B21,4,3),MMWR_TRAD_AGG_NATIONAL[],3,0),"--")</f>
        <v>0</v>
      </c>
      <c r="H21" s="174">
        <f t="shared" si="0"/>
        <v>0</v>
      </c>
      <c r="I21" s="68" t="s">
        <v>319</v>
      </c>
      <c r="J21" s="323" t="s">
        <v>284</v>
      </c>
      <c r="K21" s="395"/>
      <c r="L21" s="172">
        <f>IFERROR(VLOOKUP(MID(J21,4,3),MMWR_TRAD_AGG_NATIONAL[],2,0),"--")</f>
        <v>15</v>
      </c>
      <c r="M21" s="173">
        <f>IFERROR(VLOOKUP(MID(J21,4,3),MMWR_TRAD_AGG_NATIONAL[],3,0),"--")</f>
        <v>5</v>
      </c>
      <c r="N21" s="174">
        <f t="shared" si="2"/>
        <v>0.33333333333333331</v>
      </c>
      <c r="O21" s="56"/>
      <c r="P21" s="56"/>
      <c r="Q21" s="56"/>
      <c r="R21" s="56"/>
      <c r="S21" s="56"/>
      <c r="T21" s="56"/>
      <c r="U21" s="74"/>
      <c r="V21" s="25"/>
    </row>
    <row r="22" spans="1:22" s="1" customFormat="1" ht="32.25" customHeight="1" thickBot="1" x14ac:dyDescent="0.45">
      <c r="A22" s="25"/>
      <c r="B22" s="407" t="s">
        <v>13</v>
      </c>
      <c r="C22" s="408"/>
      <c r="D22" s="408"/>
      <c r="E22" s="408"/>
      <c r="F22" s="169">
        <f>SUM(F23:F29)</f>
        <v>499476</v>
      </c>
      <c r="G22" s="170">
        <f>SUM(G23:G29)</f>
        <v>305392</v>
      </c>
      <c r="H22" s="171">
        <f t="shared" si="0"/>
        <v>0.61142477316227406</v>
      </c>
      <c r="I22" s="25"/>
      <c r="J22" s="407" t="s">
        <v>232</v>
      </c>
      <c r="K22" s="408"/>
      <c r="L22" s="169">
        <f>SUM(L23:L26)</f>
        <v>5044</v>
      </c>
      <c r="M22" s="169">
        <f>SUM(M23:M26)</f>
        <v>899</v>
      </c>
      <c r="N22" s="162">
        <f t="shared" si="2"/>
        <v>0.17823156225218081</v>
      </c>
      <c r="O22" s="56"/>
      <c r="P22" s="25"/>
      <c r="Q22" s="25"/>
      <c r="R22" s="25"/>
      <c r="S22" s="25"/>
      <c r="T22" s="56"/>
      <c r="U22" s="74"/>
      <c r="V22" s="25"/>
    </row>
    <row r="23" spans="1:22" s="1" customFormat="1" ht="26.25" customHeight="1" x14ac:dyDescent="0.4">
      <c r="A23" s="25"/>
      <c r="B23" s="401" t="s">
        <v>266</v>
      </c>
      <c r="C23" s="402"/>
      <c r="D23" s="402"/>
      <c r="E23" s="403"/>
      <c r="F23" s="172">
        <f>IFERROR(VLOOKUP(MID(B23,4,3),MMWR_TRAD_AGG_NATIONAL[],2,0),"--")</f>
        <v>221140</v>
      </c>
      <c r="G23" s="173">
        <f>IFERROR(VLOOKUP(MID(B23,4,3),MMWR_TRAD_AGG_NATIONAL[],3,0),"--")</f>
        <v>159392</v>
      </c>
      <c r="H23" s="174">
        <f t="shared" si="0"/>
        <v>0.72077417020891743</v>
      </c>
      <c r="I23" s="25"/>
      <c r="J23" s="418" t="s">
        <v>287</v>
      </c>
      <c r="K23" s="419"/>
      <c r="L23" s="175">
        <f>IFERROR(VLOOKUP(MID(J23,4,3),MMWR_TRAD_AGG_NATIONAL[],2,0),"--")</f>
        <v>3799</v>
      </c>
      <c r="M23" s="176">
        <f>IFERROR(VLOOKUP(MID(J23,4,3),MMWR_TRAD_AGG_NATIONAL[],3,0),"--")</f>
        <v>510</v>
      </c>
      <c r="N23" s="177">
        <f t="shared" si="2"/>
        <v>0.13424585417215057</v>
      </c>
      <c r="O23" s="56"/>
      <c r="P23" s="25"/>
      <c r="Q23" s="25"/>
      <c r="R23" s="25"/>
      <c r="S23" s="25"/>
      <c r="T23" s="56"/>
      <c r="U23" s="74"/>
      <c r="V23" s="25"/>
    </row>
    <row r="24" spans="1:22" s="1" customFormat="1" ht="39.75" customHeight="1" x14ac:dyDescent="0.4">
      <c r="A24" s="25"/>
      <c r="B24" s="401" t="s">
        <v>267</v>
      </c>
      <c r="C24" s="402"/>
      <c r="D24" s="402"/>
      <c r="E24" s="403"/>
      <c r="F24" s="172">
        <f>IFERROR(VLOOKUP(MID(B24,4,3),MMWR_TRAD_AGG_NATIONAL[],2,0),"--")</f>
        <v>183</v>
      </c>
      <c r="G24" s="173">
        <f>IFERROR(VLOOKUP(MID(B24,4,3),MMWR_TRAD_AGG_NATIONAL[],3,0),"--")</f>
        <v>98</v>
      </c>
      <c r="H24" s="174">
        <f t="shared" si="0"/>
        <v>0.53551912568306015</v>
      </c>
      <c r="I24" s="25"/>
      <c r="J24" s="323" t="s">
        <v>286</v>
      </c>
      <c r="K24" s="395"/>
      <c r="L24" s="172">
        <f>IFERROR(VLOOKUP(MID(J24,4,3),MMWR_TRAD_AGG_NATIONAL[],2,0),"--")</f>
        <v>539</v>
      </c>
      <c r="M24" s="173">
        <f>IFERROR(VLOOKUP(MID(J24,4,3),MMWR_TRAD_AGG_NATIONAL[],3,0),"--")</f>
        <v>18</v>
      </c>
      <c r="N24" s="174">
        <f t="shared" si="2"/>
        <v>3.3395176252319109E-2</v>
      </c>
      <c r="O24" s="56"/>
      <c r="P24" s="25"/>
      <c r="Q24" s="25"/>
      <c r="R24" s="25"/>
      <c r="S24" s="25"/>
      <c r="T24" s="56"/>
      <c r="U24" s="74"/>
      <c r="V24" s="25"/>
    </row>
    <row r="25" spans="1:22" s="1" customFormat="1" ht="37.5" customHeight="1" x14ac:dyDescent="0.4">
      <c r="A25" s="25"/>
      <c r="B25" s="401" t="s">
        <v>268</v>
      </c>
      <c r="C25" s="402"/>
      <c r="D25" s="402"/>
      <c r="E25" s="403"/>
      <c r="F25" s="172">
        <f>IFERROR(VLOOKUP(MID(B25,4,3),MMWR_TRAD_AGG_NATIONAL[],2,0),"--")</f>
        <v>226</v>
      </c>
      <c r="G25" s="173">
        <f>IFERROR(VLOOKUP(MID(B25,4,3),MMWR_TRAD_AGG_NATIONAL[],3,0),"--")</f>
        <v>155</v>
      </c>
      <c r="H25" s="174">
        <f t="shared" si="0"/>
        <v>0.68584070796460173</v>
      </c>
      <c r="I25" s="25"/>
      <c r="J25" s="323" t="s">
        <v>285</v>
      </c>
      <c r="K25" s="395"/>
      <c r="L25" s="172">
        <f>IFERROR(VLOOKUP(MID(J25,4,3),MMWR_TRAD_AGG_NATIONAL[],2,0),"--")</f>
        <v>663</v>
      </c>
      <c r="M25" s="173">
        <f>IFERROR(VLOOKUP(MID(J25,4,3),MMWR_TRAD_AGG_NATIONAL[],3,0),"--")</f>
        <v>346</v>
      </c>
      <c r="N25" s="174">
        <f t="shared" si="2"/>
        <v>0.52187028657616896</v>
      </c>
      <c r="O25" s="56"/>
      <c r="P25" s="56"/>
      <c r="Q25" s="56"/>
      <c r="R25" s="56"/>
      <c r="S25" s="56"/>
      <c r="T25" s="56"/>
      <c r="U25" s="74"/>
      <c r="V25" s="25"/>
    </row>
    <row r="26" spans="1:22" s="1" customFormat="1" ht="37.5" customHeight="1" thickBot="1" x14ac:dyDescent="0.45">
      <c r="A26" s="25"/>
      <c r="B26" s="401" t="s">
        <v>269</v>
      </c>
      <c r="C26" s="402"/>
      <c r="D26" s="402"/>
      <c r="E26" s="403"/>
      <c r="F26" s="172">
        <f>IFERROR(VLOOKUP(MID(B26,4,3),MMWR_TRAD_AGG_NATIONAL[],2,0),"--")</f>
        <v>131010</v>
      </c>
      <c r="G26" s="173">
        <f>IFERROR(VLOOKUP(MID(B26,4,3),MMWR_TRAD_AGG_NATIONAL[],3,0),"--")</f>
        <v>89485</v>
      </c>
      <c r="H26" s="174">
        <f t="shared" si="0"/>
        <v>0.68303946263644</v>
      </c>
      <c r="I26" s="56"/>
      <c r="J26" s="325" t="s">
        <v>322</v>
      </c>
      <c r="K26" s="397"/>
      <c r="L26" s="178">
        <f>IFERROR(VLOOKUP(MID(J26,4,3),MMWR_TRAD_AGG_NATIONAL[],2,0),"--")</f>
        <v>43</v>
      </c>
      <c r="M26" s="179">
        <f>IFERROR(VLOOKUP(MID(J26,4,3),MMWR_TRAD_AGG_NATIONAL[],3,0),"--")</f>
        <v>25</v>
      </c>
      <c r="N26" s="180">
        <f t="shared" si="2"/>
        <v>0.58139534883720934</v>
      </c>
      <c r="O26" s="56"/>
      <c r="P26" s="56"/>
      <c r="Q26" s="56"/>
      <c r="R26" s="56"/>
      <c r="S26" s="56"/>
      <c r="T26" s="56"/>
      <c r="U26" s="74"/>
      <c r="V26" s="25"/>
    </row>
    <row r="27" spans="1:22" s="1" customFormat="1" ht="26.25" customHeight="1" thickBot="1" x14ac:dyDescent="0.45">
      <c r="A27" s="25"/>
      <c r="B27" s="401" t="s">
        <v>270</v>
      </c>
      <c r="C27" s="402"/>
      <c r="D27" s="402"/>
      <c r="E27" s="403"/>
      <c r="F27" s="172">
        <f>IFERROR(VLOOKUP(MID(B27,4,3),MMWR_TRAD_AGG_NATIONAL[],2,0),"--")</f>
        <v>29</v>
      </c>
      <c r="G27" s="173">
        <f>IFERROR(VLOOKUP(MID(B27,4,3),MMWR_TRAD_AGG_NATIONAL[],3,0),"--")</f>
        <v>6</v>
      </c>
      <c r="H27" s="174">
        <f t="shared" si="0"/>
        <v>0.20689655172413793</v>
      </c>
      <c r="I27" s="56"/>
      <c r="J27" s="56"/>
      <c r="K27" s="56"/>
      <c r="L27" s="56"/>
      <c r="M27" s="56"/>
      <c r="N27" s="56"/>
      <c r="O27" s="56"/>
      <c r="P27" s="56"/>
      <c r="Q27" s="56"/>
      <c r="R27" s="56"/>
      <c r="S27" s="56"/>
      <c r="T27" s="56"/>
      <c r="U27" s="74"/>
      <c r="V27" s="25"/>
    </row>
    <row r="28" spans="1:22" s="1" customFormat="1" ht="32.25" customHeight="1" x14ac:dyDescent="0.4">
      <c r="A28" s="25"/>
      <c r="B28" s="401" t="s">
        <v>271</v>
      </c>
      <c r="C28" s="402"/>
      <c r="D28" s="402"/>
      <c r="E28" s="403"/>
      <c r="F28" s="172">
        <f>IFERROR(VLOOKUP(MID(B28,4,3),MMWR_TRAD_AGG_NATIONAL[],2,0),"--")</f>
        <v>14990</v>
      </c>
      <c r="G28" s="173">
        <f>IFERROR(VLOOKUP(MID(B28,4,3),MMWR_TRAD_AGG_NATIONAL[],3,0),"--")</f>
        <v>1807</v>
      </c>
      <c r="H28" s="174">
        <f t="shared" si="0"/>
        <v>0.12054703135423615</v>
      </c>
      <c r="I28" s="68" t="s">
        <v>319</v>
      </c>
      <c r="J28" s="445" t="s">
        <v>321</v>
      </c>
      <c r="K28" s="446"/>
      <c r="L28" s="446"/>
      <c r="M28" s="446"/>
      <c r="N28" s="447"/>
      <c r="O28" s="417" t="s">
        <v>319</v>
      </c>
      <c r="P28" s="75"/>
      <c r="Q28" s="56"/>
      <c r="R28" s="56"/>
      <c r="S28" s="56"/>
      <c r="T28" s="56"/>
      <c r="U28" s="74"/>
      <c r="V28" s="25"/>
    </row>
    <row r="29" spans="1:22" s="1" customFormat="1" ht="27" customHeight="1" thickBot="1" x14ac:dyDescent="0.45">
      <c r="A29" s="25"/>
      <c r="B29" s="401" t="s">
        <v>272</v>
      </c>
      <c r="C29" s="402"/>
      <c r="D29" s="402"/>
      <c r="E29" s="403"/>
      <c r="F29" s="172">
        <f>IFERROR(VLOOKUP(MID(B29,4,3),MMWR_TRAD_AGG_NATIONAL[],2,0),"--")</f>
        <v>131898</v>
      </c>
      <c r="G29" s="173">
        <f>IFERROR(VLOOKUP(MID(B29,4,3),MMWR_TRAD_AGG_NATIONAL[],3,0),"--")</f>
        <v>54449</v>
      </c>
      <c r="H29" s="174">
        <f t="shared" si="0"/>
        <v>0.41281141488119605</v>
      </c>
      <c r="I29" s="56"/>
      <c r="J29" s="448"/>
      <c r="K29" s="449"/>
      <c r="L29" s="449"/>
      <c r="M29" s="449"/>
      <c r="N29" s="450"/>
      <c r="O29" s="417"/>
      <c r="P29" s="76"/>
      <c r="Q29" s="56"/>
      <c r="R29" s="56"/>
      <c r="S29" s="56"/>
      <c r="T29" s="56"/>
      <c r="U29" s="74"/>
      <c r="V29" s="25"/>
    </row>
    <row r="30" spans="1:22" s="1" customFormat="1" ht="32.25" customHeight="1" thickBot="1" x14ac:dyDescent="0.45">
      <c r="A30" s="25"/>
      <c r="B30" s="407" t="s">
        <v>32</v>
      </c>
      <c r="C30" s="408"/>
      <c r="D30" s="408"/>
      <c r="E30" s="408"/>
      <c r="F30" s="170">
        <f>SUM(F31:F37)</f>
        <v>82554</v>
      </c>
      <c r="G30" s="170">
        <f>SUM(G31:G37)</f>
        <v>64266</v>
      </c>
      <c r="H30" s="162">
        <f t="shared" si="0"/>
        <v>0.77847227269423647</v>
      </c>
      <c r="I30" s="56"/>
      <c r="J30" s="28"/>
      <c r="K30" s="28"/>
      <c r="L30" s="28"/>
      <c r="M30" s="28"/>
      <c r="N30" s="28"/>
      <c r="O30" s="28"/>
      <c r="P30" s="56"/>
      <c r="Q30" s="56"/>
      <c r="R30" s="56"/>
      <c r="S30" s="56"/>
      <c r="T30" s="56"/>
      <c r="U30" s="74"/>
      <c r="V30" s="25"/>
    </row>
    <row r="31" spans="1:22" s="1" customFormat="1" ht="33.75" customHeight="1" x14ac:dyDescent="0.4">
      <c r="A31" s="25"/>
      <c r="B31" s="323" t="s">
        <v>289</v>
      </c>
      <c r="C31" s="324"/>
      <c r="D31" s="324"/>
      <c r="E31" s="395"/>
      <c r="F31" s="172">
        <f>IFERROR(VLOOKUP(MID(B31,4,3),MMWR_TRAD_AGG_NATIONAL[],2,0),"--")</f>
        <v>47</v>
      </c>
      <c r="G31" s="173">
        <f>IFERROR(VLOOKUP(MID(B31,4,3),MMWR_TRAD_AGG_NATIONAL[],3,0),"--")</f>
        <v>47</v>
      </c>
      <c r="H31" s="174">
        <f t="shared" si="0"/>
        <v>1</v>
      </c>
      <c r="I31" s="56"/>
      <c r="J31" s="56"/>
      <c r="K31" s="56"/>
      <c r="L31" s="56"/>
      <c r="M31" s="56"/>
      <c r="N31" s="56"/>
      <c r="O31" s="56"/>
      <c r="P31" s="56"/>
      <c r="Q31" s="56"/>
      <c r="R31" s="56"/>
      <c r="S31" s="56"/>
      <c r="T31" s="56"/>
      <c r="U31" s="74"/>
      <c r="V31" s="25"/>
    </row>
    <row r="32" spans="1:22" s="1" customFormat="1" ht="32.25" customHeight="1" x14ac:dyDescent="0.4">
      <c r="A32" s="25"/>
      <c r="B32" s="323" t="s">
        <v>290</v>
      </c>
      <c r="C32" s="324"/>
      <c r="D32" s="324"/>
      <c r="E32" s="395"/>
      <c r="F32" s="172">
        <f>IFERROR(VLOOKUP(MID(B32,4,3),MMWR_TRAD_AGG_NATIONAL[],2,0),"--")</f>
        <v>51</v>
      </c>
      <c r="G32" s="173">
        <f>IFERROR(VLOOKUP(MID(B32,4,3),MMWR_TRAD_AGG_NATIONAL[],3,0),"--")</f>
        <v>51</v>
      </c>
      <c r="H32" s="174">
        <f t="shared" si="0"/>
        <v>1</v>
      </c>
      <c r="I32" s="56"/>
      <c r="J32" s="56"/>
      <c r="K32" s="56"/>
      <c r="L32" s="56"/>
      <c r="M32" s="56"/>
      <c r="N32" s="56"/>
      <c r="O32" s="56"/>
      <c r="P32" s="56"/>
      <c r="Q32" s="56"/>
      <c r="R32" s="56"/>
      <c r="S32" s="56"/>
      <c r="T32" s="56"/>
      <c r="U32" s="74"/>
      <c r="V32" s="25"/>
    </row>
    <row r="33" spans="1:22" s="1" customFormat="1" ht="32.25" customHeight="1" x14ac:dyDescent="0.4">
      <c r="A33" s="25"/>
      <c r="B33" s="323" t="s">
        <v>291</v>
      </c>
      <c r="C33" s="324"/>
      <c r="D33" s="324"/>
      <c r="E33" s="395"/>
      <c r="F33" s="172">
        <f>IFERROR(VLOOKUP(MID(B33,4,3),MMWR_TRAD_AGG_NATIONAL[],2,0),"--")</f>
        <v>700</v>
      </c>
      <c r="G33" s="173">
        <f>IFERROR(VLOOKUP(MID(B33,4,3),MMWR_TRAD_AGG_NATIONAL[],3,0),"--")</f>
        <v>626</v>
      </c>
      <c r="H33" s="174">
        <f t="shared" si="0"/>
        <v>0.89428571428571424</v>
      </c>
      <c r="I33" s="56"/>
      <c r="J33" s="56"/>
      <c r="K33" s="56"/>
      <c r="L33" s="28"/>
      <c r="M33" s="28"/>
      <c r="N33" s="28"/>
      <c r="O33" s="28"/>
      <c r="P33" s="28"/>
      <c r="Q33" s="28"/>
      <c r="R33" s="56"/>
      <c r="S33" s="56"/>
      <c r="T33" s="56"/>
      <c r="U33" s="74"/>
      <c r="V33" s="25"/>
    </row>
    <row r="34" spans="1:22" s="1" customFormat="1" ht="32.25" customHeight="1" x14ac:dyDescent="0.4">
      <c r="A34" s="25"/>
      <c r="B34" s="323" t="s">
        <v>292</v>
      </c>
      <c r="C34" s="324"/>
      <c r="D34" s="324"/>
      <c r="E34" s="395"/>
      <c r="F34" s="172">
        <f>IFERROR(VLOOKUP(MID(B34,4,3),MMWR_TRAD_AGG_NATIONAL[],2,0),"--")</f>
        <v>1289</v>
      </c>
      <c r="G34" s="173">
        <f>IFERROR(VLOOKUP(MID(B34,4,3),MMWR_TRAD_AGG_NATIONAL[],3,0),"--")</f>
        <v>499</v>
      </c>
      <c r="H34" s="174">
        <f t="shared" si="0"/>
        <v>0.38712179984484096</v>
      </c>
      <c r="I34" s="56"/>
      <c r="J34" s="56"/>
      <c r="K34" s="56"/>
      <c r="L34" s="28"/>
      <c r="M34" s="28"/>
      <c r="N34" s="28"/>
      <c r="O34" s="28"/>
      <c r="P34" s="28"/>
      <c r="Q34" s="28"/>
      <c r="R34" s="56"/>
      <c r="S34" s="56"/>
      <c r="T34" s="56"/>
      <c r="U34" s="74"/>
      <c r="V34" s="25"/>
    </row>
    <row r="35" spans="1:22" s="1" customFormat="1" ht="32.25" customHeight="1" x14ac:dyDescent="0.4">
      <c r="A35" s="25"/>
      <c r="B35" s="323" t="s">
        <v>293</v>
      </c>
      <c r="C35" s="324"/>
      <c r="D35" s="324"/>
      <c r="E35" s="395"/>
      <c r="F35" s="172">
        <f>IFERROR(VLOOKUP(MID(B35,4,3),MMWR_TRAD_AGG_NATIONAL[],2,0),"--")</f>
        <v>191</v>
      </c>
      <c r="G35" s="173">
        <f>IFERROR(VLOOKUP(MID(B35,4,3),MMWR_TRAD_AGG_NATIONAL[],3,0),"--")</f>
        <v>189</v>
      </c>
      <c r="H35" s="174">
        <f t="shared" si="0"/>
        <v>0.98952879581151831</v>
      </c>
      <c r="I35" s="56"/>
      <c r="J35" s="56"/>
      <c r="K35" s="56"/>
      <c r="L35" s="56"/>
      <c r="M35" s="56"/>
      <c r="N35" s="56"/>
      <c r="O35" s="56"/>
      <c r="P35" s="56"/>
      <c r="Q35" s="56"/>
      <c r="R35" s="56"/>
      <c r="S35" s="56"/>
      <c r="T35" s="56"/>
      <c r="U35" s="74"/>
      <c r="V35" s="25"/>
    </row>
    <row r="36" spans="1:22" s="1" customFormat="1" ht="32.25" customHeight="1" x14ac:dyDescent="0.4">
      <c r="A36" s="25"/>
      <c r="B36" s="323" t="s">
        <v>294</v>
      </c>
      <c r="C36" s="324"/>
      <c r="D36" s="324"/>
      <c r="E36" s="395"/>
      <c r="F36" s="172">
        <f>IFERROR(VLOOKUP(MID(B36,4,3),MMWR_TRAD_AGG_NATIONAL[],2,0),"--")</f>
        <v>17396</v>
      </c>
      <c r="G36" s="173">
        <f>IFERROR(VLOOKUP(MID(B36,4,3),MMWR_TRAD_AGG_NATIONAL[],3,0),"--")</f>
        <v>12923</v>
      </c>
      <c r="H36" s="174">
        <f t="shared" si="0"/>
        <v>0.74287192458036333</v>
      </c>
      <c r="I36" s="56"/>
      <c r="J36" s="56"/>
      <c r="K36" s="56"/>
      <c r="L36" s="56"/>
      <c r="M36" s="56"/>
      <c r="N36" s="56"/>
      <c r="O36" s="56"/>
      <c r="P36" s="56"/>
      <c r="Q36" s="56"/>
      <c r="R36" s="56"/>
      <c r="S36" s="56"/>
      <c r="T36" s="56"/>
      <c r="U36" s="74"/>
      <c r="V36" s="25"/>
    </row>
    <row r="37" spans="1:22" s="1" customFormat="1" ht="27" customHeight="1" thickBot="1" x14ac:dyDescent="0.45">
      <c r="A37" s="25"/>
      <c r="B37" s="323" t="s">
        <v>295</v>
      </c>
      <c r="C37" s="324"/>
      <c r="D37" s="324"/>
      <c r="E37" s="395"/>
      <c r="F37" s="172">
        <f>IFERROR(VLOOKUP(MID(B37,4,3)&amp;"G",MMWR_TRAD_AGG_NATIONAL[],2,0),"--")</f>
        <v>62880</v>
      </c>
      <c r="G37" s="173">
        <f>IFERROR(VLOOKUP(MID(B37,4,3)&amp;"G",MMWR_TRAD_AGG_NATIONAL[],3,0),"--")</f>
        <v>49931</v>
      </c>
      <c r="H37" s="174">
        <f t="shared" si="0"/>
        <v>0.79406806615776082</v>
      </c>
      <c r="I37" s="56"/>
      <c r="J37" s="56"/>
      <c r="K37" s="56"/>
      <c r="L37" s="56"/>
      <c r="M37" s="56"/>
      <c r="N37" s="56"/>
      <c r="O37" s="56"/>
      <c r="P37" s="56"/>
      <c r="Q37" s="56"/>
      <c r="R37" s="56"/>
      <c r="S37" s="56"/>
      <c r="T37" s="56"/>
      <c r="U37" s="74"/>
      <c r="V37" s="25"/>
    </row>
    <row r="38" spans="1:22" s="1" customFormat="1" ht="32.25" customHeight="1" thickBot="1" x14ac:dyDescent="0.45">
      <c r="A38" s="25"/>
      <c r="B38" s="407" t="s">
        <v>246</v>
      </c>
      <c r="C38" s="408"/>
      <c r="D38" s="408"/>
      <c r="E38" s="408"/>
      <c r="F38" s="169">
        <f>SUM(F39:F44)</f>
        <v>162823</v>
      </c>
      <c r="G38" s="170">
        <f>SUM(G39:G44)</f>
        <v>102934</v>
      </c>
      <c r="H38" s="171">
        <f t="shared" si="0"/>
        <v>0.63218341389115784</v>
      </c>
      <c r="I38" s="56"/>
      <c r="J38" s="56"/>
      <c r="K38" s="75"/>
      <c r="L38" s="75"/>
      <c r="M38" s="75"/>
      <c r="N38" s="75"/>
      <c r="O38" s="75"/>
      <c r="P38" s="56"/>
      <c r="Q38" s="56"/>
      <c r="R38" s="56"/>
      <c r="S38" s="56"/>
      <c r="T38" s="56"/>
      <c r="U38" s="74"/>
      <c r="V38" s="25"/>
    </row>
    <row r="39" spans="1:22" s="1" customFormat="1" ht="26.25" customHeight="1" x14ac:dyDescent="0.4">
      <c r="A39" s="25"/>
      <c r="B39" s="418" t="s">
        <v>296</v>
      </c>
      <c r="C39" s="437"/>
      <c r="D39" s="437"/>
      <c r="E39" s="419"/>
      <c r="F39" s="175">
        <f>IFERROR(VLOOKUP(MID(B39,4,3),MMWR_TRAD_AGG_NATIONAL[],2,0),"--")</f>
        <v>6563</v>
      </c>
      <c r="G39" s="176">
        <f>IFERROR(VLOOKUP(MID(B39,4,3),MMWR_TRAD_AGG_NATIONAL[],3,0),"--")</f>
        <v>5025</v>
      </c>
      <c r="H39" s="177">
        <f t="shared" si="0"/>
        <v>0.76565595002285536</v>
      </c>
      <c r="I39" s="56"/>
      <c r="J39" s="56"/>
      <c r="K39" s="75"/>
      <c r="L39" s="75"/>
      <c r="M39" s="75"/>
      <c r="N39" s="75"/>
      <c r="O39" s="75"/>
      <c r="P39" s="56"/>
      <c r="Q39" s="56"/>
      <c r="R39" s="56"/>
      <c r="S39" s="56"/>
      <c r="T39" s="56"/>
      <c r="U39" s="74"/>
      <c r="V39" s="25"/>
    </row>
    <row r="40" spans="1:22" s="1" customFormat="1" ht="26.25" customHeight="1" x14ac:dyDescent="0.4">
      <c r="A40" s="25"/>
      <c r="B40" s="323" t="s">
        <v>297</v>
      </c>
      <c r="C40" s="324"/>
      <c r="D40" s="324"/>
      <c r="E40" s="395"/>
      <c r="F40" s="172">
        <f>IFERROR(VLOOKUP(MID(B40,4,3),MMWR_TRAD_AGG_NATIONAL[],2,0),"--")</f>
        <v>111106</v>
      </c>
      <c r="G40" s="173">
        <f>IFERROR(VLOOKUP(MID(B40,4,3),MMWR_TRAD_AGG_NATIONAL[],3,0),"--")</f>
        <v>72461</v>
      </c>
      <c r="H40" s="174">
        <f t="shared" si="0"/>
        <v>0.65217900023401076</v>
      </c>
      <c r="I40" s="56"/>
      <c r="J40" s="56"/>
      <c r="K40" s="56"/>
      <c r="L40" s="56"/>
      <c r="M40" s="56"/>
      <c r="N40" s="56"/>
      <c r="O40" s="56"/>
      <c r="P40" s="56"/>
      <c r="Q40" s="56"/>
      <c r="R40" s="56"/>
      <c r="S40" s="56"/>
      <c r="T40" s="56"/>
      <c r="U40" s="74"/>
      <c r="V40" s="25"/>
    </row>
    <row r="41" spans="1:22" s="1" customFormat="1" ht="26.25" customHeight="1" x14ac:dyDescent="0.4">
      <c r="A41" s="25"/>
      <c r="B41" s="323" t="s">
        <v>298</v>
      </c>
      <c r="C41" s="324"/>
      <c r="D41" s="324"/>
      <c r="E41" s="395"/>
      <c r="F41" s="172">
        <f>IFERROR(VLOOKUP(MID(B41,4,3),MMWR_TRAD_AGG_NATIONAL[],2,0),"--")</f>
        <v>1778</v>
      </c>
      <c r="G41" s="173">
        <f>IFERROR(VLOOKUP(MID(B41,4,3),MMWR_TRAD_AGG_NATIONAL[],3,0),"--")</f>
        <v>473</v>
      </c>
      <c r="H41" s="174">
        <f t="shared" si="0"/>
        <v>0.26602924634420699</v>
      </c>
      <c r="I41" s="56"/>
      <c r="J41" s="56"/>
      <c r="K41" s="56"/>
      <c r="L41" s="56"/>
      <c r="M41" s="56"/>
      <c r="N41" s="56"/>
      <c r="O41" s="56"/>
      <c r="P41" s="56"/>
      <c r="Q41" s="56"/>
      <c r="R41" s="56"/>
      <c r="S41" s="56"/>
      <c r="T41" s="56"/>
      <c r="U41" s="74"/>
      <c r="V41" s="25"/>
    </row>
    <row r="42" spans="1:22" s="1" customFormat="1" ht="36" customHeight="1" x14ac:dyDescent="0.4">
      <c r="A42" s="25"/>
      <c r="B42" s="323" t="s">
        <v>299</v>
      </c>
      <c r="C42" s="324"/>
      <c r="D42" s="324"/>
      <c r="E42" s="395"/>
      <c r="F42" s="172">
        <f>IFERROR(VLOOKUP(MID(B42,4,3),MMWR_TRAD_AGG_NATIONAL[],2,0),"--")</f>
        <v>23954</v>
      </c>
      <c r="G42" s="173">
        <f>IFERROR(VLOOKUP(MID(B42,4,3),MMWR_TRAD_AGG_NATIONAL[],3,0),"--")</f>
        <v>8236</v>
      </c>
      <c r="H42" s="174">
        <f t="shared" si="0"/>
        <v>0.34382566585956414</v>
      </c>
      <c r="I42" s="56"/>
      <c r="J42" s="56"/>
      <c r="K42" s="56"/>
      <c r="L42" s="56"/>
      <c r="M42" s="56"/>
      <c r="N42" s="56"/>
      <c r="O42" s="56"/>
      <c r="P42" s="56"/>
      <c r="Q42" s="56"/>
      <c r="R42" s="56"/>
      <c r="S42" s="56"/>
      <c r="T42" s="56"/>
      <c r="U42" s="74"/>
      <c r="V42" s="25"/>
    </row>
    <row r="43" spans="1:22" s="1" customFormat="1" ht="33" customHeight="1" x14ac:dyDescent="0.4">
      <c r="A43" s="25"/>
      <c r="B43" s="323" t="s">
        <v>300</v>
      </c>
      <c r="C43" s="324"/>
      <c r="D43" s="324"/>
      <c r="E43" s="395"/>
      <c r="F43" s="172">
        <f>IFERROR(VLOOKUP(MID(B43,4,3),MMWR_TRAD_AGG_NATIONAL[],2,0),"--")</f>
        <v>18891</v>
      </c>
      <c r="G43" s="173">
        <f>IFERROR(VLOOKUP(MID(B43,4,3),MMWR_TRAD_AGG_NATIONAL[],3,0),"--")</f>
        <v>16272</v>
      </c>
      <c r="H43" s="174">
        <f t="shared" si="0"/>
        <v>0.86136255359695091</v>
      </c>
      <c r="I43" s="56"/>
      <c r="J43" s="56"/>
      <c r="K43" s="56"/>
      <c r="L43" s="56"/>
      <c r="M43" s="56"/>
      <c r="N43" s="56"/>
      <c r="O43" s="56"/>
      <c r="P43" s="56"/>
      <c r="Q43" s="56"/>
      <c r="R43" s="56"/>
      <c r="S43" s="56"/>
      <c r="T43" s="56"/>
      <c r="U43" s="74"/>
      <c r="V43" s="25"/>
    </row>
    <row r="44" spans="1:22" s="1" customFormat="1" ht="27" customHeight="1" thickBot="1" x14ac:dyDescent="0.45">
      <c r="A44" s="25"/>
      <c r="B44" s="325" t="s">
        <v>301</v>
      </c>
      <c r="C44" s="326"/>
      <c r="D44" s="326"/>
      <c r="E44" s="397"/>
      <c r="F44" s="178">
        <f>IFERROR(VLOOKUP(MID(B44,4,3),MMWR_TRAD_AGG_NATIONAL[],2,0),"--")</f>
        <v>531</v>
      </c>
      <c r="G44" s="179">
        <f>IFERROR(VLOOKUP(MID(B44,4,3),MMWR_TRAD_AGG_NATIONAL[],3,0),"--")</f>
        <v>467</v>
      </c>
      <c r="H44" s="180">
        <f t="shared" si="0"/>
        <v>0.87947269303201503</v>
      </c>
      <c r="I44" s="77"/>
      <c r="J44" s="77"/>
      <c r="K44" s="77"/>
      <c r="L44" s="77"/>
      <c r="M44" s="77"/>
      <c r="N44" s="77"/>
      <c r="O44" s="77"/>
      <c r="P44" s="77"/>
      <c r="Q44" s="77"/>
      <c r="R44" s="77"/>
      <c r="S44" s="77"/>
      <c r="T44" s="77"/>
      <c r="U44" s="78"/>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BD20" sheet="1" autoFilter="0"/>
  <mergeCells count="87">
    <mergeCell ref="J21:K21"/>
    <mergeCell ref="B24:E24"/>
    <mergeCell ref="B25:E25"/>
    <mergeCell ref="B44:E44"/>
    <mergeCell ref="B42:E42"/>
    <mergeCell ref="B43:E43"/>
    <mergeCell ref="B36:E36"/>
    <mergeCell ref="B41:E41"/>
    <mergeCell ref="B38:E38"/>
    <mergeCell ref="B39:E39"/>
    <mergeCell ref="B37:E37"/>
    <mergeCell ref="B40:E40"/>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18:E18"/>
    <mergeCell ref="B19:E19"/>
    <mergeCell ref="P16:S16"/>
    <mergeCell ref="J10:K10"/>
    <mergeCell ref="J11:K11"/>
    <mergeCell ref="J16:K16"/>
    <mergeCell ref="P13:R13"/>
    <mergeCell ref="S13:U13"/>
    <mergeCell ref="P11:Q11"/>
    <mergeCell ref="B14:E14"/>
    <mergeCell ref="B15:E15"/>
    <mergeCell ref="J12:K12"/>
    <mergeCell ref="J9:K9"/>
    <mergeCell ref="J13:K13"/>
    <mergeCell ref="B9:E9"/>
    <mergeCell ref="J14:K14"/>
    <mergeCell ref="J15:K15"/>
    <mergeCell ref="B10:E10"/>
    <mergeCell ref="B12:E12"/>
    <mergeCell ref="B13:E13"/>
    <mergeCell ref="S9:T9"/>
    <mergeCell ref="S10:T10"/>
    <mergeCell ref="S11:T11"/>
    <mergeCell ref="S12:T12"/>
    <mergeCell ref="P12:Q12"/>
    <mergeCell ref="P10:Q10"/>
    <mergeCell ref="P9:Q9"/>
  </mergeCells>
  <conditionalFormatting sqref="H30">
    <cfRule type="expression" dxfId="417" priority="89" stopIfTrue="1">
      <formula>ISERROR(H30)</formula>
    </cfRule>
  </conditionalFormatting>
  <conditionalFormatting sqref="J8">
    <cfRule type="expression" dxfId="416" priority="83" stopIfTrue="1">
      <formula>ISERROR(J8)</formula>
    </cfRule>
  </conditionalFormatting>
  <conditionalFormatting sqref="J10">
    <cfRule type="expression" dxfId="415" priority="79" stopIfTrue="1">
      <formula>ISERROR(J10)</formula>
    </cfRule>
  </conditionalFormatting>
  <conditionalFormatting sqref="N11">
    <cfRule type="expression" dxfId="414" priority="76" stopIfTrue="1">
      <formula>ISERROR(N11)</formula>
    </cfRule>
  </conditionalFormatting>
  <conditionalFormatting sqref="N18">
    <cfRule type="expression" dxfId="413" priority="75" stopIfTrue="1">
      <formula>ISERROR(N18)</formula>
    </cfRule>
  </conditionalFormatting>
  <conditionalFormatting sqref="N22">
    <cfRule type="expression" dxfId="412" priority="73" stopIfTrue="1">
      <formula>ISERROR(N22)</formula>
    </cfRule>
  </conditionalFormatting>
  <conditionalFormatting sqref="F6">
    <cfRule type="expression" dxfId="411" priority="58" stopIfTrue="1">
      <formula>ISERROR(F6)</formula>
    </cfRule>
  </conditionalFormatting>
  <conditionalFormatting sqref="L6">
    <cfRule type="expression" dxfId="410" priority="57" stopIfTrue="1">
      <formula>ISERROR(L6)</formula>
    </cfRule>
  </conditionalFormatting>
  <conditionalFormatting sqref="R6">
    <cfRule type="expression" dxfId="409" priority="51" stopIfTrue="1">
      <formula>ISERROR(R6)</formula>
    </cfRule>
  </conditionalFormatting>
  <conditionalFormatting sqref="U6">
    <cfRule type="expression" dxfId="408" priority="50" stopIfTrue="1">
      <formula>ISERROR(U6)</formula>
    </cfRule>
  </conditionalFormatting>
  <conditionalFormatting sqref="H8">
    <cfRule type="expression" dxfId="407" priority="49" stopIfTrue="1">
      <formula>ISERROR(H8)</formula>
    </cfRule>
  </conditionalFormatting>
  <conditionalFormatting sqref="H9">
    <cfRule type="expression" dxfId="406" priority="48" stopIfTrue="1">
      <formula>ISERROR(H9)</formula>
    </cfRule>
  </conditionalFormatting>
  <conditionalFormatting sqref="H10">
    <cfRule type="expression" dxfId="405" priority="47" stopIfTrue="1">
      <formula>ISERROR(H10)</formula>
    </cfRule>
  </conditionalFormatting>
  <conditionalFormatting sqref="H12">
    <cfRule type="expression" dxfId="404" priority="46" stopIfTrue="1">
      <formula>ISERROR(H12)</formula>
    </cfRule>
  </conditionalFormatting>
  <conditionalFormatting sqref="H13">
    <cfRule type="expression" dxfId="403" priority="45" stopIfTrue="1">
      <formula>ISERROR(H13)</formula>
    </cfRule>
  </conditionalFormatting>
  <conditionalFormatting sqref="H15">
    <cfRule type="expression" dxfId="402" priority="44" stopIfTrue="1">
      <formula>ISERROR(H15)</formula>
    </cfRule>
  </conditionalFormatting>
  <conditionalFormatting sqref="H16">
    <cfRule type="expression" dxfId="401" priority="43" stopIfTrue="1">
      <formula>ISERROR(H16)</formula>
    </cfRule>
  </conditionalFormatting>
  <conditionalFormatting sqref="H17">
    <cfRule type="expression" dxfId="400" priority="42" stopIfTrue="1">
      <formula>ISERROR(H17)</formula>
    </cfRule>
  </conditionalFormatting>
  <conditionalFormatting sqref="H18">
    <cfRule type="expression" dxfId="399" priority="41" stopIfTrue="1">
      <formula>ISERROR(H18)</formula>
    </cfRule>
  </conditionalFormatting>
  <conditionalFormatting sqref="H19">
    <cfRule type="expression" dxfId="398" priority="40" stopIfTrue="1">
      <formula>ISERROR(H19)</formula>
    </cfRule>
  </conditionalFormatting>
  <conditionalFormatting sqref="H20">
    <cfRule type="expression" dxfId="397" priority="38" stopIfTrue="1">
      <formula>ISERROR(H20)</formula>
    </cfRule>
  </conditionalFormatting>
  <conditionalFormatting sqref="H21">
    <cfRule type="expression" dxfId="396" priority="37" stopIfTrue="1">
      <formula>ISERROR(H21)</formula>
    </cfRule>
  </conditionalFormatting>
  <conditionalFormatting sqref="H23">
    <cfRule type="expression" dxfId="395" priority="36" stopIfTrue="1">
      <formula>ISERROR(H23)</formula>
    </cfRule>
  </conditionalFormatting>
  <conditionalFormatting sqref="H24">
    <cfRule type="expression" dxfId="394" priority="35" stopIfTrue="1">
      <formula>ISERROR(H24)</formula>
    </cfRule>
  </conditionalFormatting>
  <conditionalFormatting sqref="H25">
    <cfRule type="expression" dxfId="393" priority="34" stopIfTrue="1">
      <formula>ISERROR(H25)</formula>
    </cfRule>
  </conditionalFormatting>
  <conditionalFormatting sqref="H26">
    <cfRule type="expression" dxfId="392" priority="33" stopIfTrue="1">
      <formula>ISERROR(H26)</formula>
    </cfRule>
  </conditionalFormatting>
  <conditionalFormatting sqref="H27">
    <cfRule type="expression" dxfId="391" priority="32" stopIfTrue="1">
      <formula>ISERROR(H27)</formula>
    </cfRule>
  </conditionalFormatting>
  <conditionalFormatting sqref="H28">
    <cfRule type="expression" dxfId="390" priority="31" stopIfTrue="1">
      <formula>ISERROR(H28)</formula>
    </cfRule>
  </conditionalFormatting>
  <conditionalFormatting sqref="H29">
    <cfRule type="expression" dxfId="389" priority="30" stopIfTrue="1">
      <formula>ISERROR(H29)</formula>
    </cfRule>
  </conditionalFormatting>
  <conditionalFormatting sqref="H31">
    <cfRule type="expression" dxfId="388" priority="29" stopIfTrue="1">
      <formula>ISERROR(H31)</formula>
    </cfRule>
  </conditionalFormatting>
  <conditionalFormatting sqref="H32">
    <cfRule type="expression" dxfId="387" priority="28" stopIfTrue="1">
      <formula>ISERROR(H32)</formula>
    </cfRule>
  </conditionalFormatting>
  <conditionalFormatting sqref="H33">
    <cfRule type="expression" dxfId="386" priority="27" stopIfTrue="1">
      <formula>ISERROR(H33)</formula>
    </cfRule>
  </conditionalFormatting>
  <conditionalFormatting sqref="H34">
    <cfRule type="expression" dxfId="385" priority="26" stopIfTrue="1">
      <formula>ISERROR(H34)</formula>
    </cfRule>
  </conditionalFormatting>
  <conditionalFormatting sqref="H35">
    <cfRule type="expression" dxfId="384" priority="25" stopIfTrue="1">
      <formula>ISERROR(H35)</formula>
    </cfRule>
  </conditionalFormatting>
  <conditionalFormatting sqref="H36">
    <cfRule type="expression" dxfId="383" priority="24" stopIfTrue="1">
      <formula>ISERROR(H36)</formula>
    </cfRule>
  </conditionalFormatting>
  <conditionalFormatting sqref="H37">
    <cfRule type="expression" dxfId="382" priority="23" stopIfTrue="1">
      <formula>ISERROR(H37)</formula>
    </cfRule>
  </conditionalFormatting>
  <conditionalFormatting sqref="H39">
    <cfRule type="expression" dxfId="381" priority="22" stopIfTrue="1">
      <formula>ISERROR(H39)</formula>
    </cfRule>
  </conditionalFormatting>
  <conditionalFormatting sqref="H40">
    <cfRule type="expression" dxfId="380" priority="21" stopIfTrue="1">
      <formula>ISERROR(H40)</formula>
    </cfRule>
  </conditionalFormatting>
  <conditionalFormatting sqref="H41">
    <cfRule type="expression" dxfId="379" priority="20" stopIfTrue="1">
      <formula>ISERROR(H41)</formula>
    </cfRule>
  </conditionalFormatting>
  <conditionalFormatting sqref="H42">
    <cfRule type="expression" dxfId="378" priority="19" stopIfTrue="1">
      <formula>ISERROR(H42)</formula>
    </cfRule>
  </conditionalFormatting>
  <conditionalFormatting sqref="H43">
    <cfRule type="expression" dxfId="377" priority="18" stopIfTrue="1">
      <formula>ISERROR(H43)</formula>
    </cfRule>
  </conditionalFormatting>
  <conditionalFormatting sqref="H44">
    <cfRule type="expression" dxfId="376" priority="17" stopIfTrue="1">
      <formula>ISERROR(H44)</formula>
    </cfRule>
  </conditionalFormatting>
  <conditionalFormatting sqref="N8">
    <cfRule type="expression" dxfId="375" priority="16" stopIfTrue="1">
      <formula>ISERROR(N8)</formula>
    </cfRule>
  </conditionalFormatting>
  <conditionalFormatting sqref="N9">
    <cfRule type="expression" dxfId="374" priority="15" stopIfTrue="1">
      <formula>ISERROR(N9)</formula>
    </cfRule>
  </conditionalFormatting>
  <conditionalFormatting sqref="N10">
    <cfRule type="expression" dxfId="373" priority="14" stopIfTrue="1">
      <formula>ISERROR(N10)</formula>
    </cfRule>
  </conditionalFormatting>
  <conditionalFormatting sqref="N12">
    <cfRule type="expression" dxfId="372" priority="13" stopIfTrue="1">
      <formula>ISERROR(N12)</formula>
    </cfRule>
  </conditionalFormatting>
  <conditionalFormatting sqref="N13">
    <cfRule type="expression" dxfId="371" priority="12" stopIfTrue="1">
      <formula>ISERROR(N13)</formula>
    </cfRule>
  </conditionalFormatting>
  <conditionalFormatting sqref="N14">
    <cfRule type="expression" dxfId="370" priority="11" stopIfTrue="1">
      <formula>ISERROR(N14)</formula>
    </cfRule>
  </conditionalFormatting>
  <conditionalFormatting sqref="N15">
    <cfRule type="expression" dxfId="369" priority="10" stopIfTrue="1">
      <formula>ISERROR(N15)</formula>
    </cfRule>
  </conditionalFormatting>
  <conditionalFormatting sqref="N16">
    <cfRule type="expression" dxfId="368" priority="9" stopIfTrue="1">
      <formula>ISERROR(N16)</formula>
    </cfRule>
  </conditionalFormatting>
  <conditionalFormatting sqref="N17">
    <cfRule type="expression" dxfId="367" priority="8" stopIfTrue="1">
      <formula>ISERROR(N17)</formula>
    </cfRule>
  </conditionalFormatting>
  <conditionalFormatting sqref="N19">
    <cfRule type="expression" dxfId="366" priority="7" stopIfTrue="1">
      <formula>ISERROR(N19)</formula>
    </cfRule>
  </conditionalFormatting>
  <conditionalFormatting sqref="N20">
    <cfRule type="expression" dxfId="365" priority="6" stopIfTrue="1">
      <formula>ISERROR(N20)</formula>
    </cfRule>
  </conditionalFormatting>
  <conditionalFormatting sqref="N21">
    <cfRule type="expression" dxfId="364" priority="5" stopIfTrue="1">
      <formula>ISERROR(N21)</formula>
    </cfRule>
  </conditionalFormatting>
  <conditionalFormatting sqref="N23">
    <cfRule type="expression" dxfId="363" priority="4" stopIfTrue="1">
      <formula>ISERROR(N23)</formula>
    </cfRule>
  </conditionalFormatting>
  <conditionalFormatting sqref="N24">
    <cfRule type="expression" dxfId="362" priority="3" stopIfTrue="1">
      <formula>ISERROR(N24)</formula>
    </cfRule>
  </conditionalFormatting>
  <conditionalFormatting sqref="N25">
    <cfRule type="expression" dxfId="361" priority="2" stopIfTrue="1">
      <formula>ISERROR(N25)</formula>
    </cfRule>
  </conditionalFormatting>
  <conditionalFormatting sqref="N26">
    <cfRule type="expression" dxfId="360"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70" zoomScaleNormal="70" workbookViewId="0">
      <pane ySplit="4" topLeftCell="A5" activePane="bottomLeft" state="frozen"/>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5"/>
    </row>
    <row r="2" spans="1:20" ht="26.25" x14ac:dyDescent="0.4">
      <c r="A2" s="25"/>
      <c r="B2" s="26"/>
      <c r="C2" s="451" t="str">
        <f>UPPER("INVENTORY BY REGIONAL OFFICE "&amp;Transformation!B4)</f>
        <v>INVENTORY BY REGIONAL OFFICE AS OF: AUGUST 22, 2015</v>
      </c>
      <c r="D2" s="452"/>
      <c r="E2" s="452"/>
      <c r="F2" s="452"/>
      <c r="G2" s="452"/>
      <c r="H2" s="452"/>
      <c r="I2" s="452"/>
      <c r="J2" s="452"/>
      <c r="K2" s="452"/>
      <c r="L2" s="452"/>
      <c r="M2" s="452"/>
      <c r="N2" s="452"/>
      <c r="O2" s="452"/>
      <c r="P2" s="452"/>
      <c r="Q2" s="452"/>
      <c r="R2" s="452"/>
      <c r="S2" s="453"/>
      <c r="T2" s="25"/>
    </row>
    <row r="3" spans="1:20" x14ac:dyDescent="0.2">
      <c r="A3" s="25"/>
      <c r="B3" s="26"/>
      <c r="C3" s="454" t="s">
        <v>233</v>
      </c>
      <c r="D3" s="455"/>
      <c r="E3" s="456" t="s">
        <v>213</v>
      </c>
      <c r="F3" s="457"/>
      <c r="G3" s="458"/>
      <c r="H3" s="456" t="s">
        <v>7</v>
      </c>
      <c r="I3" s="457"/>
      <c r="J3" s="458"/>
      <c r="K3" s="456" t="s">
        <v>33</v>
      </c>
      <c r="L3" s="457"/>
      <c r="M3" s="458"/>
      <c r="N3" s="456" t="s">
        <v>8</v>
      </c>
      <c r="O3" s="457"/>
      <c r="P3" s="458"/>
      <c r="Q3" s="81" t="s">
        <v>9</v>
      </c>
      <c r="R3" s="82" t="s">
        <v>10</v>
      </c>
      <c r="S3" s="82" t="s">
        <v>11</v>
      </c>
      <c r="T3" s="25"/>
    </row>
    <row r="4" spans="1:20"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90" t="s">
        <v>498</v>
      </c>
      <c r="T4" s="91"/>
    </row>
    <row r="5" spans="1:20" ht="26.25" x14ac:dyDescent="0.4">
      <c r="A5" s="25"/>
      <c r="B5" s="26"/>
      <c r="C5" s="451" t="s">
        <v>496</v>
      </c>
      <c r="D5" s="452"/>
      <c r="E5" s="452"/>
      <c r="F5" s="452"/>
      <c r="G5" s="452"/>
      <c r="H5" s="452"/>
      <c r="I5" s="452"/>
      <c r="J5" s="452"/>
      <c r="K5" s="452"/>
      <c r="L5" s="452"/>
      <c r="M5" s="452"/>
      <c r="N5" s="452"/>
      <c r="O5" s="452"/>
      <c r="P5" s="452"/>
      <c r="Q5" s="452"/>
      <c r="R5" s="452"/>
      <c r="S5" s="453"/>
      <c r="T5" s="25"/>
    </row>
    <row r="6" spans="1:20" x14ac:dyDescent="0.2">
      <c r="A6" s="92"/>
      <c r="B6" s="93" t="s">
        <v>471</v>
      </c>
      <c r="C6" s="211">
        <f>IFERROR(VLOOKUP($B6,MMWR_TRAD_AGG_DISTRICT_COMP[],C$1,0),"ERROR")</f>
        <v>352396</v>
      </c>
      <c r="D6" s="189">
        <f>IFERROR(VLOOKUP($B6,MMWR_TRAD_AGG_DISTRICT_COMP[],D$1,0),"ERROR")</f>
        <v>373.97453716839999</v>
      </c>
      <c r="E6" s="197">
        <f>IFERROR(VLOOKUP($B6,MMWR_TRAD_AGG_DISTRICT_COMP[],E$1,0),"ERROR")</f>
        <v>337586</v>
      </c>
      <c r="F6" s="191">
        <f>IFERROR(VLOOKUP($B6,MMWR_TRAD_AGG_DISTRICT_COMP[],F$1,0),"ERROR")</f>
        <v>96930</v>
      </c>
      <c r="G6" s="214">
        <f t="shared" ref="G6:G69" si="0">IFERROR(F6/E6,"0%")</f>
        <v>0.28712683582850002</v>
      </c>
      <c r="H6" s="190">
        <f>IFERROR(VLOOKUP($B6,MMWR_TRAD_AGG_DISTRICT_COMP[],H$1,0),"ERROR")</f>
        <v>499476</v>
      </c>
      <c r="I6" s="191">
        <f>IFERROR(VLOOKUP($B6,MMWR_TRAD_AGG_DISTRICT_COMP[],I$1,0),"ERROR")</f>
        <v>305392</v>
      </c>
      <c r="J6" s="214">
        <f t="shared" ref="J6:J69" si="1">IFERROR(I6/H6,"0%")</f>
        <v>0.61142477316227406</v>
      </c>
      <c r="K6" s="190">
        <f>IFERROR(VLOOKUP($B6,MMWR_TRAD_AGG_DISTRICT_COMP[],K$1,0),"ERROR")</f>
        <v>82554</v>
      </c>
      <c r="L6" s="191">
        <f>IFERROR(VLOOKUP($B6,MMWR_TRAD_AGG_DISTRICT_COMP[],L$1,0),"ERROR")</f>
        <v>64266</v>
      </c>
      <c r="M6" s="214">
        <f t="shared" ref="M6:M69" si="2">IFERROR(L6/K6,"0%")</f>
        <v>0.77847227269423647</v>
      </c>
      <c r="N6" s="190">
        <f>IFERROR(VLOOKUP($B6,MMWR_TRAD_AGG_DISTRICT_COMP[],N$1,0),"ERROR")</f>
        <v>162823</v>
      </c>
      <c r="O6" s="191">
        <f>IFERROR(VLOOKUP($B6,MMWR_TRAD_AGG_DISTRICT_COMP[],O$1,0),"ERROR")</f>
        <v>102934</v>
      </c>
      <c r="P6" s="214">
        <f t="shared" ref="P6:P69" si="3">IFERROR(O6/N6,"0%")</f>
        <v>0.63218341389115784</v>
      </c>
      <c r="Q6" s="203">
        <f>IFERROR(VLOOKUP($B6,MMWR_TRAD_AGG_DISTRICT_COMP[],Q$1,0),"ERROR")</f>
        <v>9188</v>
      </c>
      <c r="R6" s="203">
        <f>IFERROR(VLOOKUP($B6,MMWR_TRAD_AGG_DISTRICT_COMP[],R$1,0),"ERROR")</f>
        <v>4424</v>
      </c>
      <c r="S6" s="206">
        <f>S7+S25+S38+S49+S62+S70</f>
        <v>307702</v>
      </c>
      <c r="T6" s="25"/>
    </row>
    <row r="7" spans="1:20" x14ac:dyDescent="0.2">
      <c r="A7" s="92"/>
      <c r="B7" s="101" t="s">
        <v>379</v>
      </c>
      <c r="C7" s="215">
        <f>IFERROR(VLOOKUP($B7,MMWR_TRAD_AGG_DISTRICT_COMP[],C$1,0),"ERROR")</f>
        <v>105583</v>
      </c>
      <c r="D7" s="200">
        <f>IFERROR(VLOOKUP($B7,MMWR_TRAD_AGG_DISTRICT_COMP[],D$1,0),"ERROR")</f>
        <v>426.37508879270001</v>
      </c>
      <c r="E7" s="216">
        <f>IFERROR(VLOOKUP($B7,MMWR_TRAD_AGG_DISTRICT_COMP[],E$1,0),"ERROR")</f>
        <v>79814</v>
      </c>
      <c r="F7" s="215">
        <f>IFERROR(VLOOKUP($B7,MMWR_TRAD_AGG_DISTRICT_COMP[],F$1,0),"ERROR")</f>
        <v>22969</v>
      </c>
      <c r="G7" s="217">
        <f t="shared" si="0"/>
        <v>0.28778159220186933</v>
      </c>
      <c r="H7" s="215">
        <f>IFERROR(VLOOKUP($B7,MMWR_TRAD_AGG_DISTRICT_COMP[],H$1,0),"ERROR")</f>
        <v>135377</v>
      </c>
      <c r="I7" s="215">
        <f>IFERROR(VLOOKUP($B7,MMWR_TRAD_AGG_DISTRICT_COMP[],I$1,0),"ERROR")</f>
        <v>95565</v>
      </c>
      <c r="J7" s="217">
        <f t="shared" si="1"/>
        <v>0.70591754877120927</v>
      </c>
      <c r="K7" s="215">
        <f>IFERROR(VLOOKUP($B7,MMWR_TRAD_AGG_DISTRICT_COMP[],K$1,0),"ERROR")</f>
        <v>20610</v>
      </c>
      <c r="L7" s="215">
        <f>IFERROR(VLOOKUP($B7,MMWR_TRAD_AGG_DISTRICT_COMP[],L$1,0),"ERROR")</f>
        <v>15538</v>
      </c>
      <c r="M7" s="217">
        <f t="shared" si="2"/>
        <v>0.75390587093643857</v>
      </c>
      <c r="N7" s="215">
        <f>IFERROR(VLOOKUP($B7,MMWR_TRAD_AGG_DISTRICT_COMP[],N$1,0),"ERROR")</f>
        <v>36267</v>
      </c>
      <c r="O7" s="215">
        <f>IFERROR(VLOOKUP($B7,MMWR_TRAD_AGG_DISTRICT_COMP[],O$1,0),"ERROR")</f>
        <v>24984</v>
      </c>
      <c r="P7" s="217">
        <f t="shared" si="3"/>
        <v>0.6888907271072876</v>
      </c>
      <c r="Q7" s="215">
        <f>IFERROR(VLOOKUP($B7,MMWR_TRAD_AGG_DISTRICT_COMP[],Q$1,0),"ERROR")</f>
        <v>8395</v>
      </c>
      <c r="R7" s="218">
        <f>IFERROR(VLOOKUP($B7,MMWR_TRAD_AGG_DISTRICT_COMP[],R$1,0),"ERROR")</f>
        <v>107</v>
      </c>
      <c r="S7" s="218">
        <f>IFERROR(VLOOKUP($B7,MMWR_APP_RO[],S$1,0),"ERROR")</f>
        <v>54333</v>
      </c>
      <c r="T7" s="25"/>
    </row>
    <row r="8" spans="1:20" x14ac:dyDescent="0.2">
      <c r="A8" s="107"/>
      <c r="B8" s="108" t="s">
        <v>36</v>
      </c>
      <c r="C8" s="212">
        <f>IFERROR(VLOOKUP($B8,MMWR_TRAD_AGG_RO_COMP[],C$1,0),"ERROR")</f>
        <v>8197</v>
      </c>
      <c r="D8" s="201">
        <f>IFERROR(VLOOKUP($B8,MMWR_TRAD_AGG_RO_COMP[],D$1,0),"ERROR")</f>
        <v>647.62510674639998</v>
      </c>
      <c r="E8" s="198">
        <f>IFERROR(VLOOKUP($B8,MMWR_TRAD_AGG_RO_COMP[],E$1,0),"ERROR")</f>
        <v>4842</v>
      </c>
      <c r="F8" s="194">
        <f>IFERROR(VLOOKUP($B8,MMWR_TRAD_AGG_RO_COMP[],F$1,0),"ERROR")</f>
        <v>1449</v>
      </c>
      <c r="G8" s="219">
        <f t="shared" si="0"/>
        <v>0.2992565055762082</v>
      </c>
      <c r="H8" s="193">
        <f>IFERROR(VLOOKUP($B8,MMWR_TRAD_AGG_RO_COMP[],H$1,0),"ERROR")</f>
        <v>9534</v>
      </c>
      <c r="I8" s="194">
        <f>IFERROR(VLOOKUP($B8,MMWR_TRAD_AGG_RO_COMP[],I$1,0),"ERROR")</f>
        <v>7885</v>
      </c>
      <c r="J8" s="219">
        <f t="shared" si="1"/>
        <v>0.82704006712817291</v>
      </c>
      <c r="K8" s="207">
        <f>IFERROR(VLOOKUP($B8,MMWR_TRAD_AGG_RO_COMP[],K$1,0),"ERROR")</f>
        <v>1037</v>
      </c>
      <c r="L8" s="208">
        <f>IFERROR(VLOOKUP($B8,MMWR_TRAD_AGG_RO_COMP[],L$1,0),"ERROR")</f>
        <v>919</v>
      </c>
      <c r="M8" s="219">
        <f t="shared" si="2"/>
        <v>0.88621022179363551</v>
      </c>
      <c r="N8" s="207">
        <f>IFERROR(VLOOKUP($B8,MMWR_TRAD_AGG_RO_COMP[],N$1,0),"ERROR")</f>
        <v>6165</v>
      </c>
      <c r="O8" s="208">
        <f>IFERROR(VLOOKUP($B8,MMWR_TRAD_AGG_RO_COMP[],O$1,0),"ERROR")</f>
        <v>5250</v>
      </c>
      <c r="P8" s="219">
        <f t="shared" si="3"/>
        <v>0.85158150851581504</v>
      </c>
      <c r="Q8" s="204">
        <f>IFERROR(VLOOKUP($B8,MMWR_TRAD_AGG_RO_COMP[],Q$1,0),"ERROR")</f>
        <v>31</v>
      </c>
      <c r="R8" s="204">
        <f>IFERROR(VLOOKUP($B8,MMWR_TRAD_AGG_RO_COMP[],R$1,0),"ERROR")</f>
        <v>5</v>
      </c>
      <c r="S8" s="204">
        <f>IFERROR(VLOOKUP($B8,MMWR_APP_RO[],S$1,0),"ERROR")</f>
        <v>5403</v>
      </c>
      <c r="T8" s="25"/>
    </row>
    <row r="9" spans="1:20" x14ac:dyDescent="0.2">
      <c r="A9" s="107"/>
      <c r="B9" s="108" t="s">
        <v>38</v>
      </c>
      <c r="C9" s="212">
        <f>IFERROR(VLOOKUP($B9,MMWR_TRAD_AGG_RO_COMP[],C$1,0),"ERROR")</f>
        <v>4580</v>
      </c>
      <c r="D9" s="201">
        <f>IFERROR(VLOOKUP($B9,MMWR_TRAD_AGG_RO_COMP[],D$1,0),"ERROR")</f>
        <v>519.94628820959997</v>
      </c>
      <c r="E9" s="198">
        <f>IFERROR(VLOOKUP($B9,MMWR_TRAD_AGG_RO_COMP[],E$1,0),"ERROR")</f>
        <v>3502</v>
      </c>
      <c r="F9" s="194">
        <f>IFERROR(VLOOKUP($B9,MMWR_TRAD_AGG_RO_COMP[],F$1,0),"ERROR")</f>
        <v>1029</v>
      </c>
      <c r="G9" s="219">
        <f t="shared" si="0"/>
        <v>0.29383209594517418</v>
      </c>
      <c r="H9" s="193">
        <f>IFERROR(VLOOKUP($B9,MMWR_TRAD_AGG_RO_COMP[],H$1,0),"ERROR")</f>
        <v>6095</v>
      </c>
      <c r="I9" s="194">
        <f>IFERROR(VLOOKUP($B9,MMWR_TRAD_AGG_RO_COMP[],I$1,0),"ERROR")</f>
        <v>4459</v>
      </c>
      <c r="J9" s="219">
        <f t="shared" si="1"/>
        <v>0.73158326497128789</v>
      </c>
      <c r="K9" s="207">
        <f>IFERROR(VLOOKUP($B9,MMWR_TRAD_AGG_RO_COMP[],K$1,0),"ERROR")</f>
        <v>2104</v>
      </c>
      <c r="L9" s="208">
        <f>IFERROR(VLOOKUP($B9,MMWR_TRAD_AGG_RO_COMP[],L$1,0),"ERROR")</f>
        <v>1935</v>
      </c>
      <c r="M9" s="219">
        <f t="shared" si="2"/>
        <v>0.91967680608365021</v>
      </c>
      <c r="N9" s="207">
        <f>IFERROR(VLOOKUP($B9,MMWR_TRAD_AGG_RO_COMP[],N$1,0),"ERROR")</f>
        <v>879</v>
      </c>
      <c r="O9" s="208">
        <f>IFERROR(VLOOKUP($B9,MMWR_TRAD_AGG_RO_COMP[],O$1,0),"ERROR")</f>
        <v>746</v>
      </c>
      <c r="P9" s="219">
        <f t="shared" si="3"/>
        <v>0.8486916951080774</v>
      </c>
      <c r="Q9" s="204">
        <f>IFERROR(VLOOKUP($B9,MMWR_TRAD_AGG_RO_COMP[],Q$1,0),"ERROR")</f>
        <v>2</v>
      </c>
      <c r="R9" s="204">
        <f>IFERROR(VLOOKUP($B9,MMWR_TRAD_AGG_RO_COMP[],R$1,0),"ERROR")</f>
        <v>11</v>
      </c>
      <c r="S9" s="204">
        <f>IFERROR(VLOOKUP($B9,MMWR_APP_RO[],S$1,0),"ERROR")</f>
        <v>3394</v>
      </c>
      <c r="T9" s="25"/>
    </row>
    <row r="10" spans="1:20" x14ac:dyDescent="0.2">
      <c r="A10" s="107"/>
      <c r="B10" s="108" t="s">
        <v>24</v>
      </c>
      <c r="C10" s="212">
        <f>IFERROR(VLOOKUP($B10,MMWR_TRAD_AGG_RO_COMP[],C$1,0),"ERROR")</f>
        <v>1148</v>
      </c>
      <c r="D10" s="201">
        <f>IFERROR(VLOOKUP($B10,MMWR_TRAD_AGG_RO_COMP[],D$1,0),"ERROR")</f>
        <v>86.877177700299995</v>
      </c>
      <c r="E10" s="198">
        <f>IFERROR(VLOOKUP($B10,MMWR_TRAD_AGG_RO_COMP[],E$1,0),"ERROR")</f>
        <v>4480</v>
      </c>
      <c r="F10" s="194">
        <f>IFERROR(VLOOKUP($B10,MMWR_TRAD_AGG_RO_COMP[],F$1,0),"ERROR")</f>
        <v>1315</v>
      </c>
      <c r="G10" s="219">
        <f t="shared" si="0"/>
        <v>0.2935267857142857</v>
      </c>
      <c r="H10" s="193">
        <f>IFERROR(VLOOKUP($B10,MMWR_TRAD_AGG_RO_COMP[],H$1,0),"ERROR")</f>
        <v>1997</v>
      </c>
      <c r="I10" s="194">
        <f>IFERROR(VLOOKUP($B10,MMWR_TRAD_AGG_RO_COMP[],I$1,0),"ERROR")</f>
        <v>406</v>
      </c>
      <c r="J10" s="219">
        <f t="shared" si="1"/>
        <v>0.20330495743615423</v>
      </c>
      <c r="K10" s="207">
        <f>IFERROR(VLOOKUP($B10,MMWR_TRAD_AGG_RO_COMP[],K$1,0),"ERROR")</f>
        <v>232</v>
      </c>
      <c r="L10" s="208">
        <f>IFERROR(VLOOKUP($B10,MMWR_TRAD_AGG_RO_COMP[],L$1,0),"ERROR")</f>
        <v>41</v>
      </c>
      <c r="M10" s="219">
        <f t="shared" si="2"/>
        <v>0.17672413793103448</v>
      </c>
      <c r="N10" s="207">
        <f>IFERROR(VLOOKUP($B10,MMWR_TRAD_AGG_RO_COMP[],N$1,0),"ERROR")</f>
        <v>476</v>
      </c>
      <c r="O10" s="208">
        <f>IFERROR(VLOOKUP($B10,MMWR_TRAD_AGG_RO_COMP[],O$1,0),"ERROR")</f>
        <v>303</v>
      </c>
      <c r="P10" s="219">
        <f t="shared" si="3"/>
        <v>0.63655462184873945</v>
      </c>
      <c r="Q10" s="204">
        <f>IFERROR(VLOOKUP($B10,MMWR_TRAD_AGG_RO_COMP[],Q$1,0),"ERROR")</f>
        <v>0</v>
      </c>
      <c r="R10" s="204">
        <f>IFERROR(VLOOKUP($B10,MMWR_TRAD_AGG_RO_COMP[],R$1,0),"ERROR")</f>
        <v>0</v>
      </c>
      <c r="S10" s="204">
        <f>IFERROR(VLOOKUP($B10,MMWR_APP_RO[],S$1,0),"ERROR")</f>
        <v>1754</v>
      </c>
      <c r="T10" s="25"/>
    </row>
    <row r="11" spans="1:20" x14ac:dyDescent="0.2">
      <c r="A11" s="107"/>
      <c r="B11" s="108" t="s">
        <v>47</v>
      </c>
      <c r="C11" s="212">
        <f>IFERROR(VLOOKUP($B11,MMWR_TRAD_AGG_RO_COMP[],C$1,0),"ERROR")</f>
        <v>1846</v>
      </c>
      <c r="D11" s="201">
        <f>IFERROR(VLOOKUP($B11,MMWR_TRAD_AGG_RO_COMP[],D$1,0),"ERROR")</f>
        <v>231.93391115930001</v>
      </c>
      <c r="E11" s="198">
        <f>IFERROR(VLOOKUP($B11,MMWR_TRAD_AGG_RO_COMP[],E$1,0),"ERROR")</f>
        <v>1859</v>
      </c>
      <c r="F11" s="194">
        <f>IFERROR(VLOOKUP($B11,MMWR_TRAD_AGG_RO_COMP[],F$1,0),"ERROR")</f>
        <v>475</v>
      </c>
      <c r="G11" s="219">
        <f t="shared" si="0"/>
        <v>0.25551371705217857</v>
      </c>
      <c r="H11" s="193">
        <f>IFERROR(VLOOKUP($B11,MMWR_TRAD_AGG_RO_COMP[],H$1,0),"ERROR")</f>
        <v>3469</v>
      </c>
      <c r="I11" s="194">
        <f>IFERROR(VLOOKUP($B11,MMWR_TRAD_AGG_RO_COMP[],I$1,0),"ERROR")</f>
        <v>1721</v>
      </c>
      <c r="J11" s="219">
        <f t="shared" si="1"/>
        <v>0.49610838858460654</v>
      </c>
      <c r="K11" s="207">
        <f>IFERROR(VLOOKUP($B11,MMWR_TRAD_AGG_RO_COMP[],K$1,0),"ERROR")</f>
        <v>375</v>
      </c>
      <c r="L11" s="208">
        <f>IFERROR(VLOOKUP($B11,MMWR_TRAD_AGG_RO_COMP[],L$1,0),"ERROR")</f>
        <v>300</v>
      </c>
      <c r="M11" s="219">
        <f t="shared" si="2"/>
        <v>0.8</v>
      </c>
      <c r="N11" s="207">
        <f>IFERROR(VLOOKUP($B11,MMWR_TRAD_AGG_RO_COMP[],N$1,0),"ERROR")</f>
        <v>713</v>
      </c>
      <c r="O11" s="208">
        <f>IFERROR(VLOOKUP($B11,MMWR_TRAD_AGG_RO_COMP[],O$1,0),"ERROR")</f>
        <v>488</v>
      </c>
      <c r="P11" s="219">
        <f t="shared" si="3"/>
        <v>0.68443197755960727</v>
      </c>
      <c r="Q11" s="204">
        <f>IFERROR(VLOOKUP($B11,MMWR_TRAD_AGG_RO_COMP[],Q$1,0),"ERROR")</f>
        <v>0</v>
      </c>
      <c r="R11" s="204">
        <f>IFERROR(VLOOKUP($B11,MMWR_TRAD_AGG_RO_COMP[],R$1,0),"ERROR")</f>
        <v>3</v>
      </c>
      <c r="S11" s="204">
        <f>IFERROR(VLOOKUP($B11,MMWR_APP_RO[],S$1,0),"ERROR")</f>
        <v>787</v>
      </c>
      <c r="T11" s="25"/>
    </row>
    <row r="12" spans="1:20" x14ac:dyDescent="0.2">
      <c r="A12" s="107"/>
      <c r="B12" s="108" t="s">
        <v>50</v>
      </c>
      <c r="C12" s="212">
        <f>IFERROR(VLOOKUP($B12,MMWR_TRAD_AGG_RO_COMP[],C$1,0),"ERROR")</f>
        <v>2207</v>
      </c>
      <c r="D12" s="201">
        <f>IFERROR(VLOOKUP($B12,MMWR_TRAD_AGG_RO_COMP[],D$1,0),"ERROR")</f>
        <v>217.55323969189999</v>
      </c>
      <c r="E12" s="198">
        <f>IFERROR(VLOOKUP($B12,MMWR_TRAD_AGG_RO_COMP[],E$1,0),"ERROR")</f>
        <v>2035</v>
      </c>
      <c r="F12" s="194">
        <f>IFERROR(VLOOKUP($B12,MMWR_TRAD_AGG_RO_COMP[],F$1,0),"ERROR")</f>
        <v>443</v>
      </c>
      <c r="G12" s="219">
        <f t="shared" si="0"/>
        <v>0.21769041769041769</v>
      </c>
      <c r="H12" s="193">
        <f>IFERROR(VLOOKUP($B12,MMWR_TRAD_AGG_RO_COMP[],H$1,0),"ERROR")</f>
        <v>3420</v>
      </c>
      <c r="I12" s="194">
        <f>IFERROR(VLOOKUP($B12,MMWR_TRAD_AGG_RO_COMP[],I$1,0),"ERROR")</f>
        <v>1767</v>
      </c>
      <c r="J12" s="219">
        <f t="shared" si="1"/>
        <v>0.51666666666666672</v>
      </c>
      <c r="K12" s="207">
        <f>IFERROR(VLOOKUP($B12,MMWR_TRAD_AGG_RO_COMP[],K$1,0),"ERROR")</f>
        <v>235</v>
      </c>
      <c r="L12" s="208">
        <f>IFERROR(VLOOKUP($B12,MMWR_TRAD_AGG_RO_COMP[],L$1,0),"ERROR")</f>
        <v>211</v>
      </c>
      <c r="M12" s="219">
        <f t="shared" si="2"/>
        <v>0.89787234042553188</v>
      </c>
      <c r="N12" s="207">
        <f>IFERROR(VLOOKUP($B12,MMWR_TRAD_AGG_RO_COMP[],N$1,0),"ERROR")</f>
        <v>1041</v>
      </c>
      <c r="O12" s="208">
        <f>IFERROR(VLOOKUP($B12,MMWR_TRAD_AGG_RO_COMP[],O$1,0),"ERROR")</f>
        <v>812</v>
      </c>
      <c r="P12" s="219">
        <f t="shared" si="3"/>
        <v>0.78001921229586935</v>
      </c>
      <c r="Q12" s="204">
        <f>IFERROR(VLOOKUP($B12,MMWR_TRAD_AGG_RO_COMP[],Q$1,0),"ERROR")</f>
        <v>2</v>
      </c>
      <c r="R12" s="204">
        <f>IFERROR(VLOOKUP($B12,MMWR_TRAD_AGG_RO_COMP[],R$1,0),"ERROR")</f>
        <v>17</v>
      </c>
      <c r="S12" s="204">
        <f>IFERROR(VLOOKUP($B12,MMWR_APP_RO[],S$1,0),"ERROR")</f>
        <v>2008</v>
      </c>
      <c r="T12" s="25"/>
    </row>
    <row r="13" spans="1:20" x14ac:dyDescent="0.2">
      <c r="A13" s="107"/>
      <c r="B13" s="108" t="s">
        <v>57</v>
      </c>
      <c r="C13" s="212">
        <f>IFERROR(VLOOKUP($B13,MMWR_TRAD_AGG_RO_COMP[],C$1,0),"ERROR")</f>
        <v>1781</v>
      </c>
      <c r="D13" s="201">
        <f>IFERROR(VLOOKUP($B13,MMWR_TRAD_AGG_RO_COMP[],D$1,0),"ERROR")</f>
        <v>375.7574396407</v>
      </c>
      <c r="E13" s="198">
        <f>IFERROR(VLOOKUP($B13,MMWR_TRAD_AGG_RO_COMP[],E$1,0),"ERROR")</f>
        <v>1131</v>
      </c>
      <c r="F13" s="194">
        <f>IFERROR(VLOOKUP($B13,MMWR_TRAD_AGG_RO_COMP[],F$1,0),"ERROR")</f>
        <v>261</v>
      </c>
      <c r="G13" s="219">
        <f t="shared" si="0"/>
        <v>0.23076923076923078</v>
      </c>
      <c r="H13" s="193">
        <f>IFERROR(VLOOKUP($B13,MMWR_TRAD_AGG_RO_COMP[],H$1,0),"ERROR")</f>
        <v>2176</v>
      </c>
      <c r="I13" s="194">
        <f>IFERROR(VLOOKUP($B13,MMWR_TRAD_AGG_RO_COMP[],I$1,0),"ERROR")</f>
        <v>1469</v>
      </c>
      <c r="J13" s="219">
        <f t="shared" si="1"/>
        <v>0.67509191176470584</v>
      </c>
      <c r="K13" s="207">
        <f>IFERROR(VLOOKUP($B13,MMWR_TRAD_AGG_RO_COMP[],K$1,0),"ERROR")</f>
        <v>561</v>
      </c>
      <c r="L13" s="208">
        <f>IFERROR(VLOOKUP($B13,MMWR_TRAD_AGG_RO_COMP[],L$1,0),"ERROR")</f>
        <v>540</v>
      </c>
      <c r="M13" s="219">
        <f t="shared" si="2"/>
        <v>0.96256684491978606</v>
      </c>
      <c r="N13" s="207">
        <f>IFERROR(VLOOKUP($B13,MMWR_TRAD_AGG_RO_COMP[],N$1,0),"ERROR")</f>
        <v>139</v>
      </c>
      <c r="O13" s="208">
        <f>IFERROR(VLOOKUP($B13,MMWR_TRAD_AGG_RO_COMP[],O$1,0),"ERROR")</f>
        <v>85</v>
      </c>
      <c r="P13" s="219">
        <f t="shared" si="3"/>
        <v>0.61151079136690645</v>
      </c>
      <c r="Q13" s="204">
        <f>IFERROR(VLOOKUP($B13,MMWR_TRAD_AGG_RO_COMP[],Q$1,0),"ERROR")</f>
        <v>0</v>
      </c>
      <c r="R13" s="204">
        <f>IFERROR(VLOOKUP($B13,MMWR_TRAD_AGG_RO_COMP[],R$1,0),"ERROR")</f>
        <v>1</v>
      </c>
      <c r="S13" s="204">
        <f>IFERROR(VLOOKUP($B13,MMWR_APP_RO[],S$1,0),"ERROR")</f>
        <v>638</v>
      </c>
      <c r="T13" s="25"/>
    </row>
    <row r="14" spans="1:20" x14ac:dyDescent="0.2">
      <c r="A14" s="107"/>
      <c r="B14" s="108" t="s">
        <v>63</v>
      </c>
      <c r="C14" s="212">
        <f>IFERROR(VLOOKUP($B14,MMWR_TRAD_AGG_RO_COMP[],C$1,0),"ERROR")</f>
        <v>3212</v>
      </c>
      <c r="D14" s="201">
        <f>IFERROR(VLOOKUP($B14,MMWR_TRAD_AGG_RO_COMP[],D$1,0),"ERROR")</f>
        <v>269.64321295140002</v>
      </c>
      <c r="E14" s="198">
        <f>IFERROR(VLOOKUP($B14,MMWR_TRAD_AGG_RO_COMP[],E$1,0),"ERROR")</f>
        <v>4631</v>
      </c>
      <c r="F14" s="194">
        <f>IFERROR(VLOOKUP($B14,MMWR_TRAD_AGG_RO_COMP[],F$1,0),"ERROR")</f>
        <v>1380</v>
      </c>
      <c r="G14" s="219">
        <f t="shared" si="0"/>
        <v>0.29799179442884904</v>
      </c>
      <c r="H14" s="193">
        <f>IFERROR(VLOOKUP($B14,MMWR_TRAD_AGG_RO_COMP[],H$1,0),"ERROR")</f>
        <v>4932</v>
      </c>
      <c r="I14" s="194">
        <f>IFERROR(VLOOKUP($B14,MMWR_TRAD_AGG_RO_COMP[],I$1,0),"ERROR")</f>
        <v>2672</v>
      </c>
      <c r="J14" s="219">
        <f t="shared" si="1"/>
        <v>0.54176804541768042</v>
      </c>
      <c r="K14" s="207">
        <f>IFERROR(VLOOKUP($B14,MMWR_TRAD_AGG_RO_COMP[],K$1,0),"ERROR")</f>
        <v>1726</v>
      </c>
      <c r="L14" s="208">
        <f>IFERROR(VLOOKUP($B14,MMWR_TRAD_AGG_RO_COMP[],L$1,0),"ERROR")</f>
        <v>1137</v>
      </c>
      <c r="M14" s="219">
        <f t="shared" si="2"/>
        <v>0.65874855156431056</v>
      </c>
      <c r="N14" s="207">
        <f>IFERROR(VLOOKUP($B14,MMWR_TRAD_AGG_RO_COMP[],N$1,0),"ERROR")</f>
        <v>298</v>
      </c>
      <c r="O14" s="208">
        <f>IFERROR(VLOOKUP($B14,MMWR_TRAD_AGG_RO_COMP[],O$1,0),"ERROR")</f>
        <v>214</v>
      </c>
      <c r="P14" s="219">
        <f t="shared" si="3"/>
        <v>0.71812080536912748</v>
      </c>
      <c r="Q14" s="204">
        <f>IFERROR(VLOOKUP($B14,MMWR_TRAD_AGG_RO_COMP[],Q$1,0),"ERROR")</f>
        <v>0</v>
      </c>
      <c r="R14" s="204">
        <f>IFERROR(VLOOKUP($B14,MMWR_TRAD_AGG_RO_COMP[],R$1,0),"ERROR")</f>
        <v>11</v>
      </c>
      <c r="S14" s="204">
        <f>IFERROR(VLOOKUP($B14,MMWR_APP_RO[],S$1,0),"ERROR")</f>
        <v>3385</v>
      </c>
      <c r="T14" s="25"/>
    </row>
    <row r="15" spans="1:20" x14ac:dyDescent="0.2">
      <c r="A15" s="107"/>
      <c r="B15" s="108" t="s">
        <v>64</v>
      </c>
      <c r="C15" s="212">
        <f>IFERROR(VLOOKUP($B15,MMWR_TRAD_AGG_RO_COMP[],C$1,0),"ERROR")</f>
        <v>861</v>
      </c>
      <c r="D15" s="201">
        <f>IFERROR(VLOOKUP($B15,MMWR_TRAD_AGG_RO_COMP[],D$1,0),"ERROR")</f>
        <v>102.6655052265</v>
      </c>
      <c r="E15" s="198">
        <f>IFERROR(VLOOKUP($B15,MMWR_TRAD_AGG_RO_COMP[],E$1,0),"ERROR")</f>
        <v>2590</v>
      </c>
      <c r="F15" s="194">
        <f>IFERROR(VLOOKUP($B15,MMWR_TRAD_AGG_RO_COMP[],F$1,0),"ERROR")</f>
        <v>716</v>
      </c>
      <c r="G15" s="219">
        <f t="shared" si="0"/>
        <v>0.27644787644787644</v>
      </c>
      <c r="H15" s="193">
        <f>IFERROR(VLOOKUP($B15,MMWR_TRAD_AGG_RO_COMP[],H$1,0),"ERROR")</f>
        <v>1663</v>
      </c>
      <c r="I15" s="194">
        <f>IFERROR(VLOOKUP($B15,MMWR_TRAD_AGG_RO_COMP[],I$1,0),"ERROR")</f>
        <v>472</v>
      </c>
      <c r="J15" s="219">
        <f t="shared" si="1"/>
        <v>0.28382441371016237</v>
      </c>
      <c r="K15" s="207">
        <f>IFERROR(VLOOKUP($B15,MMWR_TRAD_AGG_RO_COMP[],K$1,0),"ERROR")</f>
        <v>548</v>
      </c>
      <c r="L15" s="208">
        <f>IFERROR(VLOOKUP($B15,MMWR_TRAD_AGG_RO_COMP[],L$1,0),"ERROR")</f>
        <v>195</v>
      </c>
      <c r="M15" s="219">
        <f t="shared" si="2"/>
        <v>0.35583941605839414</v>
      </c>
      <c r="N15" s="207">
        <f>IFERROR(VLOOKUP($B15,MMWR_TRAD_AGG_RO_COMP[],N$1,0),"ERROR")</f>
        <v>2613</v>
      </c>
      <c r="O15" s="208">
        <f>IFERROR(VLOOKUP($B15,MMWR_TRAD_AGG_RO_COMP[],O$1,0),"ERROR")</f>
        <v>1332</v>
      </c>
      <c r="P15" s="219">
        <f t="shared" si="3"/>
        <v>0.50975889781859929</v>
      </c>
      <c r="Q15" s="204">
        <f>IFERROR(VLOOKUP($B15,MMWR_TRAD_AGG_RO_COMP[],Q$1,0),"ERROR")</f>
        <v>0</v>
      </c>
      <c r="R15" s="204">
        <f>IFERROR(VLOOKUP($B15,MMWR_TRAD_AGG_RO_COMP[],R$1,0),"ERROR")</f>
        <v>2</v>
      </c>
      <c r="S15" s="204">
        <f>IFERROR(VLOOKUP($B15,MMWR_APP_RO[],S$1,0),"ERROR")</f>
        <v>2661</v>
      </c>
      <c r="T15" s="25"/>
    </row>
    <row r="16" spans="1:20" x14ac:dyDescent="0.2">
      <c r="A16" s="107"/>
      <c r="B16" s="108" t="s">
        <v>66</v>
      </c>
      <c r="C16" s="212">
        <f>IFERROR(VLOOKUP($B16,MMWR_TRAD_AGG_RO_COMP[],C$1,0),"ERROR")</f>
        <v>5452</v>
      </c>
      <c r="D16" s="201">
        <f>IFERROR(VLOOKUP($B16,MMWR_TRAD_AGG_RO_COMP[],D$1,0),"ERROR")</f>
        <v>403.8407923698</v>
      </c>
      <c r="E16" s="198">
        <f>IFERROR(VLOOKUP($B16,MMWR_TRAD_AGG_RO_COMP[],E$1,0),"ERROR")</f>
        <v>9989</v>
      </c>
      <c r="F16" s="194">
        <f>IFERROR(VLOOKUP($B16,MMWR_TRAD_AGG_RO_COMP[],F$1,0),"ERROR")</f>
        <v>3386</v>
      </c>
      <c r="G16" s="219">
        <f t="shared" si="0"/>
        <v>0.33897287015717287</v>
      </c>
      <c r="H16" s="193">
        <f>IFERROR(VLOOKUP($B16,MMWR_TRAD_AGG_RO_COMP[],H$1,0),"ERROR")</f>
        <v>8428</v>
      </c>
      <c r="I16" s="194">
        <f>IFERROR(VLOOKUP($B16,MMWR_TRAD_AGG_RO_COMP[],I$1,0),"ERROR")</f>
        <v>5413</v>
      </c>
      <c r="J16" s="219">
        <f t="shared" si="1"/>
        <v>0.64226388229710485</v>
      </c>
      <c r="K16" s="207">
        <f>IFERROR(VLOOKUP($B16,MMWR_TRAD_AGG_RO_COMP[],K$1,0),"ERROR")</f>
        <v>1804</v>
      </c>
      <c r="L16" s="208">
        <f>IFERROR(VLOOKUP($B16,MMWR_TRAD_AGG_RO_COMP[],L$1,0),"ERROR")</f>
        <v>604</v>
      </c>
      <c r="M16" s="219">
        <f t="shared" si="2"/>
        <v>0.33481152993348118</v>
      </c>
      <c r="N16" s="207">
        <f>IFERROR(VLOOKUP($B16,MMWR_TRAD_AGG_RO_COMP[],N$1,0),"ERROR")</f>
        <v>7521</v>
      </c>
      <c r="O16" s="208">
        <f>IFERROR(VLOOKUP($B16,MMWR_TRAD_AGG_RO_COMP[],O$1,0),"ERROR")</f>
        <v>4082</v>
      </c>
      <c r="P16" s="219">
        <f t="shared" si="3"/>
        <v>0.54274697513628511</v>
      </c>
      <c r="Q16" s="204">
        <f>IFERROR(VLOOKUP($B16,MMWR_TRAD_AGG_RO_COMP[],Q$1,0),"ERROR")</f>
        <v>8354</v>
      </c>
      <c r="R16" s="204">
        <f>IFERROR(VLOOKUP($B16,MMWR_TRAD_AGG_RO_COMP[],R$1,0),"ERROR")</f>
        <v>0</v>
      </c>
      <c r="S16" s="204">
        <f>IFERROR(VLOOKUP($B16,MMWR_APP_RO[],S$1,0),"ERROR")</f>
        <v>4891</v>
      </c>
      <c r="T16" s="25"/>
    </row>
    <row r="17" spans="1:20" x14ac:dyDescent="0.2">
      <c r="A17" s="107"/>
      <c r="B17" s="108" t="s">
        <v>68</v>
      </c>
      <c r="C17" s="212">
        <f>IFERROR(VLOOKUP($B17,MMWR_TRAD_AGG_RO_COMP[],C$1,0),"ERROR")</f>
        <v>4085</v>
      </c>
      <c r="D17" s="201">
        <f>IFERROR(VLOOKUP($B17,MMWR_TRAD_AGG_RO_COMP[],D$1,0),"ERROR")</f>
        <v>463.28176254589999</v>
      </c>
      <c r="E17" s="198">
        <f>IFERROR(VLOOKUP($B17,MMWR_TRAD_AGG_RO_COMP[],E$1,0),"ERROR")</f>
        <v>4833</v>
      </c>
      <c r="F17" s="194">
        <f>IFERROR(VLOOKUP($B17,MMWR_TRAD_AGG_RO_COMP[],F$1,0),"ERROR")</f>
        <v>1657</v>
      </c>
      <c r="G17" s="219">
        <f t="shared" si="0"/>
        <v>0.34285123111938753</v>
      </c>
      <c r="H17" s="193">
        <f>IFERROR(VLOOKUP($B17,MMWR_TRAD_AGG_RO_COMP[],H$1,0),"ERROR")</f>
        <v>5569</v>
      </c>
      <c r="I17" s="194">
        <f>IFERROR(VLOOKUP($B17,MMWR_TRAD_AGG_RO_COMP[],I$1,0),"ERROR")</f>
        <v>4267</v>
      </c>
      <c r="J17" s="219">
        <f t="shared" si="1"/>
        <v>0.76620578200754175</v>
      </c>
      <c r="K17" s="207">
        <f>IFERROR(VLOOKUP($B17,MMWR_TRAD_AGG_RO_COMP[],K$1,0),"ERROR")</f>
        <v>575</v>
      </c>
      <c r="L17" s="208">
        <f>IFERROR(VLOOKUP($B17,MMWR_TRAD_AGG_RO_COMP[],L$1,0),"ERROR")</f>
        <v>506</v>
      </c>
      <c r="M17" s="219">
        <f t="shared" si="2"/>
        <v>0.88</v>
      </c>
      <c r="N17" s="207">
        <f>IFERROR(VLOOKUP($B17,MMWR_TRAD_AGG_RO_COMP[],N$1,0),"ERROR")</f>
        <v>1109</v>
      </c>
      <c r="O17" s="208">
        <f>IFERROR(VLOOKUP($B17,MMWR_TRAD_AGG_RO_COMP[],O$1,0),"ERROR")</f>
        <v>821</v>
      </c>
      <c r="P17" s="219">
        <f t="shared" si="3"/>
        <v>0.74030658250676284</v>
      </c>
      <c r="Q17" s="204">
        <f>IFERROR(VLOOKUP($B17,MMWR_TRAD_AGG_RO_COMP[],Q$1,0),"ERROR")</f>
        <v>0</v>
      </c>
      <c r="R17" s="204">
        <f>IFERROR(VLOOKUP($B17,MMWR_TRAD_AGG_RO_COMP[],R$1,0),"ERROR")</f>
        <v>3</v>
      </c>
      <c r="S17" s="204">
        <f>IFERROR(VLOOKUP($B17,MMWR_APP_RO[],S$1,0),"ERROR")</f>
        <v>4800</v>
      </c>
      <c r="T17" s="25"/>
    </row>
    <row r="18" spans="1:20" x14ac:dyDescent="0.2">
      <c r="A18" s="107"/>
      <c r="B18" s="108" t="s">
        <v>70</v>
      </c>
      <c r="C18" s="212">
        <f>IFERROR(VLOOKUP($B18,MMWR_TRAD_AGG_RO_COMP[],C$1,0),"ERROR")</f>
        <v>784</v>
      </c>
      <c r="D18" s="201">
        <f>IFERROR(VLOOKUP($B18,MMWR_TRAD_AGG_RO_COMP[],D$1,0),"ERROR")</f>
        <v>145.0612244898</v>
      </c>
      <c r="E18" s="198">
        <f>IFERROR(VLOOKUP($B18,MMWR_TRAD_AGG_RO_COMP[],E$1,0),"ERROR")</f>
        <v>1911</v>
      </c>
      <c r="F18" s="194">
        <f>IFERROR(VLOOKUP($B18,MMWR_TRAD_AGG_RO_COMP[],F$1,0),"ERROR")</f>
        <v>533</v>
      </c>
      <c r="G18" s="219">
        <f t="shared" si="0"/>
        <v>0.27891156462585032</v>
      </c>
      <c r="H18" s="193">
        <f>IFERROR(VLOOKUP($B18,MMWR_TRAD_AGG_RO_COMP[],H$1,0),"ERROR")</f>
        <v>3048</v>
      </c>
      <c r="I18" s="194">
        <f>IFERROR(VLOOKUP($B18,MMWR_TRAD_AGG_RO_COMP[],I$1,0),"ERROR")</f>
        <v>615</v>
      </c>
      <c r="J18" s="219">
        <f t="shared" si="1"/>
        <v>0.20177165354330709</v>
      </c>
      <c r="K18" s="207">
        <f>IFERROR(VLOOKUP($B18,MMWR_TRAD_AGG_RO_COMP[],K$1,0),"ERROR")</f>
        <v>1307</v>
      </c>
      <c r="L18" s="208">
        <f>IFERROR(VLOOKUP($B18,MMWR_TRAD_AGG_RO_COMP[],L$1,0),"ERROR")</f>
        <v>269</v>
      </c>
      <c r="M18" s="219">
        <f t="shared" si="2"/>
        <v>0.20581484315225707</v>
      </c>
      <c r="N18" s="207">
        <f>IFERROR(VLOOKUP($B18,MMWR_TRAD_AGG_RO_COMP[],N$1,0),"ERROR")</f>
        <v>230</v>
      </c>
      <c r="O18" s="208">
        <f>IFERROR(VLOOKUP($B18,MMWR_TRAD_AGG_RO_COMP[],O$1,0),"ERROR")</f>
        <v>110</v>
      </c>
      <c r="P18" s="219">
        <f t="shared" si="3"/>
        <v>0.47826086956521741</v>
      </c>
      <c r="Q18" s="204">
        <f>IFERROR(VLOOKUP($B18,MMWR_TRAD_AGG_RO_COMP[],Q$1,0),"ERROR")</f>
        <v>0</v>
      </c>
      <c r="R18" s="204">
        <f>IFERROR(VLOOKUP($B18,MMWR_TRAD_AGG_RO_COMP[],R$1,0),"ERROR")</f>
        <v>4</v>
      </c>
      <c r="S18" s="204">
        <f>IFERROR(VLOOKUP($B18,MMWR_APP_RO[],S$1,0),"ERROR")</f>
        <v>479</v>
      </c>
      <c r="T18" s="25"/>
    </row>
    <row r="19" spans="1:20" x14ac:dyDescent="0.2">
      <c r="A19" s="107"/>
      <c r="B19" s="108" t="s">
        <v>72</v>
      </c>
      <c r="C19" s="212">
        <f>IFERROR(VLOOKUP($B19,MMWR_TRAD_AGG_RO_COMP[],C$1,0),"ERROR")</f>
        <v>14143</v>
      </c>
      <c r="D19" s="201">
        <f>IFERROR(VLOOKUP($B19,MMWR_TRAD_AGG_RO_COMP[],D$1,0),"ERROR")</f>
        <v>542.11652407550002</v>
      </c>
      <c r="E19" s="198">
        <f>IFERROR(VLOOKUP($B19,MMWR_TRAD_AGG_RO_COMP[],E$1,0),"ERROR")</f>
        <v>11299</v>
      </c>
      <c r="F19" s="194">
        <f>IFERROR(VLOOKUP($B19,MMWR_TRAD_AGG_RO_COMP[],F$1,0),"ERROR")</f>
        <v>2960</v>
      </c>
      <c r="G19" s="219">
        <f t="shared" si="0"/>
        <v>0.26197008584830517</v>
      </c>
      <c r="H19" s="193">
        <f>IFERROR(VLOOKUP($B19,MMWR_TRAD_AGG_RO_COMP[],H$1,0),"ERROR")</f>
        <v>16554</v>
      </c>
      <c r="I19" s="194">
        <f>IFERROR(VLOOKUP($B19,MMWR_TRAD_AGG_RO_COMP[],I$1,0),"ERROR")</f>
        <v>11029</v>
      </c>
      <c r="J19" s="219">
        <f t="shared" si="1"/>
        <v>0.66624380814304696</v>
      </c>
      <c r="K19" s="207">
        <f>IFERROR(VLOOKUP($B19,MMWR_TRAD_AGG_RO_COMP[],K$1,0),"ERROR")</f>
        <v>4365</v>
      </c>
      <c r="L19" s="208">
        <f>IFERROR(VLOOKUP($B19,MMWR_TRAD_AGG_RO_COMP[],L$1,0),"ERROR")</f>
        <v>4046</v>
      </c>
      <c r="M19" s="219">
        <f t="shared" si="2"/>
        <v>0.92691867124856819</v>
      </c>
      <c r="N19" s="207">
        <f>IFERROR(VLOOKUP($B19,MMWR_TRAD_AGG_RO_COMP[],N$1,0),"ERROR")</f>
        <v>5075</v>
      </c>
      <c r="O19" s="208">
        <f>IFERROR(VLOOKUP($B19,MMWR_TRAD_AGG_RO_COMP[],O$1,0),"ERROR")</f>
        <v>4229</v>
      </c>
      <c r="P19" s="219">
        <f t="shared" si="3"/>
        <v>0.83330049261083738</v>
      </c>
      <c r="Q19" s="204">
        <f>IFERROR(VLOOKUP($B19,MMWR_TRAD_AGG_RO_COMP[],Q$1,0),"ERROR")</f>
        <v>6</v>
      </c>
      <c r="R19" s="204">
        <f>IFERROR(VLOOKUP($B19,MMWR_TRAD_AGG_RO_COMP[],R$1,0),"ERROR")</f>
        <v>23</v>
      </c>
      <c r="S19" s="204">
        <f>IFERROR(VLOOKUP($B19,MMWR_APP_RO[],S$1,0),"ERROR")</f>
        <v>14012</v>
      </c>
      <c r="T19" s="25"/>
    </row>
    <row r="20" spans="1:20" x14ac:dyDescent="0.2">
      <c r="A20" s="107"/>
      <c r="B20" s="108" t="s">
        <v>81</v>
      </c>
      <c r="C20" s="212">
        <f>IFERROR(VLOOKUP($B20,MMWR_TRAD_AGG_RO_COMP[],C$1,0),"ERROR")</f>
        <v>1532</v>
      </c>
      <c r="D20" s="201">
        <f>IFERROR(VLOOKUP($B20,MMWR_TRAD_AGG_RO_COMP[],D$1,0),"ERROR")</f>
        <v>228.02349869450001</v>
      </c>
      <c r="E20" s="198">
        <f>IFERROR(VLOOKUP($B20,MMWR_TRAD_AGG_RO_COMP[],E$1,0),"ERROR")</f>
        <v>1233</v>
      </c>
      <c r="F20" s="194">
        <f>IFERROR(VLOOKUP($B20,MMWR_TRAD_AGG_RO_COMP[],F$1,0),"ERROR")</f>
        <v>186</v>
      </c>
      <c r="G20" s="219">
        <f t="shared" si="0"/>
        <v>0.15085158150851583</v>
      </c>
      <c r="H20" s="193">
        <f>IFERROR(VLOOKUP($B20,MMWR_TRAD_AGG_RO_COMP[],H$1,0),"ERROR")</f>
        <v>2290</v>
      </c>
      <c r="I20" s="194">
        <f>IFERROR(VLOOKUP($B20,MMWR_TRAD_AGG_RO_COMP[],I$1,0),"ERROR")</f>
        <v>1053</v>
      </c>
      <c r="J20" s="219">
        <f t="shared" si="1"/>
        <v>0.45982532751091704</v>
      </c>
      <c r="K20" s="207">
        <f>IFERROR(VLOOKUP($B20,MMWR_TRAD_AGG_RO_COMP[],K$1,0),"ERROR")</f>
        <v>967</v>
      </c>
      <c r="L20" s="208">
        <f>IFERROR(VLOOKUP($B20,MMWR_TRAD_AGG_RO_COMP[],L$1,0),"ERROR")</f>
        <v>552</v>
      </c>
      <c r="M20" s="219">
        <f t="shared" si="2"/>
        <v>0.57083764219234745</v>
      </c>
      <c r="N20" s="207">
        <f>IFERROR(VLOOKUP($B20,MMWR_TRAD_AGG_RO_COMP[],N$1,0),"ERROR")</f>
        <v>926</v>
      </c>
      <c r="O20" s="208">
        <f>IFERROR(VLOOKUP($B20,MMWR_TRAD_AGG_RO_COMP[],O$1,0),"ERROR")</f>
        <v>852</v>
      </c>
      <c r="P20" s="219">
        <f t="shared" si="3"/>
        <v>0.92008639308855289</v>
      </c>
      <c r="Q20" s="204">
        <f>IFERROR(VLOOKUP($B20,MMWR_TRAD_AGG_RO_COMP[],Q$1,0),"ERROR")</f>
        <v>0</v>
      </c>
      <c r="R20" s="204">
        <f>IFERROR(VLOOKUP($B20,MMWR_TRAD_AGG_RO_COMP[],R$1,0),"ERROR")</f>
        <v>0</v>
      </c>
      <c r="S20" s="204">
        <f>IFERROR(VLOOKUP($B20,MMWR_APP_RO[],S$1,0),"ERROR")</f>
        <v>352</v>
      </c>
      <c r="T20" s="25"/>
    </row>
    <row r="21" spans="1:20" x14ac:dyDescent="0.2">
      <c r="A21" s="107"/>
      <c r="B21" s="108" t="s">
        <v>440</v>
      </c>
      <c r="C21" s="212">
        <f>IFERROR(VLOOKUP($B21,MMWR_TRAD_AGG_RO_COMP[],C$1,0),"ERROR")</f>
        <v>38142</v>
      </c>
      <c r="D21" s="201">
        <f>IFERROR(VLOOKUP($B21,MMWR_TRAD_AGG_RO_COMP[],D$1,0),"ERROR")</f>
        <v>445.39746211530002</v>
      </c>
      <c r="E21" s="198">
        <f>IFERROR(VLOOKUP($B21,MMWR_TRAD_AGG_RO_COMP[],E$1,0),"ERROR")</f>
        <v>809</v>
      </c>
      <c r="F21" s="194">
        <f>IFERROR(VLOOKUP($B21,MMWR_TRAD_AGG_RO_COMP[],F$1,0),"ERROR")</f>
        <v>342</v>
      </c>
      <c r="G21" s="219">
        <f t="shared" si="0"/>
        <v>0.42274412855377008</v>
      </c>
      <c r="H21" s="193">
        <f>IFERROR(VLOOKUP($B21,MMWR_TRAD_AGG_RO_COMP[],H$1,0),"ERROR")</f>
        <v>38683</v>
      </c>
      <c r="I21" s="194">
        <f>IFERROR(VLOOKUP($B21,MMWR_TRAD_AGG_RO_COMP[],I$1,0),"ERROR")</f>
        <v>37195</v>
      </c>
      <c r="J21" s="219">
        <f t="shared" si="1"/>
        <v>0.96153349016363776</v>
      </c>
      <c r="K21" s="207">
        <f>IFERROR(VLOOKUP($B21,MMWR_TRAD_AGG_RO_COMP[],K$1,0),"ERROR")</f>
        <v>120</v>
      </c>
      <c r="L21" s="208">
        <f>IFERROR(VLOOKUP($B21,MMWR_TRAD_AGG_RO_COMP[],L$1,0),"ERROR")</f>
        <v>111</v>
      </c>
      <c r="M21" s="219">
        <f t="shared" si="2"/>
        <v>0.92500000000000004</v>
      </c>
      <c r="N21" s="207">
        <f>IFERROR(VLOOKUP($B21,MMWR_TRAD_AGG_RO_COMP[],N$1,0),"ERROR")</f>
        <v>1648</v>
      </c>
      <c r="O21" s="208">
        <f>IFERROR(VLOOKUP($B21,MMWR_TRAD_AGG_RO_COMP[],O$1,0),"ERROR")</f>
        <v>1481</v>
      </c>
      <c r="P21" s="219">
        <f t="shared" si="3"/>
        <v>0.89866504854368934</v>
      </c>
      <c r="Q21" s="204">
        <f>IFERROR(VLOOKUP($B21,MMWR_TRAD_AGG_RO_COMP[],Q$1,0),"ERROR")</f>
        <v>0</v>
      </c>
      <c r="R21" s="204">
        <f>IFERROR(VLOOKUP($B21,MMWR_TRAD_AGG_RO_COMP[],R$1,0),"ERROR")</f>
        <v>2</v>
      </c>
      <c r="S21" s="204">
        <f>IFERROR(VLOOKUP($B21,MMWR_APP_RO[],S$1,0),"ERROR")</f>
        <v>8</v>
      </c>
      <c r="T21" s="25"/>
    </row>
    <row r="22" spans="1:20" x14ac:dyDescent="0.2">
      <c r="A22" s="107"/>
      <c r="B22" s="108" t="s">
        <v>141</v>
      </c>
      <c r="C22" s="212">
        <f>IFERROR(VLOOKUP($B22,MMWR_TRAD_AGG_RO_COMP[],C$1,0),"ERROR")</f>
        <v>467</v>
      </c>
      <c r="D22" s="201">
        <f>IFERROR(VLOOKUP($B22,MMWR_TRAD_AGG_RO_COMP[],D$1,0),"ERROR")</f>
        <v>332.74732334049997</v>
      </c>
      <c r="E22" s="198">
        <f>IFERROR(VLOOKUP($B22,MMWR_TRAD_AGG_RO_COMP[],E$1,0),"ERROR")</f>
        <v>374</v>
      </c>
      <c r="F22" s="194">
        <f>IFERROR(VLOOKUP($B22,MMWR_TRAD_AGG_RO_COMP[],F$1,0),"ERROR")</f>
        <v>123</v>
      </c>
      <c r="G22" s="219">
        <f t="shared" si="0"/>
        <v>0.32887700534759357</v>
      </c>
      <c r="H22" s="193">
        <f>IFERROR(VLOOKUP($B22,MMWR_TRAD_AGG_RO_COMP[],H$1,0),"ERROR")</f>
        <v>656</v>
      </c>
      <c r="I22" s="194">
        <f>IFERROR(VLOOKUP($B22,MMWR_TRAD_AGG_RO_COMP[],I$1,0),"ERROR")</f>
        <v>434</v>
      </c>
      <c r="J22" s="219">
        <f t="shared" si="1"/>
        <v>0.66158536585365857</v>
      </c>
      <c r="K22" s="207">
        <f>IFERROR(VLOOKUP($B22,MMWR_TRAD_AGG_RO_COMP[],K$1,0),"ERROR")</f>
        <v>75</v>
      </c>
      <c r="L22" s="208">
        <f>IFERROR(VLOOKUP($B22,MMWR_TRAD_AGG_RO_COMP[],L$1,0),"ERROR")</f>
        <v>66</v>
      </c>
      <c r="M22" s="219">
        <f t="shared" si="2"/>
        <v>0.88</v>
      </c>
      <c r="N22" s="207">
        <f>IFERROR(VLOOKUP($B22,MMWR_TRAD_AGG_RO_COMP[],N$1,0),"ERROR")</f>
        <v>96</v>
      </c>
      <c r="O22" s="208">
        <f>IFERROR(VLOOKUP($B22,MMWR_TRAD_AGG_RO_COMP[],O$1,0),"ERROR")</f>
        <v>77</v>
      </c>
      <c r="P22" s="219">
        <f t="shared" si="3"/>
        <v>0.80208333333333337</v>
      </c>
      <c r="Q22" s="204">
        <f>IFERROR(VLOOKUP($B22,MMWR_TRAD_AGG_RO_COMP[],Q$1,0),"ERROR")</f>
        <v>0</v>
      </c>
      <c r="R22" s="204">
        <f>IFERROR(VLOOKUP($B22,MMWR_TRAD_AGG_RO_COMP[],R$1,0),"ERROR")</f>
        <v>1</v>
      </c>
      <c r="S22" s="204">
        <f>IFERROR(VLOOKUP($B22,MMWR_APP_RO[],S$1,0),"ERROR")</f>
        <v>198</v>
      </c>
      <c r="T22" s="25"/>
    </row>
    <row r="23" spans="1:20" x14ac:dyDescent="0.2">
      <c r="A23" s="107"/>
      <c r="B23" s="108" t="s">
        <v>85</v>
      </c>
      <c r="C23" s="212">
        <f>IFERROR(VLOOKUP($B23,MMWR_TRAD_AGG_RO_COMP[],C$1,0),"ERROR")</f>
        <v>825</v>
      </c>
      <c r="D23" s="201">
        <f>IFERROR(VLOOKUP($B23,MMWR_TRAD_AGG_RO_COMP[],D$1,0),"ERROR")</f>
        <v>323.73575757579999</v>
      </c>
      <c r="E23" s="198">
        <f>IFERROR(VLOOKUP($B23,MMWR_TRAD_AGG_RO_COMP[],E$1,0),"ERROR")</f>
        <v>897</v>
      </c>
      <c r="F23" s="194">
        <f>IFERROR(VLOOKUP($B23,MMWR_TRAD_AGG_RO_COMP[],F$1,0),"ERROR")</f>
        <v>294</v>
      </c>
      <c r="G23" s="219">
        <f t="shared" si="0"/>
        <v>0.32775919732441472</v>
      </c>
      <c r="H23" s="193">
        <f>IFERROR(VLOOKUP($B23,MMWR_TRAD_AGG_RO_COMP[],H$1,0),"ERROR")</f>
        <v>889</v>
      </c>
      <c r="I23" s="194">
        <f>IFERROR(VLOOKUP($B23,MMWR_TRAD_AGG_RO_COMP[],I$1,0),"ERROR")</f>
        <v>424</v>
      </c>
      <c r="J23" s="219">
        <f t="shared" si="1"/>
        <v>0.4769403824521935</v>
      </c>
      <c r="K23" s="207">
        <f>IFERROR(VLOOKUP($B23,MMWR_TRAD_AGG_RO_COMP[],K$1,0),"ERROR")</f>
        <v>9</v>
      </c>
      <c r="L23" s="208">
        <f>IFERROR(VLOOKUP($B23,MMWR_TRAD_AGG_RO_COMP[],L$1,0),"ERROR")</f>
        <v>8</v>
      </c>
      <c r="M23" s="219">
        <f t="shared" si="2"/>
        <v>0.88888888888888884</v>
      </c>
      <c r="N23" s="207">
        <f>IFERROR(VLOOKUP($B23,MMWR_TRAD_AGG_RO_COMP[],N$1,0),"ERROR")</f>
        <v>353</v>
      </c>
      <c r="O23" s="208">
        <f>IFERROR(VLOOKUP($B23,MMWR_TRAD_AGG_RO_COMP[],O$1,0),"ERROR")</f>
        <v>133</v>
      </c>
      <c r="P23" s="219">
        <f t="shared" si="3"/>
        <v>0.37677053824362605</v>
      </c>
      <c r="Q23" s="204">
        <f>IFERROR(VLOOKUP($B23,MMWR_TRAD_AGG_RO_COMP[],Q$1,0),"ERROR")</f>
        <v>0</v>
      </c>
      <c r="R23" s="204">
        <f>IFERROR(VLOOKUP($B23,MMWR_TRAD_AGG_RO_COMP[],R$1,0),"ERROR")</f>
        <v>0</v>
      </c>
      <c r="S23" s="204">
        <f>IFERROR(VLOOKUP($B23,MMWR_APP_RO[],S$1,0),"ERROR")</f>
        <v>185</v>
      </c>
      <c r="T23" s="25"/>
    </row>
    <row r="24" spans="1:20" x14ac:dyDescent="0.2">
      <c r="A24" s="92"/>
      <c r="B24" s="116" t="s">
        <v>86</v>
      </c>
      <c r="C24" s="213">
        <f>IFERROR(VLOOKUP($B24,MMWR_TRAD_AGG_RO_COMP[],C$1,0),"ERROR")</f>
        <v>16321</v>
      </c>
      <c r="D24" s="202">
        <f>IFERROR(VLOOKUP($B24,MMWR_TRAD_AGG_RO_COMP[],D$1,0),"ERROR")</f>
        <v>310.0913546964</v>
      </c>
      <c r="E24" s="199">
        <f>IFERROR(VLOOKUP($B24,MMWR_TRAD_AGG_RO_COMP[],E$1,0),"ERROR")</f>
        <v>23399</v>
      </c>
      <c r="F24" s="196">
        <f>IFERROR(VLOOKUP($B24,MMWR_TRAD_AGG_RO_COMP[],F$1,0),"ERROR")</f>
        <v>6420</v>
      </c>
      <c r="G24" s="220">
        <f t="shared" si="0"/>
        <v>0.27437069960254712</v>
      </c>
      <c r="H24" s="195">
        <f>IFERROR(VLOOKUP($B24,MMWR_TRAD_AGG_RO_COMP[],H$1,0),"ERROR")</f>
        <v>25974</v>
      </c>
      <c r="I24" s="196">
        <f>IFERROR(VLOOKUP($B24,MMWR_TRAD_AGG_RO_COMP[],I$1,0),"ERROR")</f>
        <v>14284</v>
      </c>
      <c r="J24" s="220">
        <f t="shared" si="1"/>
        <v>0.54993454993454993</v>
      </c>
      <c r="K24" s="209">
        <f>IFERROR(VLOOKUP($B24,MMWR_TRAD_AGG_RO_COMP[],K$1,0),"ERROR")</f>
        <v>4570</v>
      </c>
      <c r="L24" s="210">
        <f>IFERROR(VLOOKUP($B24,MMWR_TRAD_AGG_RO_COMP[],L$1,0),"ERROR")</f>
        <v>4098</v>
      </c>
      <c r="M24" s="220">
        <f t="shared" si="2"/>
        <v>0.89671772428884022</v>
      </c>
      <c r="N24" s="209">
        <f>IFERROR(VLOOKUP($B24,MMWR_TRAD_AGG_RO_COMP[],N$1,0),"ERROR")</f>
        <v>6985</v>
      </c>
      <c r="O24" s="210">
        <f>IFERROR(VLOOKUP($B24,MMWR_TRAD_AGG_RO_COMP[],O$1,0),"ERROR")</f>
        <v>3969</v>
      </c>
      <c r="P24" s="220">
        <f t="shared" si="3"/>
        <v>0.56821760916249109</v>
      </c>
      <c r="Q24" s="205">
        <f>IFERROR(VLOOKUP($B24,MMWR_TRAD_AGG_RO_COMP[],Q$1,0),"ERROR")</f>
        <v>0</v>
      </c>
      <c r="R24" s="205">
        <f>IFERROR(VLOOKUP($B24,MMWR_TRAD_AGG_RO_COMP[],R$1,0),"ERROR")</f>
        <v>24</v>
      </c>
      <c r="S24" s="204">
        <f>IFERROR(VLOOKUP($B24,MMWR_APP_RO[],S$1,0),"ERROR")</f>
        <v>9378</v>
      </c>
      <c r="T24" s="25"/>
    </row>
    <row r="25" spans="1:20" x14ac:dyDescent="0.2">
      <c r="A25" s="107"/>
      <c r="B25" s="101" t="s">
        <v>400</v>
      </c>
      <c r="C25" s="215">
        <f>IFERROR(VLOOKUP($B25,MMWR_TRAD_AGG_DISTRICT_COMP[],C$1,0),"ERROR")</f>
        <v>51552</v>
      </c>
      <c r="D25" s="200">
        <f>IFERROR(VLOOKUP($B25,MMWR_TRAD_AGG_DISTRICT_COMP[],D$1,0),"ERROR")</f>
        <v>385.45538485409998</v>
      </c>
      <c r="E25" s="216">
        <f>IFERROR(VLOOKUP($B25,MMWR_TRAD_AGG_DISTRICT_COMP[],E$1,0),"ERROR")</f>
        <v>56006</v>
      </c>
      <c r="F25" s="221">
        <f>IFERROR(VLOOKUP($B25,MMWR_TRAD_AGG_DISTRICT_COMP[],F$1,0),"ERROR")</f>
        <v>13884</v>
      </c>
      <c r="G25" s="217">
        <f t="shared" si="0"/>
        <v>0.24790201049887511</v>
      </c>
      <c r="H25" s="221">
        <f>IFERROR(VLOOKUP($B25,MMWR_TRAD_AGG_DISTRICT_COMP[],H$1,0),"ERROR")</f>
        <v>81960</v>
      </c>
      <c r="I25" s="221">
        <f>IFERROR(VLOOKUP($B25,MMWR_TRAD_AGG_DISTRICT_COMP[],I$1,0),"ERROR")</f>
        <v>43230</v>
      </c>
      <c r="J25" s="217">
        <f t="shared" si="1"/>
        <v>0.5274524158125915</v>
      </c>
      <c r="K25" s="215">
        <f>IFERROR(VLOOKUP($B25,MMWR_TRAD_AGG_DISTRICT_COMP[],K$1,0),"ERROR")</f>
        <v>9390</v>
      </c>
      <c r="L25" s="215">
        <f>IFERROR(VLOOKUP($B25,MMWR_TRAD_AGG_DISTRICT_COMP[],L$1,0),"ERROR")</f>
        <v>7984</v>
      </c>
      <c r="M25" s="217">
        <f t="shared" si="2"/>
        <v>0.85026624068157619</v>
      </c>
      <c r="N25" s="215">
        <f>IFERROR(VLOOKUP($B25,MMWR_TRAD_AGG_DISTRICT_COMP[],N$1,0),"ERROR")</f>
        <v>22397</v>
      </c>
      <c r="O25" s="215">
        <f>IFERROR(VLOOKUP($B25,MMWR_TRAD_AGG_DISTRICT_COMP[],O$1,0),"ERROR")</f>
        <v>16432</v>
      </c>
      <c r="P25" s="217">
        <f t="shared" si="3"/>
        <v>0.73366968790463005</v>
      </c>
      <c r="Q25" s="215">
        <f>IFERROR(VLOOKUP($B25,MMWR_TRAD_AGG_DISTRICT_COMP[],Q$1,0),"ERROR")</f>
        <v>173</v>
      </c>
      <c r="R25" s="218">
        <f>IFERROR(VLOOKUP($B25,MMWR_TRAD_AGG_DISTRICT_COMP[],R$1,0),"ERROR")</f>
        <v>1174</v>
      </c>
      <c r="S25" s="218">
        <f>IFERROR(VLOOKUP($B25,MMWR_APP_RO[],S$1,0),"ERROR")</f>
        <v>51170</v>
      </c>
      <c r="T25" s="25"/>
    </row>
    <row r="26" spans="1:20" x14ac:dyDescent="0.2">
      <c r="A26" s="107"/>
      <c r="B26" s="108" t="s">
        <v>40</v>
      </c>
      <c r="C26" s="212">
        <f>IFERROR(VLOOKUP($B26,MMWR_TRAD_AGG_RO_COMP[],C$1,0),"ERROR")</f>
        <v>6756</v>
      </c>
      <c r="D26" s="201">
        <f>IFERROR(VLOOKUP($B26,MMWR_TRAD_AGG_RO_COMP[],D$1,0),"ERROR")</f>
        <v>512.9293960924</v>
      </c>
      <c r="E26" s="198">
        <f>IFERROR(VLOOKUP($B26,MMWR_TRAD_AGG_RO_COMP[],E$1,0),"ERROR")</f>
        <v>6785</v>
      </c>
      <c r="F26" s="194">
        <f>IFERROR(VLOOKUP($B26,MMWR_TRAD_AGG_RO_COMP[],F$1,0),"ERROR")</f>
        <v>2107</v>
      </c>
      <c r="G26" s="219">
        <f t="shared" si="0"/>
        <v>0.31053795136330142</v>
      </c>
      <c r="H26" s="193">
        <f>IFERROR(VLOOKUP($B26,MMWR_TRAD_AGG_RO_COMP[],H$1,0),"ERROR")</f>
        <v>8183</v>
      </c>
      <c r="I26" s="194">
        <f>IFERROR(VLOOKUP($B26,MMWR_TRAD_AGG_RO_COMP[],I$1,0),"ERROR")</f>
        <v>6142</v>
      </c>
      <c r="J26" s="219">
        <f t="shared" si="1"/>
        <v>0.75058047170964193</v>
      </c>
      <c r="K26" s="207">
        <f>IFERROR(VLOOKUP($B26,MMWR_TRAD_AGG_RO_COMP[],K$1,0),"ERROR")</f>
        <v>1361</v>
      </c>
      <c r="L26" s="208">
        <f>IFERROR(VLOOKUP($B26,MMWR_TRAD_AGG_RO_COMP[],L$1,0),"ERROR")</f>
        <v>1316</v>
      </c>
      <c r="M26" s="219">
        <f t="shared" si="2"/>
        <v>0.96693607641440116</v>
      </c>
      <c r="N26" s="207">
        <f>IFERROR(VLOOKUP($B26,MMWR_TRAD_AGG_RO_COMP[],N$1,0),"ERROR")</f>
        <v>2397</v>
      </c>
      <c r="O26" s="208">
        <f>IFERROR(VLOOKUP($B26,MMWR_TRAD_AGG_RO_COMP[],O$1,0),"ERROR")</f>
        <v>1871</v>
      </c>
      <c r="P26" s="219">
        <f t="shared" si="3"/>
        <v>0.78055903212348765</v>
      </c>
      <c r="Q26" s="204">
        <f>IFERROR(VLOOKUP($B26,MMWR_TRAD_AGG_RO_COMP[],Q$1,0),"ERROR")</f>
        <v>0</v>
      </c>
      <c r="R26" s="204">
        <f>IFERROR(VLOOKUP($B26,MMWR_TRAD_AGG_RO_COMP[],R$1,0),"ERROR")</f>
        <v>286</v>
      </c>
      <c r="S26" s="204">
        <f>IFERROR(VLOOKUP($B26,MMWR_APP_RO[],S$1,0),"ERROR")</f>
        <v>7523</v>
      </c>
      <c r="T26" s="25"/>
    </row>
    <row r="27" spans="1:20" x14ac:dyDescent="0.2">
      <c r="A27" s="107"/>
      <c r="B27" s="108" t="s">
        <v>41</v>
      </c>
      <c r="C27" s="212">
        <f>IFERROR(VLOOKUP($B27,MMWR_TRAD_AGG_RO_COMP[],C$1,0),"ERROR")</f>
        <v>8098</v>
      </c>
      <c r="D27" s="201">
        <f>IFERROR(VLOOKUP($B27,MMWR_TRAD_AGG_RO_COMP[],D$1,0),"ERROR")</f>
        <v>524.06137317859998</v>
      </c>
      <c r="E27" s="198">
        <f>IFERROR(VLOOKUP($B27,MMWR_TRAD_AGG_RO_COMP[],E$1,0),"ERROR")</f>
        <v>8359</v>
      </c>
      <c r="F27" s="194">
        <f>IFERROR(VLOOKUP($B27,MMWR_TRAD_AGG_RO_COMP[],F$1,0),"ERROR")</f>
        <v>2104</v>
      </c>
      <c r="G27" s="219">
        <f t="shared" si="0"/>
        <v>0.25170474937193443</v>
      </c>
      <c r="H27" s="193">
        <f>IFERROR(VLOOKUP($B27,MMWR_TRAD_AGG_RO_COMP[],H$1,0),"ERROR")</f>
        <v>10452</v>
      </c>
      <c r="I27" s="194">
        <f>IFERROR(VLOOKUP($B27,MMWR_TRAD_AGG_RO_COMP[],I$1,0),"ERROR")</f>
        <v>8279</v>
      </c>
      <c r="J27" s="219">
        <f t="shared" si="1"/>
        <v>0.79209720627631075</v>
      </c>
      <c r="K27" s="207">
        <f>IFERROR(VLOOKUP($B27,MMWR_TRAD_AGG_RO_COMP[],K$1,0),"ERROR")</f>
        <v>1508</v>
      </c>
      <c r="L27" s="208">
        <f>IFERROR(VLOOKUP($B27,MMWR_TRAD_AGG_RO_COMP[],L$1,0),"ERROR")</f>
        <v>1461</v>
      </c>
      <c r="M27" s="219">
        <f t="shared" si="2"/>
        <v>0.96883289124668437</v>
      </c>
      <c r="N27" s="207">
        <f>IFERROR(VLOOKUP($B27,MMWR_TRAD_AGG_RO_COMP[],N$1,0),"ERROR")</f>
        <v>6471</v>
      </c>
      <c r="O27" s="208">
        <f>IFERROR(VLOOKUP($B27,MMWR_TRAD_AGG_RO_COMP[],O$1,0),"ERROR")</f>
        <v>4043</v>
      </c>
      <c r="P27" s="219">
        <f t="shared" si="3"/>
        <v>0.62478751352186679</v>
      </c>
      <c r="Q27" s="204">
        <f>IFERROR(VLOOKUP($B27,MMWR_TRAD_AGG_RO_COMP[],Q$1,0),"ERROR")</f>
        <v>14</v>
      </c>
      <c r="R27" s="204">
        <f>IFERROR(VLOOKUP($B27,MMWR_TRAD_AGG_RO_COMP[],R$1,0),"ERROR")</f>
        <v>340</v>
      </c>
      <c r="S27" s="204">
        <f>IFERROR(VLOOKUP($B27,MMWR_APP_RO[],S$1,0),"ERROR")</f>
        <v>13841</v>
      </c>
      <c r="T27" s="25"/>
    </row>
    <row r="28" spans="1:20" x14ac:dyDescent="0.2">
      <c r="A28" s="107"/>
      <c r="B28" s="108" t="s">
        <v>44</v>
      </c>
      <c r="C28" s="212">
        <f>IFERROR(VLOOKUP($B28,MMWR_TRAD_AGG_RO_COMP[],C$1,0),"ERROR")</f>
        <v>1345</v>
      </c>
      <c r="D28" s="201">
        <f>IFERROR(VLOOKUP($B28,MMWR_TRAD_AGG_RO_COMP[],D$1,0),"ERROR")</f>
        <v>124.4646840149</v>
      </c>
      <c r="E28" s="198">
        <f>IFERROR(VLOOKUP($B28,MMWR_TRAD_AGG_RO_COMP[],E$1,0),"ERROR")</f>
        <v>2185</v>
      </c>
      <c r="F28" s="194">
        <f>IFERROR(VLOOKUP($B28,MMWR_TRAD_AGG_RO_COMP[],F$1,0),"ERROR")</f>
        <v>554</v>
      </c>
      <c r="G28" s="219">
        <f t="shared" si="0"/>
        <v>0.25354691075514874</v>
      </c>
      <c r="H28" s="193">
        <f>IFERROR(VLOOKUP($B28,MMWR_TRAD_AGG_RO_COMP[],H$1,0),"ERROR")</f>
        <v>2499</v>
      </c>
      <c r="I28" s="194">
        <f>IFERROR(VLOOKUP($B28,MMWR_TRAD_AGG_RO_COMP[],I$1,0),"ERROR")</f>
        <v>704</v>
      </c>
      <c r="J28" s="219">
        <f t="shared" si="1"/>
        <v>0.28171268507402963</v>
      </c>
      <c r="K28" s="207">
        <f>IFERROR(VLOOKUP($B28,MMWR_TRAD_AGG_RO_COMP[],K$1,0),"ERROR")</f>
        <v>204</v>
      </c>
      <c r="L28" s="208">
        <f>IFERROR(VLOOKUP($B28,MMWR_TRAD_AGG_RO_COMP[],L$1,0),"ERROR")</f>
        <v>164</v>
      </c>
      <c r="M28" s="219">
        <f t="shared" si="2"/>
        <v>0.80392156862745101</v>
      </c>
      <c r="N28" s="207">
        <f>IFERROR(VLOOKUP($B28,MMWR_TRAD_AGG_RO_COMP[],N$1,0),"ERROR")</f>
        <v>2830</v>
      </c>
      <c r="O28" s="208">
        <f>IFERROR(VLOOKUP($B28,MMWR_TRAD_AGG_RO_COMP[],O$1,0),"ERROR")</f>
        <v>2716</v>
      </c>
      <c r="P28" s="219">
        <f t="shared" si="3"/>
        <v>0.95971731448763253</v>
      </c>
      <c r="Q28" s="204">
        <f>IFERROR(VLOOKUP($B28,MMWR_TRAD_AGG_RO_COMP[],Q$1,0),"ERROR")</f>
        <v>0</v>
      </c>
      <c r="R28" s="204">
        <f>IFERROR(VLOOKUP($B28,MMWR_TRAD_AGG_RO_COMP[],R$1,0),"ERROR")</f>
        <v>11</v>
      </c>
      <c r="S28" s="204">
        <f>IFERROR(VLOOKUP($B28,MMWR_APP_RO[],S$1,0),"ERROR")</f>
        <v>1113</v>
      </c>
      <c r="T28" s="25"/>
    </row>
    <row r="29" spans="1:20" x14ac:dyDescent="0.2">
      <c r="A29" s="107"/>
      <c r="B29" s="108" t="s">
        <v>45</v>
      </c>
      <c r="C29" s="212">
        <f>IFERROR(VLOOKUP($B29,MMWR_TRAD_AGG_RO_COMP[],C$1,0),"ERROR")</f>
        <v>3018</v>
      </c>
      <c r="D29" s="201">
        <f>IFERROR(VLOOKUP($B29,MMWR_TRAD_AGG_RO_COMP[],D$1,0),"ERROR")</f>
        <v>230.4966865474</v>
      </c>
      <c r="E29" s="198">
        <f>IFERROR(VLOOKUP($B29,MMWR_TRAD_AGG_RO_COMP[],E$1,0),"ERROR")</f>
        <v>7275</v>
      </c>
      <c r="F29" s="194">
        <f>IFERROR(VLOOKUP($B29,MMWR_TRAD_AGG_RO_COMP[],F$1,0),"ERROR")</f>
        <v>2063</v>
      </c>
      <c r="G29" s="219">
        <f t="shared" si="0"/>
        <v>0.28357388316151205</v>
      </c>
      <c r="H29" s="193">
        <f>IFERROR(VLOOKUP($B29,MMWR_TRAD_AGG_RO_COMP[],H$1,0),"ERROR")</f>
        <v>6112</v>
      </c>
      <c r="I29" s="194">
        <f>IFERROR(VLOOKUP($B29,MMWR_TRAD_AGG_RO_COMP[],I$1,0),"ERROR")</f>
        <v>2479</v>
      </c>
      <c r="J29" s="219">
        <f t="shared" si="1"/>
        <v>0.40559554973821987</v>
      </c>
      <c r="K29" s="207">
        <f>IFERROR(VLOOKUP($B29,MMWR_TRAD_AGG_RO_COMP[],K$1,0),"ERROR")</f>
        <v>913</v>
      </c>
      <c r="L29" s="208">
        <f>IFERROR(VLOOKUP($B29,MMWR_TRAD_AGG_RO_COMP[],L$1,0),"ERROR")</f>
        <v>732</v>
      </c>
      <c r="M29" s="219">
        <f t="shared" si="2"/>
        <v>0.8017524644030668</v>
      </c>
      <c r="N29" s="207">
        <f>IFERROR(VLOOKUP($B29,MMWR_TRAD_AGG_RO_COMP[],N$1,0),"ERROR")</f>
        <v>686</v>
      </c>
      <c r="O29" s="208">
        <f>IFERROR(VLOOKUP($B29,MMWR_TRAD_AGG_RO_COMP[],O$1,0),"ERROR")</f>
        <v>481</v>
      </c>
      <c r="P29" s="219">
        <f t="shared" si="3"/>
        <v>0.70116618075801751</v>
      </c>
      <c r="Q29" s="204">
        <f>IFERROR(VLOOKUP($B29,MMWR_TRAD_AGG_RO_COMP[],Q$1,0),"ERROR")</f>
        <v>4</v>
      </c>
      <c r="R29" s="204">
        <f>IFERROR(VLOOKUP($B29,MMWR_TRAD_AGG_RO_COMP[],R$1,0),"ERROR")</f>
        <v>200</v>
      </c>
      <c r="S29" s="204">
        <f>IFERROR(VLOOKUP($B29,MMWR_APP_RO[],S$1,0),"ERROR")</f>
        <v>6075</v>
      </c>
      <c r="T29" s="25"/>
    </row>
    <row r="30" spans="1:20" x14ac:dyDescent="0.2">
      <c r="A30" s="107"/>
      <c r="B30" s="108" t="s">
        <v>46</v>
      </c>
      <c r="C30" s="212">
        <f>IFERROR(VLOOKUP($B30,MMWR_TRAD_AGG_RO_COMP[],C$1,0),"ERROR")</f>
        <v>175</v>
      </c>
      <c r="D30" s="201">
        <f>IFERROR(VLOOKUP($B30,MMWR_TRAD_AGG_RO_COMP[],D$1,0),"ERROR")</f>
        <v>53.5942857143</v>
      </c>
      <c r="E30" s="198">
        <f>IFERROR(VLOOKUP($B30,MMWR_TRAD_AGG_RO_COMP[],E$1,0),"ERROR")</f>
        <v>825</v>
      </c>
      <c r="F30" s="194">
        <f>IFERROR(VLOOKUP($B30,MMWR_TRAD_AGG_RO_COMP[],F$1,0),"ERROR")</f>
        <v>172</v>
      </c>
      <c r="G30" s="219">
        <f t="shared" si="0"/>
        <v>0.2084848484848485</v>
      </c>
      <c r="H30" s="193">
        <f>IFERROR(VLOOKUP($B30,MMWR_TRAD_AGG_RO_COMP[],H$1,0),"ERROR")</f>
        <v>574</v>
      </c>
      <c r="I30" s="194">
        <f>IFERROR(VLOOKUP($B30,MMWR_TRAD_AGG_RO_COMP[],I$1,0),"ERROR")</f>
        <v>29</v>
      </c>
      <c r="J30" s="219">
        <f t="shared" si="1"/>
        <v>5.0522648083623695E-2</v>
      </c>
      <c r="K30" s="207">
        <f>IFERROR(VLOOKUP($B30,MMWR_TRAD_AGG_RO_COMP[],K$1,0),"ERROR")</f>
        <v>73</v>
      </c>
      <c r="L30" s="208">
        <f>IFERROR(VLOOKUP($B30,MMWR_TRAD_AGG_RO_COMP[],L$1,0),"ERROR")</f>
        <v>20</v>
      </c>
      <c r="M30" s="219">
        <f t="shared" si="2"/>
        <v>0.27397260273972601</v>
      </c>
      <c r="N30" s="207">
        <f>IFERROR(VLOOKUP($B30,MMWR_TRAD_AGG_RO_COMP[],N$1,0),"ERROR")</f>
        <v>43</v>
      </c>
      <c r="O30" s="208">
        <f>IFERROR(VLOOKUP($B30,MMWR_TRAD_AGG_RO_COMP[],O$1,0),"ERROR")</f>
        <v>13</v>
      </c>
      <c r="P30" s="219">
        <f t="shared" si="3"/>
        <v>0.30232558139534882</v>
      </c>
      <c r="Q30" s="204">
        <f>IFERROR(VLOOKUP($B30,MMWR_TRAD_AGG_RO_COMP[],Q$1,0),"ERROR")</f>
        <v>0</v>
      </c>
      <c r="R30" s="204">
        <f>IFERROR(VLOOKUP($B30,MMWR_TRAD_AGG_RO_COMP[],R$1,0),"ERROR")</f>
        <v>0</v>
      </c>
      <c r="S30" s="204">
        <f>IFERROR(VLOOKUP($B30,MMWR_APP_RO[],S$1,0),"ERROR")</f>
        <v>505</v>
      </c>
      <c r="T30" s="25"/>
    </row>
    <row r="31" spans="1:20" x14ac:dyDescent="0.2">
      <c r="A31" s="107"/>
      <c r="B31" s="108" t="s">
        <v>51</v>
      </c>
      <c r="C31" s="212">
        <f>IFERROR(VLOOKUP($B31,MMWR_TRAD_AGG_RO_COMP[],C$1,0),"ERROR")</f>
        <v>9837</v>
      </c>
      <c r="D31" s="201">
        <f>IFERROR(VLOOKUP($B31,MMWR_TRAD_AGG_RO_COMP[],D$1,0),"ERROR")</f>
        <v>570.23513266240002</v>
      </c>
      <c r="E31" s="198">
        <f>IFERROR(VLOOKUP($B31,MMWR_TRAD_AGG_RO_COMP[],E$1,0),"ERROR")</f>
        <v>4714</v>
      </c>
      <c r="F31" s="194">
        <f>IFERROR(VLOOKUP($B31,MMWR_TRAD_AGG_RO_COMP[],F$1,0),"ERROR")</f>
        <v>1249</v>
      </c>
      <c r="G31" s="219">
        <f t="shared" si="0"/>
        <v>0.2649554518455664</v>
      </c>
      <c r="H31" s="193">
        <f>IFERROR(VLOOKUP($B31,MMWR_TRAD_AGG_RO_COMP[],H$1,0),"ERROR")</f>
        <v>15792</v>
      </c>
      <c r="I31" s="194">
        <f>IFERROR(VLOOKUP($B31,MMWR_TRAD_AGG_RO_COMP[],I$1,0),"ERROR")</f>
        <v>9218</v>
      </c>
      <c r="J31" s="219">
        <f t="shared" si="1"/>
        <v>0.58371327254305982</v>
      </c>
      <c r="K31" s="207">
        <f>IFERROR(VLOOKUP($B31,MMWR_TRAD_AGG_RO_COMP[],K$1,0),"ERROR")</f>
        <v>999</v>
      </c>
      <c r="L31" s="208">
        <f>IFERROR(VLOOKUP($B31,MMWR_TRAD_AGG_RO_COMP[],L$1,0),"ERROR")</f>
        <v>861</v>
      </c>
      <c r="M31" s="219">
        <f t="shared" si="2"/>
        <v>0.86186186186186187</v>
      </c>
      <c r="N31" s="207">
        <f>IFERROR(VLOOKUP($B31,MMWR_TRAD_AGG_RO_COMP[],N$1,0),"ERROR")</f>
        <v>1915</v>
      </c>
      <c r="O31" s="208">
        <f>IFERROR(VLOOKUP($B31,MMWR_TRAD_AGG_RO_COMP[],O$1,0),"ERROR")</f>
        <v>1376</v>
      </c>
      <c r="P31" s="219">
        <f t="shared" si="3"/>
        <v>0.71853785900783285</v>
      </c>
      <c r="Q31" s="204">
        <f>IFERROR(VLOOKUP($B31,MMWR_TRAD_AGG_RO_COMP[],Q$1,0),"ERROR")</f>
        <v>3</v>
      </c>
      <c r="R31" s="204">
        <f>IFERROR(VLOOKUP($B31,MMWR_TRAD_AGG_RO_COMP[],R$1,0),"ERROR")</f>
        <v>209</v>
      </c>
      <c r="S31" s="204">
        <f>IFERROR(VLOOKUP($B31,MMWR_APP_RO[],S$1,0),"ERROR")</f>
        <v>8134</v>
      </c>
      <c r="T31" s="25"/>
    </row>
    <row r="32" spans="1:20" x14ac:dyDescent="0.2">
      <c r="A32" s="107"/>
      <c r="B32" s="108" t="s">
        <v>53</v>
      </c>
      <c r="C32" s="212">
        <f>IFERROR(VLOOKUP($B32,MMWR_TRAD_AGG_RO_COMP[],C$1,0),"ERROR")</f>
        <v>2399</v>
      </c>
      <c r="D32" s="201">
        <f>IFERROR(VLOOKUP($B32,MMWR_TRAD_AGG_RO_COMP[],D$1,0),"ERROR")</f>
        <v>130.0741975823</v>
      </c>
      <c r="E32" s="198">
        <f>IFERROR(VLOOKUP($B32,MMWR_TRAD_AGG_RO_COMP[],E$1,0),"ERROR")</f>
        <v>1755</v>
      </c>
      <c r="F32" s="194">
        <f>IFERROR(VLOOKUP($B32,MMWR_TRAD_AGG_RO_COMP[],F$1,0),"ERROR")</f>
        <v>308</v>
      </c>
      <c r="G32" s="219">
        <f t="shared" si="0"/>
        <v>0.1754985754985755</v>
      </c>
      <c r="H32" s="193">
        <f>IFERROR(VLOOKUP($B32,MMWR_TRAD_AGG_RO_COMP[],H$1,0),"ERROR")</f>
        <v>4814</v>
      </c>
      <c r="I32" s="194">
        <f>IFERROR(VLOOKUP($B32,MMWR_TRAD_AGG_RO_COMP[],I$1,0),"ERROR")</f>
        <v>989</v>
      </c>
      <c r="J32" s="219">
        <f t="shared" si="1"/>
        <v>0.20544245949314499</v>
      </c>
      <c r="K32" s="207">
        <f>IFERROR(VLOOKUP($B32,MMWR_TRAD_AGG_RO_COMP[],K$1,0),"ERROR")</f>
        <v>590</v>
      </c>
      <c r="L32" s="208">
        <f>IFERROR(VLOOKUP($B32,MMWR_TRAD_AGG_RO_COMP[],L$1,0),"ERROR")</f>
        <v>462</v>
      </c>
      <c r="M32" s="219">
        <f t="shared" si="2"/>
        <v>0.7830508474576271</v>
      </c>
      <c r="N32" s="207">
        <f>IFERROR(VLOOKUP($B32,MMWR_TRAD_AGG_RO_COMP[],N$1,0),"ERROR")</f>
        <v>341</v>
      </c>
      <c r="O32" s="208">
        <f>IFERROR(VLOOKUP($B32,MMWR_TRAD_AGG_RO_COMP[],O$1,0),"ERROR")</f>
        <v>191</v>
      </c>
      <c r="P32" s="219">
        <f t="shared" si="3"/>
        <v>0.56011730205278587</v>
      </c>
      <c r="Q32" s="204">
        <f>IFERROR(VLOOKUP($B32,MMWR_TRAD_AGG_RO_COMP[],Q$1,0),"ERROR")</f>
        <v>0</v>
      </c>
      <c r="R32" s="204">
        <f>IFERROR(VLOOKUP($B32,MMWR_TRAD_AGG_RO_COMP[],R$1,0),"ERROR")</f>
        <v>14</v>
      </c>
      <c r="S32" s="204">
        <f>IFERROR(VLOOKUP($B32,MMWR_APP_RO[],S$1,0),"ERROR")</f>
        <v>1382</v>
      </c>
      <c r="T32" s="25"/>
    </row>
    <row r="33" spans="1:20" x14ac:dyDescent="0.2">
      <c r="A33" s="107"/>
      <c r="B33" s="108" t="s">
        <v>59</v>
      </c>
      <c r="C33" s="212">
        <f>IFERROR(VLOOKUP($B33,MMWR_TRAD_AGG_RO_COMP[],C$1,0),"ERROR")</f>
        <v>7923</v>
      </c>
      <c r="D33" s="201">
        <f>IFERROR(VLOOKUP($B33,MMWR_TRAD_AGG_RO_COMP[],D$1,0),"ERROR")</f>
        <v>249.00025242960001</v>
      </c>
      <c r="E33" s="198">
        <f>IFERROR(VLOOKUP($B33,MMWR_TRAD_AGG_RO_COMP[],E$1,0),"ERROR")</f>
        <v>5705</v>
      </c>
      <c r="F33" s="194">
        <f>IFERROR(VLOOKUP($B33,MMWR_TRAD_AGG_RO_COMP[],F$1,0),"ERROR")</f>
        <v>1230</v>
      </c>
      <c r="G33" s="219">
        <f t="shared" si="0"/>
        <v>0.21560035056967572</v>
      </c>
      <c r="H33" s="193">
        <f>IFERROR(VLOOKUP($B33,MMWR_TRAD_AGG_RO_COMP[],H$1,0),"ERROR")</f>
        <v>10184</v>
      </c>
      <c r="I33" s="194">
        <f>IFERROR(VLOOKUP($B33,MMWR_TRAD_AGG_RO_COMP[],I$1,0),"ERROR")</f>
        <v>5050</v>
      </c>
      <c r="J33" s="219">
        <f t="shared" si="1"/>
        <v>0.49587588373919872</v>
      </c>
      <c r="K33" s="207">
        <f>IFERROR(VLOOKUP($B33,MMWR_TRAD_AGG_RO_COMP[],K$1,0),"ERROR")</f>
        <v>342</v>
      </c>
      <c r="L33" s="208">
        <f>IFERROR(VLOOKUP($B33,MMWR_TRAD_AGG_RO_COMP[],L$1,0),"ERROR")</f>
        <v>222</v>
      </c>
      <c r="M33" s="219">
        <f t="shared" si="2"/>
        <v>0.64912280701754388</v>
      </c>
      <c r="N33" s="207">
        <f>IFERROR(VLOOKUP($B33,MMWR_TRAD_AGG_RO_COMP[],N$1,0),"ERROR")</f>
        <v>472</v>
      </c>
      <c r="O33" s="208">
        <f>IFERROR(VLOOKUP($B33,MMWR_TRAD_AGG_RO_COMP[],O$1,0),"ERROR")</f>
        <v>199</v>
      </c>
      <c r="P33" s="219">
        <f t="shared" si="3"/>
        <v>0.42161016949152541</v>
      </c>
      <c r="Q33" s="204">
        <f>IFERROR(VLOOKUP($B33,MMWR_TRAD_AGG_RO_COMP[],Q$1,0),"ERROR")</f>
        <v>85</v>
      </c>
      <c r="R33" s="204">
        <f>IFERROR(VLOOKUP($B33,MMWR_TRAD_AGG_RO_COMP[],R$1,0),"ERROR")</f>
        <v>0</v>
      </c>
      <c r="S33" s="204">
        <f>IFERROR(VLOOKUP($B33,MMWR_APP_RO[],S$1,0),"ERROR")</f>
        <v>3048</v>
      </c>
      <c r="T33" s="25"/>
    </row>
    <row r="34" spans="1:20" x14ac:dyDescent="0.2">
      <c r="A34" s="107"/>
      <c r="B34" s="108" t="s">
        <v>77</v>
      </c>
      <c r="C34" s="212">
        <f>IFERROR(VLOOKUP($B34,MMWR_TRAD_AGG_RO_COMP[],C$1,0),"ERROR")</f>
        <v>503</v>
      </c>
      <c r="D34" s="201">
        <f>IFERROR(VLOOKUP($B34,MMWR_TRAD_AGG_RO_COMP[],D$1,0),"ERROR")</f>
        <v>96.111332008000005</v>
      </c>
      <c r="E34" s="198">
        <f>IFERROR(VLOOKUP($B34,MMWR_TRAD_AGG_RO_COMP[],E$1,0),"ERROR")</f>
        <v>833</v>
      </c>
      <c r="F34" s="194">
        <f>IFERROR(VLOOKUP($B34,MMWR_TRAD_AGG_RO_COMP[],F$1,0),"ERROR")</f>
        <v>191</v>
      </c>
      <c r="G34" s="219">
        <f t="shared" si="0"/>
        <v>0.22929171668667467</v>
      </c>
      <c r="H34" s="193">
        <f>IFERROR(VLOOKUP($B34,MMWR_TRAD_AGG_RO_COMP[],H$1,0),"ERROR")</f>
        <v>851</v>
      </c>
      <c r="I34" s="194">
        <f>IFERROR(VLOOKUP($B34,MMWR_TRAD_AGG_RO_COMP[],I$1,0),"ERROR")</f>
        <v>97</v>
      </c>
      <c r="J34" s="219">
        <f t="shared" si="1"/>
        <v>0.11398354876615746</v>
      </c>
      <c r="K34" s="207">
        <f>IFERROR(VLOOKUP($B34,MMWR_TRAD_AGG_RO_COMP[],K$1,0),"ERROR")</f>
        <v>399</v>
      </c>
      <c r="L34" s="208">
        <f>IFERROR(VLOOKUP($B34,MMWR_TRAD_AGG_RO_COMP[],L$1,0),"ERROR")</f>
        <v>101</v>
      </c>
      <c r="M34" s="219">
        <f t="shared" si="2"/>
        <v>0.25313283208020049</v>
      </c>
      <c r="N34" s="207">
        <f>IFERROR(VLOOKUP($B34,MMWR_TRAD_AGG_RO_COMP[],N$1,0),"ERROR")</f>
        <v>42</v>
      </c>
      <c r="O34" s="208">
        <f>IFERROR(VLOOKUP($B34,MMWR_TRAD_AGG_RO_COMP[],O$1,0),"ERROR")</f>
        <v>13</v>
      </c>
      <c r="P34" s="219">
        <f t="shared" si="3"/>
        <v>0.30952380952380953</v>
      </c>
      <c r="Q34" s="204">
        <f>IFERROR(VLOOKUP($B34,MMWR_TRAD_AGG_RO_COMP[],Q$1,0),"ERROR")</f>
        <v>0</v>
      </c>
      <c r="R34" s="204">
        <f>IFERROR(VLOOKUP($B34,MMWR_TRAD_AGG_RO_COMP[],R$1,0),"ERROR")</f>
        <v>1</v>
      </c>
      <c r="S34" s="204">
        <f>IFERROR(VLOOKUP($B34,MMWR_APP_RO[],S$1,0),"ERROR")</f>
        <v>228</v>
      </c>
      <c r="T34" s="25"/>
    </row>
    <row r="35" spans="1:20" x14ac:dyDescent="0.2">
      <c r="A35" s="107"/>
      <c r="B35" s="108" t="s">
        <v>78</v>
      </c>
      <c r="C35" s="212">
        <f>IFERROR(VLOOKUP($B35,MMWR_TRAD_AGG_RO_COMP[],C$1,0),"ERROR")</f>
        <v>4951</v>
      </c>
      <c r="D35" s="201">
        <f>IFERROR(VLOOKUP($B35,MMWR_TRAD_AGG_RO_COMP[],D$1,0),"ERROR")</f>
        <v>264.53342759039998</v>
      </c>
      <c r="E35" s="198">
        <f>IFERROR(VLOOKUP($B35,MMWR_TRAD_AGG_RO_COMP[],E$1,0),"ERROR")</f>
        <v>4869</v>
      </c>
      <c r="F35" s="194">
        <f>IFERROR(VLOOKUP($B35,MMWR_TRAD_AGG_RO_COMP[],F$1,0),"ERROR")</f>
        <v>1050</v>
      </c>
      <c r="G35" s="219">
        <f t="shared" si="0"/>
        <v>0.21565003080714726</v>
      </c>
      <c r="H35" s="193">
        <f>IFERROR(VLOOKUP($B35,MMWR_TRAD_AGG_RO_COMP[],H$1,0),"ERROR")</f>
        <v>7610</v>
      </c>
      <c r="I35" s="194">
        <f>IFERROR(VLOOKUP($B35,MMWR_TRAD_AGG_RO_COMP[],I$1,0),"ERROR")</f>
        <v>4655</v>
      </c>
      <c r="J35" s="219">
        <f t="shared" si="1"/>
        <v>0.61169513797634689</v>
      </c>
      <c r="K35" s="207">
        <f>IFERROR(VLOOKUP($B35,MMWR_TRAD_AGG_RO_COMP[],K$1,0),"ERROR")</f>
        <v>2250</v>
      </c>
      <c r="L35" s="208">
        <f>IFERROR(VLOOKUP($B35,MMWR_TRAD_AGG_RO_COMP[],L$1,0),"ERROR")</f>
        <v>2153</v>
      </c>
      <c r="M35" s="219">
        <f t="shared" si="2"/>
        <v>0.9568888888888889</v>
      </c>
      <c r="N35" s="207">
        <f>IFERROR(VLOOKUP($B35,MMWR_TRAD_AGG_RO_COMP[],N$1,0),"ERROR")</f>
        <v>5592</v>
      </c>
      <c r="O35" s="208">
        <f>IFERROR(VLOOKUP($B35,MMWR_TRAD_AGG_RO_COMP[],O$1,0),"ERROR")</f>
        <v>4667</v>
      </c>
      <c r="P35" s="219">
        <f t="shared" si="3"/>
        <v>0.83458512160228904</v>
      </c>
      <c r="Q35" s="204">
        <f>IFERROR(VLOOKUP($B35,MMWR_TRAD_AGG_RO_COMP[],Q$1,0),"ERROR")</f>
        <v>42</v>
      </c>
      <c r="R35" s="204">
        <f>IFERROR(VLOOKUP($B35,MMWR_TRAD_AGG_RO_COMP[],R$1,0),"ERROR")</f>
        <v>103</v>
      </c>
      <c r="S35" s="204">
        <f>IFERROR(VLOOKUP($B35,MMWR_APP_RO[],S$1,0),"ERROR")</f>
        <v>6320</v>
      </c>
      <c r="T35" s="25"/>
    </row>
    <row r="36" spans="1:20" x14ac:dyDescent="0.2">
      <c r="A36" s="28"/>
      <c r="B36" s="108" t="s">
        <v>79</v>
      </c>
      <c r="C36" s="222">
        <f>IFERROR(VLOOKUP($B36,MMWR_TRAD_AGG_RO_COMP[],C$1,0),"ERROR")</f>
        <v>5231</v>
      </c>
      <c r="D36" s="223">
        <f>IFERROR(VLOOKUP($B36,MMWR_TRAD_AGG_RO_COMP[],D$1,0),"ERROR")</f>
        <v>352.41062894279997</v>
      </c>
      <c r="E36" s="224">
        <f>IFERROR(VLOOKUP($B36,MMWR_TRAD_AGG_RO_COMP[],E$1,0),"ERROR")</f>
        <v>10225</v>
      </c>
      <c r="F36" s="225">
        <f>IFERROR(VLOOKUP($B36,MMWR_TRAD_AGG_RO_COMP[],F$1,0),"ERROR")</f>
        <v>2264</v>
      </c>
      <c r="G36" s="226">
        <f t="shared" si="0"/>
        <v>0.22141809290953546</v>
      </c>
      <c r="H36" s="227">
        <f>IFERROR(VLOOKUP($B36,MMWR_TRAD_AGG_RO_COMP[],H$1,0),"ERROR")</f>
        <v>12715</v>
      </c>
      <c r="I36" s="225">
        <f>IFERROR(VLOOKUP($B36,MMWR_TRAD_AGG_RO_COMP[],I$1,0),"ERROR")</f>
        <v>4697</v>
      </c>
      <c r="J36" s="226">
        <f t="shared" si="1"/>
        <v>0.36940621313409361</v>
      </c>
      <c r="K36" s="228">
        <f>IFERROR(VLOOKUP($B36,MMWR_TRAD_AGG_RO_COMP[],K$1,0),"ERROR")</f>
        <v>458</v>
      </c>
      <c r="L36" s="229">
        <f>IFERROR(VLOOKUP($B36,MMWR_TRAD_AGG_RO_COMP[],L$1,0),"ERROR")</f>
        <v>342</v>
      </c>
      <c r="M36" s="226">
        <f t="shared" si="2"/>
        <v>0.74672489082969429</v>
      </c>
      <c r="N36" s="228">
        <f>IFERROR(VLOOKUP($B36,MMWR_TRAD_AGG_RO_COMP[],N$1,0),"ERROR")</f>
        <v>1453</v>
      </c>
      <c r="O36" s="229">
        <f>IFERROR(VLOOKUP($B36,MMWR_TRAD_AGG_RO_COMP[],O$1,0),"ERROR")</f>
        <v>778</v>
      </c>
      <c r="P36" s="226">
        <f t="shared" si="3"/>
        <v>0.53544390915347562</v>
      </c>
      <c r="Q36" s="230">
        <f>IFERROR(VLOOKUP($B36,MMWR_TRAD_AGG_RO_COMP[],Q$1,0),"ERROR")</f>
        <v>25</v>
      </c>
      <c r="R36" s="230">
        <f>IFERROR(VLOOKUP($B36,MMWR_TRAD_AGG_RO_COMP[],R$1,0),"ERROR")</f>
        <v>0</v>
      </c>
      <c r="S36" s="204">
        <f>IFERROR(VLOOKUP($B36,MMWR_APP_RO[],S$1,0),"ERROR")</f>
        <v>1709</v>
      </c>
      <c r="T36" s="28"/>
    </row>
    <row r="37" spans="1:20" x14ac:dyDescent="0.2">
      <c r="A37" s="28"/>
      <c r="B37" s="116" t="s">
        <v>84</v>
      </c>
      <c r="C37" s="231">
        <f>IFERROR(VLOOKUP($B37,MMWR_TRAD_AGG_RO_COMP[],C$1,0),"ERROR")</f>
        <v>1316</v>
      </c>
      <c r="D37" s="232">
        <f>IFERROR(VLOOKUP($B37,MMWR_TRAD_AGG_RO_COMP[],D$1,0),"ERROR")</f>
        <v>147.10030395140001</v>
      </c>
      <c r="E37" s="233">
        <f>IFERROR(VLOOKUP($B37,MMWR_TRAD_AGG_RO_COMP[],E$1,0),"ERROR")</f>
        <v>2476</v>
      </c>
      <c r="F37" s="234">
        <f>IFERROR(VLOOKUP($B37,MMWR_TRAD_AGG_RO_COMP[],F$1,0),"ERROR")</f>
        <v>592</v>
      </c>
      <c r="G37" s="235">
        <f t="shared" si="0"/>
        <v>0.23909531502423265</v>
      </c>
      <c r="H37" s="236">
        <f>IFERROR(VLOOKUP($B37,MMWR_TRAD_AGG_RO_COMP[],H$1,0),"ERROR")</f>
        <v>2174</v>
      </c>
      <c r="I37" s="234">
        <f>IFERROR(VLOOKUP($B37,MMWR_TRAD_AGG_RO_COMP[],I$1,0),"ERROR")</f>
        <v>891</v>
      </c>
      <c r="J37" s="235">
        <f t="shared" si="1"/>
        <v>0.40984360625574978</v>
      </c>
      <c r="K37" s="237">
        <f>IFERROR(VLOOKUP($B37,MMWR_TRAD_AGG_RO_COMP[],K$1,0),"ERROR")</f>
        <v>293</v>
      </c>
      <c r="L37" s="238">
        <f>IFERROR(VLOOKUP($B37,MMWR_TRAD_AGG_RO_COMP[],L$1,0),"ERROR")</f>
        <v>150</v>
      </c>
      <c r="M37" s="235">
        <f t="shared" si="2"/>
        <v>0.51194539249146753</v>
      </c>
      <c r="N37" s="237">
        <f>IFERROR(VLOOKUP($B37,MMWR_TRAD_AGG_RO_COMP[],N$1,0),"ERROR")</f>
        <v>155</v>
      </c>
      <c r="O37" s="238">
        <f>IFERROR(VLOOKUP($B37,MMWR_TRAD_AGG_RO_COMP[],O$1,0),"ERROR")</f>
        <v>84</v>
      </c>
      <c r="P37" s="235">
        <f t="shared" si="3"/>
        <v>0.54193548387096779</v>
      </c>
      <c r="Q37" s="239">
        <f>IFERROR(VLOOKUP($B37,MMWR_TRAD_AGG_RO_COMP[],Q$1,0),"ERROR")</f>
        <v>0</v>
      </c>
      <c r="R37" s="239">
        <f>IFERROR(VLOOKUP($B37,MMWR_TRAD_AGG_RO_COMP[],R$1,0),"ERROR")</f>
        <v>10</v>
      </c>
      <c r="S37" s="204">
        <f>IFERROR(VLOOKUP($B37,MMWR_APP_RO[],S$1,0),"ERROR")</f>
        <v>1292</v>
      </c>
      <c r="T37" s="28"/>
    </row>
    <row r="38" spans="1:20" x14ac:dyDescent="0.2">
      <c r="A38" s="28"/>
      <c r="B38" s="101" t="s">
        <v>395</v>
      </c>
      <c r="C38" s="215">
        <f>IFERROR(VLOOKUP($B38,MMWR_TRAD_AGG_DISTRICT_COMP[],C$1,0),"ERROR")</f>
        <v>59983</v>
      </c>
      <c r="D38" s="200">
        <f>IFERROR(VLOOKUP($B38,MMWR_TRAD_AGG_DISTRICT_COMP[],D$1,0),"ERROR")</f>
        <v>321.53315105950003</v>
      </c>
      <c r="E38" s="216">
        <f>IFERROR(VLOOKUP($B38,MMWR_TRAD_AGG_DISTRICT_COMP[],E$1,0),"ERROR")</f>
        <v>67767</v>
      </c>
      <c r="F38" s="221">
        <f>IFERROR(VLOOKUP($B38,MMWR_TRAD_AGG_DISTRICT_COMP[],F$1,0),"ERROR")</f>
        <v>19804</v>
      </c>
      <c r="G38" s="217">
        <f t="shared" si="0"/>
        <v>0.29223663435005237</v>
      </c>
      <c r="H38" s="221">
        <f>IFERROR(VLOOKUP($B38,MMWR_TRAD_AGG_DISTRICT_COMP[],H$1,0),"ERROR")</f>
        <v>93467</v>
      </c>
      <c r="I38" s="221">
        <f>IFERROR(VLOOKUP($B38,MMWR_TRAD_AGG_DISTRICT_COMP[],I$1,0),"ERROR")</f>
        <v>49393</v>
      </c>
      <c r="J38" s="217">
        <f t="shared" si="1"/>
        <v>0.52845389281778599</v>
      </c>
      <c r="K38" s="215">
        <f>IFERROR(VLOOKUP($B38,MMWR_TRAD_AGG_DISTRICT_COMP[],K$1,0),"ERROR")</f>
        <v>14234</v>
      </c>
      <c r="L38" s="215">
        <f>IFERROR(VLOOKUP($B38,MMWR_TRAD_AGG_DISTRICT_COMP[],L$1,0),"ERROR")</f>
        <v>9687</v>
      </c>
      <c r="M38" s="217">
        <f t="shared" si="2"/>
        <v>0.68055360404664889</v>
      </c>
      <c r="N38" s="215">
        <f>IFERROR(VLOOKUP($B38,MMWR_TRAD_AGG_DISTRICT_COMP[],N$1,0),"ERROR")</f>
        <v>23239</v>
      </c>
      <c r="O38" s="215">
        <f>IFERROR(VLOOKUP($B38,MMWR_TRAD_AGG_DISTRICT_COMP[],O$1,0),"ERROR")</f>
        <v>16741</v>
      </c>
      <c r="P38" s="217">
        <f t="shared" si="3"/>
        <v>0.72038383751452295</v>
      </c>
      <c r="Q38" s="215">
        <f>IFERROR(VLOOKUP($B38,MMWR_TRAD_AGG_DISTRICT_COMP[],Q$1,0),"ERROR")</f>
        <v>118</v>
      </c>
      <c r="R38" s="218">
        <f>IFERROR(VLOOKUP($B38,MMWR_TRAD_AGG_DISTRICT_COMP[],R$1,0),"ERROR")</f>
        <v>1255</v>
      </c>
      <c r="S38" s="218">
        <f>IFERROR(VLOOKUP($B38,MMWR_APP_RO[],S$1,0),"ERROR")</f>
        <v>64264</v>
      </c>
      <c r="T38" s="28"/>
    </row>
    <row r="39" spans="1:20" x14ac:dyDescent="0.2">
      <c r="A39" s="28"/>
      <c r="B39" s="108" t="s">
        <v>39</v>
      </c>
      <c r="C39" s="222">
        <f>IFERROR(VLOOKUP($B39,MMWR_TRAD_AGG_RO_COMP[],C$1,0),"ERROR")</f>
        <v>632</v>
      </c>
      <c r="D39" s="223">
        <f>IFERROR(VLOOKUP($B39,MMWR_TRAD_AGG_RO_COMP[],D$1,0),"ERROR")</f>
        <v>241.13607594940001</v>
      </c>
      <c r="E39" s="224">
        <f>IFERROR(VLOOKUP($B39,MMWR_TRAD_AGG_RO_COMP[],E$1,0),"ERROR")</f>
        <v>853</v>
      </c>
      <c r="F39" s="225">
        <f>IFERROR(VLOOKUP($B39,MMWR_TRAD_AGG_RO_COMP[],F$1,0),"ERROR")</f>
        <v>204</v>
      </c>
      <c r="G39" s="226">
        <f t="shared" si="0"/>
        <v>0.2391559202813599</v>
      </c>
      <c r="H39" s="227">
        <f>IFERROR(VLOOKUP($B39,MMWR_TRAD_AGG_RO_COMP[],H$1,0),"ERROR")</f>
        <v>932</v>
      </c>
      <c r="I39" s="225">
        <f>IFERROR(VLOOKUP($B39,MMWR_TRAD_AGG_RO_COMP[],I$1,0),"ERROR")</f>
        <v>403</v>
      </c>
      <c r="J39" s="226">
        <f t="shared" si="1"/>
        <v>0.43240343347639487</v>
      </c>
      <c r="K39" s="228">
        <f>IFERROR(VLOOKUP($B39,MMWR_TRAD_AGG_RO_COMP[],K$1,0),"ERROR")</f>
        <v>127</v>
      </c>
      <c r="L39" s="229">
        <f>IFERROR(VLOOKUP($B39,MMWR_TRAD_AGG_RO_COMP[],L$1,0),"ERROR")</f>
        <v>102</v>
      </c>
      <c r="M39" s="226">
        <f t="shared" si="2"/>
        <v>0.80314960629921262</v>
      </c>
      <c r="N39" s="228">
        <f>IFERROR(VLOOKUP($B39,MMWR_TRAD_AGG_RO_COMP[],N$1,0),"ERROR")</f>
        <v>114</v>
      </c>
      <c r="O39" s="229">
        <f>IFERROR(VLOOKUP($B39,MMWR_TRAD_AGG_RO_COMP[],O$1,0),"ERROR")</f>
        <v>33</v>
      </c>
      <c r="P39" s="226">
        <f t="shared" si="3"/>
        <v>0.28947368421052633</v>
      </c>
      <c r="Q39" s="230">
        <f>IFERROR(VLOOKUP($B39,MMWR_TRAD_AGG_RO_COMP[],Q$1,0),"ERROR")</f>
        <v>25</v>
      </c>
      <c r="R39" s="230">
        <f>IFERROR(VLOOKUP($B39,MMWR_TRAD_AGG_RO_COMP[],R$1,0),"ERROR")</f>
        <v>8</v>
      </c>
      <c r="S39" s="204">
        <f>IFERROR(VLOOKUP($B39,MMWR_APP_RO[],S$1,0),"ERROR")</f>
        <v>317</v>
      </c>
      <c r="T39" s="28"/>
    </row>
    <row r="40" spans="1:20" x14ac:dyDescent="0.2">
      <c r="A40" s="28"/>
      <c r="B40" s="108" t="s">
        <v>43</v>
      </c>
      <c r="C40" s="222">
        <f>IFERROR(VLOOKUP($B40,MMWR_TRAD_AGG_RO_COMP[],C$1,0),"ERROR")</f>
        <v>6910</v>
      </c>
      <c r="D40" s="223">
        <f>IFERROR(VLOOKUP($B40,MMWR_TRAD_AGG_RO_COMP[],D$1,0),"ERROR")</f>
        <v>424.12257597680002</v>
      </c>
      <c r="E40" s="224">
        <f>IFERROR(VLOOKUP($B40,MMWR_TRAD_AGG_RO_COMP[],E$1,0),"ERROR")</f>
        <v>7372</v>
      </c>
      <c r="F40" s="225">
        <f>IFERROR(VLOOKUP($B40,MMWR_TRAD_AGG_RO_COMP[],F$1,0),"ERROR")</f>
        <v>2932</v>
      </c>
      <c r="G40" s="226">
        <f t="shared" si="0"/>
        <v>0.3977211068909387</v>
      </c>
      <c r="H40" s="227">
        <f>IFERROR(VLOOKUP($B40,MMWR_TRAD_AGG_RO_COMP[],H$1,0),"ERROR")</f>
        <v>9153</v>
      </c>
      <c r="I40" s="225">
        <f>IFERROR(VLOOKUP($B40,MMWR_TRAD_AGG_RO_COMP[],I$1,0),"ERROR")</f>
        <v>6202</v>
      </c>
      <c r="J40" s="226">
        <f t="shared" si="1"/>
        <v>0.6775920463236097</v>
      </c>
      <c r="K40" s="228">
        <f>IFERROR(VLOOKUP($B40,MMWR_TRAD_AGG_RO_COMP[],K$1,0),"ERROR")</f>
        <v>2030</v>
      </c>
      <c r="L40" s="229">
        <f>IFERROR(VLOOKUP($B40,MMWR_TRAD_AGG_RO_COMP[],L$1,0),"ERROR")</f>
        <v>1770</v>
      </c>
      <c r="M40" s="226">
        <f t="shared" si="2"/>
        <v>0.8719211822660099</v>
      </c>
      <c r="N40" s="228">
        <f>IFERROR(VLOOKUP($B40,MMWR_TRAD_AGG_RO_COMP[],N$1,0),"ERROR")</f>
        <v>5004</v>
      </c>
      <c r="O40" s="229">
        <f>IFERROR(VLOOKUP($B40,MMWR_TRAD_AGG_RO_COMP[],O$1,0),"ERROR")</f>
        <v>3793</v>
      </c>
      <c r="P40" s="226">
        <f t="shared" si="3"/>
        <v>0.7579936051159073</v>
      </c>
      <c r="Q40" s="230">
        <f>IFERROR(VLOOKUP($B40,MMWR_TRAD_AGG_RO_COMP[],Q$1,0),"ERROR")</f>
        <v>1</v>
      </c>
      <c r="R40" s="230">
        <f>IFERROR(VLOOKUP($B40,MMWR_TRAD_AGG_RO_COMP[],R$1,0),"ERROR")</f>
        <v>65</v>
      </c>
      <c r="S40" s="204">
        <f>IFERROR(VLOOKUP($B40,MMWR_APP_RO[],S$1,0),"ERROR")</f>
        <v>5720</v>
      </c>
      <c r="T40" s="28"/>
    </row>
    <row r="41" spans="1:20" x14ac:dyDescent="0.2">
      <c r="A41" s="28"/>
      <c r="B41" s="108" t="s">
        <v>187</v>
      </c>
      <c r="C41" s="222">
        <f>IFERROR(VLOOKUP($B41,MMWR_TRAD_AGG_RO_COMP[],C$1,0),"ERROR")</f>
        <v>746</v>
      </c>
      <c r="D41" s="223">
        <f>IFERROR(VLOOKUP($B41,MMWR_TRAD_AGG_RO_COMP[],D$1,0),"ERROR")</f>
        <v>211.94638069710001</v>
      </c>
      <c r="E41" s="224">
        <f>IFERROR(VLOOKUP($B41,MMWR_TRAD_AGG_RO_COMP[],E$1,0),"ERROR")</f>
        <v>823</v>
      </c>
      <c r="F41" s="225">
        <f>IFERROR(VLOOKUP($B41,MMWR_TRAD_AGG_RO_COMP[],F$1,0),"ERROR")</f>
        <v>79</v>
      </c>
      <c r="G41" s="226">
        <f t="shared" si="0"/>
        <v>9.5990279465370601E-2</v>
      </c>
      <c r="H41" s="227">
        <f>IFERROR(VLOOKUP($B41,MMWR_TRAD_AGG_RO_COMP[],H$1,0),"ERROR")</f>
        <v>1226</v>
      </c>
      <c r="I41" s="225">
        <f>IFERROR(VLOOKUP($B41,MMWR_TRAD_AGG_RO_COMP[],I$1,0),"ERROR")</f>
        <v>415</v>
      </c>
      <c r="J41" s="226">
        <f t="shared" si="1"/>
        <v>0.33849918433931486</v>
      </c>
      <c r="K41" s="228">
        <f>IFERROR(VLOOKUP($B41,MMWR_TRAD_AGG_RO_COMP[],K$1,0),"ERROR")</f>
        <v>323</v>
      </c>
      <c r="L41" s="229">
        <f>IFERROR(VLOOKUP($B41,MMWR_TRAD_AGG_RO_COMP[],L$1,0),"ERROR")</f>
        <v>189</v>
      </c>
      <c r="M41" s="226">
        <f t="shared" si="2"/>
        <v>0.5851393188854489</v>
      </c>
      <c r="N41" s="228">
        <f>IFERROR(VLOOKUP($B41,MMWR_TRAD_AGG_RO_COMP[],N$1,0),"ERROR")</f>
        <v>95</v>
      </c>
      <c r="O41" s="229">
        <f>IFERROR(VLOOKUP($B41,MMWR_TRAD_AGG_RO_COMP[],O$1,0),"ERROR")</f>
        <v>34</v>
      </c>
      <c r="P41" s="226">
        <f t="shared" si="3"/>
        <v>0.35789473684210527</v>
      </c>
      <c r="Q41" s="230">
        <f>IFERROR(VLOOKUP($B41,MMWR_TRAD_AGG_RO_COMP[],Q$1,0),"ERROR")</f>
        <v>0</v>
      </c>
      <c r="R41" s="230">
        <f>IFERROR(VLOOKUP($B41,MMWR_TRAD_AGG_RO_COMP[],R$1,0),"ERROR")</f>
        <v>2</v>
      </c>
      <c r="S41" s="204">
        <f>IFERROR(VLOOKUP($B41,MMWR_APP_RO[],S$1,0),"ERROR")</f>
        <v>249</v>
      </c>
      <c r="T41" s="28"/>
    </row>
    <row r="42" spans="1:20" x14ac:dyDescent="0.2">
      <c r="A42" s="28"/>
      <c r="B42" s="108" t="s">
        <v>49</v>
      </c>
      <c r="C42" s="222">
        <f>IFERROR(VLOOKUP($B42,MMWR_TRAD_AGG_RO_COMP[],C$1,0),"ERROR")</f>
        <v>13022</v>
      </c>
      <c r="D42" s="223">
        <f>IFERROR(VLOOKUP($B42,MMWR_TRAD_AGG_RO_COMP[],D$1,0),"ERROR")</f>
        <v>338.89402549530001</v>
      </c>
      <c r="E42" s="224">
        <f>IFERROR(VLOOKUP($B42,MMWR_TRAD_AGG_RO_COMP[],E$1,0),"ERROR")</f>
        <v>16843</v>
      </c>
      <c r="F42" s="225">
        <f>IFERROR(VLOOKUP($B42,MMWR_TRAD_AGG_RO_COMP[],F$1,0),"ERROR")</f>
        <v>5457</v>
      </c>
      <c r="G42" s="226">
        <f t="shared" si="0"/>
        <v>0.32399216291634508</v>
      </c>
      <c r="H42" s="227">
        <f>IFERROR(VLOOKUP($B42,MMWR_TRAD_AGG_RO_COMP[],H$1,0),"ERROR")</f>
        <v>17300</v>
      </c>
      <c r="I42" s="225">
        <f>IFERROR(VLOOKUP($B42,MMWR_TRAD_AGG_RO_COMP[],I$1,0),"ERROR")</f>
        <v>11359</v>
      </c>
      <c r="J42" s="226">
        <f t="shared" si="1"/>
        <v>0.65658959537572259</v>
      </c>
      <c r="K42" s="228">
        <f>IFERROR(VLOOKUP($B42,MMWR_TRAD_AGG_RO_COMP[],K$1,0),"ERROR")</f>
        <v>1796</v>
      </c>
      <c r="L42" s="229">
        <f>IFERROR(VLOOKUP($B42,MMWR_TRAD_AGG_RO_COMP[],L$1,0),"ERROR")</f>
        <v>1471</v>
      </c>
      <c r="M42" s="226">
        <f t="shared" si="2"/>
        <v>0.81904231625835189</v>
      </c>
      <c r="N42" s="228">
        <f>IFERROR(VLOOKUP($B42,MMWR_TRAD_AGG_RO_COMP[],N$1,0),"ERROR")</f>
        <v>4502</v>
      </c>
      <c r="O42" s="229">
        <f>IFERROR(VLOOKUP($B42,MMWR_TRAD_AGG_RO_COMP[],O$1,0),"ERROR")</f>
        <v>3478</v>
      </c>
      <c r="P42" s="226">
        <f t="shared" si="3"/>
        <v>0.77254553531763659</v>
      </c>
      <c r="Q42" s="230">
        <f>IFERROR(VLOOKUP($B42,MMWR_TRAD_AGG_RO_COMP[],Q$1,0),"ERROR")</f>
        <v>0</v>
      </c>
      <c r="R42" s="230">
        <f>IFERROR(VLOOKUP($B42,MMWR_TRAD_AGG_RO_COMP[],R$1,0),"ERROR")</f>
        <v>241</v>
      </c>
      <c r="S42" s="204">
        <f>IFERROR(VLOOKUP($B42,MMWR_APP_RO[],S$1,0),"ERROR")</f>
        <v>19256</v>
      </c>
      <c r="T42" s="28"/>
    </row>
    <row r="43" spans="1:20" x14ac:dyDescent="0.2">
      <c r="A43" s="28"/>
      <c r="B43" s="108" t="s">
        <v>52</v>
      </c>
      <c r="C43" s="222">
        <f>IFERROR(VLOOKUP($B43,MMWR_TRAD_AGG_RO_COMP[],C$1,0),"ERROR")</f>
        <v>4159</v>
      </c>
      <c r="D43" s="223">
        <f>IFERROR(VLOOKUP($B43,MMWR_TRAD_AGG_RO_COMP[],D$1,0),"ERROR")</f>
        <v>386.86006251499998</v>
      </c>
      <c r="E43" s="224">
        <f>IFERROR(VLOOKUP($B43,MMWR_TRAD_AGG_RO_COMP[],E$1,0),"ERROR")</f>
        <v>3923</v>
      </c>
      <c r="F43" s="225">
        <f>IFERROR(VLOOKUP($B43,MMWR_TRAD_AGG_RO_COMP[],F$1,0),"ERROR")</f>
        <v>1617</v>
      </c>
      <c r="G43" s="226">
        <f t="shared" si="0"/>
        <v>0.41218455263828702</v>
      </c>
      <c r="H43" s="227">
        <f>IFERROR(VLOOKUP($B43,MMWR_TRAD_AGG_RO_COMP[],H$1,0),"ERROR")</f>
        <v>6126</v>
      </c>
      <c r="I43" s="225">
        <f>IFERROR(VLOOKUP($B43,MMWR_TRAD_AGG_RO_COMP[],I$1,0),"ERROR")</f>
        <v>3972</v>
      </c>
      <c r="J43" s="226">
        <f t="shared" si="1"/>
        <v>0.64838393731635646</v>
      </c>
      <c r="K43" s="228">
        <f>IFERROR(VLOOKUP($B43,MMWR_TRAD_AGG_RO_COMP[],K$1,0),"ERROR")</f>
        <v>1899</v>
      </c>
      <c r="L43" s="229">
        <f>IFERROR(VLOOKUP($B43,MMWR_TRAD_AGG_RO_COMP[],L$1,0),"ERROR")</f>
        <v>1418</v>
      </c>
      <c r="M43" s="226">
        <f t="shared" si="2"/>
        <v>0.74670879410215907</v>
      </c>
      <c r="N43" s="228">
        <f>IFERROR(VLOOKUP($B43,MMWR_TRAD_AGG_RO_COMP[],N$1,0),"ERROR")</f>
        <v>2374</v>
      </c>
      <c r="O43" s="229">
        <f>IFERROR(VLOOKUP($B43,MMWR_TRAD_AGG_RO_COMP[],O$1,0),"ERROR")</f>
        <v>1478</v>
      </c>
      <c r="P43" s="226">
        <f t="shared" si="3"/>
        <v>0.62257792754844143</v>
      </c>
      <c r="Q43" s="230">
        <f>IFERROR(VLOOKUP($B43,MMWR_TRAD_AGG_RO_COMP[],Q$1,0),"ERROR")</f>
        <v>87</v>
      </c>
      <c r="R43" s="230">
        <f>IFERROR(VLOOKUP($B43,MMWR_TRAD_AGG_RO_COMP[],R$1,0),"ERROR")</f>
        <v>172</v>
      </c>
      <c r="S43" s="204">
        <f>IFERROR(VLOOKUP($B43,MMWR_APP_RO[],S$1,0),"ERROR")</f>
        <v>4267</v>
      </c>
      <c r="T43" s="28"/>
    </row>
    <row r="44" spans="1:20" x14ac:dyDescent="0.2">
      <c r="A44" s="28"/>
      <c r="B44" s="108" t="s">
        <v>54</v>
      </c>
      <c r="C44" s="222">
        <f>IFERROR(VLOOKUP($B44,MMWR_TRAD_AGG_RO_COMP[],C$1,0),"ERROR")</f>
        <v>4688</v>
      </c>
      <c r="D44" s="223">
        <f>IFERROR(VLOOKUP($B44,MMWR_TRAD_AGG_RO_COMP[],D$1,0),"ERROR")</f>
        <v>328.89782423209999</v>
      </c>
      <c r="E44" s="224">
        <f>IFERROR(VLOOKUP($B44,MMWR_TRAD_AGG_RO_COMP[],E$1,0),"ERROR")</f>
        <v>3383</v>
      </c>
      <c r="F44" s="225">
        <f>IFERROR(VLOOKUP($B44,MMWR_TRAD_AGG_RO_COMP[],F$1,0),"ERROR")</f>
        <v>652</v>
      </c>
      <c r="G44" s="226">
        <f t="shared" si="0"/>
        <v>0.19272834762045521</v>
      </c>
      <c r="H44" s="227">
        <f>IFERROR(VLOOKUP($B44,MMWR_TRAD_AGG_RO_COMP[],H$1,0),"ERROR")</f>
        <v>8445</v>
      </c>
      <c r="I44" s="225">
        <f>IFERROR(VLOOKUP($B44,MMWR_TRAD_AGG_RO_COMP[],I$1,0),"ERROR")</f>
        <v>3775</v>
      </c>
      <c r="J44" s="226">
        <f t="shared" si="1"/>
        <v>0.44701006512729424</v>
      </c>
      <c r="K44" s="228">
        <f>IFERROR(VLOOKUP($B44,MMWR_TRAD_AGG_RO_COMP[],K$1,0),"ERROR")</f>
        <v>3965</v>
      </c>
      <c r="L44" s="229">
        <f>IFERROR(VLOOKUP($B44,MMWR_TRAD_AGG_RO_COMP[],L$1,0),"ERROR")</f>
        <v>2207</v>
      </c>
      <c r="M44" s="226">
        <f t="shared" si="2"/>
        <v>0.55662042875157625</v>
      </c>
      <c r="N44" s="228">
        <f>IFERROR(VLOOKUP($B44,MMWR_TRAD_AGG_RO_COMP[],N$1,0),"ERROR")</f>
        <v>6711</v>
      </c>
      <c r="O44" s="229">
        <f>IFERROR(VLOOKUP($B44,MMWR_TRAD_AGG_RO_COMP[],O$1,0),"ERROR")</f>
        <v>5945</v>
      </c>
      <c r="P44" s="226">
        <f t="shared" si="3"/>
        <v>0.88585903740128147</v>
      </c>
      <c r="Q44" s="230">
        <f>IFERROR(VLOOKUP($B44,MMWR_TRAD_AGG_RO_COMP[],Q$1,0),"ERROR")</f>
        <v>1</v>
      </c>
      <c r="R44" s="230">
        <f>IFERROR(VLOOKUP($B44,MMWR_TRAD_AGG_RO_COMP[],R$1,0),"ERROR")</f>
        <v>162</v>
      </c>
      <c r="S44" s="204">
        <f>IFERROR(VLOOKUP($B44,MMWR_APP_RO[],S$1,0),"ERROR")</f>
        <v>5190</v>
      </c>
      <c r="T44" s="28"/>
    </row>
    <row r="45" spans="1:20" x14ac:dyDescent="0.2">
      <c r="A45" s="28"/>
      <c r="B45" s="108" t="s">
        <v>27</v>
      </c>
      <c r="C45" s="222">
        <f>IFERROR(VLOOKUP($B45,MMWR_TRAD_AGG_RO_COMP[],C$1,0),"ERROR")</f>
        <v>2519</v>
      </c>
      <c r="D45" s="223">
        <f>IFERROR(VLOOKUP($B45,MMWR_TRAD_AGG_RO_COMP[],D$1,0),"ERROR")</f>
        <v>134.2231044065</v>
      </c>
      <c r="E45" s="224">
        <f>IFERROR(VLOOKUP($B45,MMWR_TRAD_AGG_RO_COMP[],E$1,0),"ERROR")</f>
        <v>6710</v>
      </c>
      <c r="F45" s="225">
        <f>IFERROR(VLOOKUP($B45,MMWR_TRAD_AGG_RO_COMP[],F$1,0),"ERROR")</f>
        <v>1607</v>
      </c>
      <c r="G45" s="226">
        <f t="shared" si="0"/>
        <v>0.23949329359165425</v>
      </c>
      <c r="H45" s="227">
        <f>IFERROR(VLOOKUP($B45,MMWR_TRAD_AGG_RO_COMP[],H$1,0),"ERROR")</f>
        <v>9914</v>
      </c>
      <c r="I45" s="225">
        <f>IFERROR(VLOOKUP($B45,MMWR_TRAD_AGG_RO_COMP[],I$1,0),"ERROR")</f>
        <v>2571</v>
      </c>
      <c r="J45" s="226">
        <f t="shared" si="1"/>
        <v>0.25933024006455518</v>
      </c>
      <c r="K45" s="228">
        <f>IFERROR(VLOOKUP($B45,MMWR_TRAD_AGG_RO_COMP[],K$1,0),"ERROR")</f>
        <v>1170</v>
      </c>
      <c r="L45" s="229">
        <f>IFERROR(VLOOKUP($B45,MMWR_TRAD_AGG_RO_COMP[],L$1,0),"ERROR")</f>
        <v>499</v>
      </c>
      <c r="M45" s="226">
        <f t="shared" si="2"/>
        <v>0.42649572649572648</v>
      </c>
      <c r="N45" s="228">
        <f>IFERROR(VLOOKUP($B45,MMWR_TRAD_AGG_RO_COMP[],N$1,0),"ERROR")</f>
        <v>542</v>
      </c>
      <c r="O45" s="229">
        <f>IFERROR(VLOOKUP($B45,MMWR_TRAD_AGG_RO_COMP[],O$1,0),"ERROR")</f>
        <v>188</v>
      </c>
      <c r="P45" s="226">
        <f t="shared" si="3"/>
        <v>0.34686346863468637</v>
      </c>
      <c r="Q45" s="230">
        <f>IFERROR(VLOOKUP($B45,MMWR_TRAD_AGG_RO_COMP[],Q$1,0),"ERROR")</f>
        <v>0</v>
      </c>
      <c r="R45" s="230">
        <f>IFERROR(VLOOKUP($B45,MMWR_TRAD_AGG_RO_COMP[],R$1,0),"ERROR")</f>
        <v>63</v>
      </c>
      <c r="S45" s="204">
        <f>IFERROR(VLOOKUP($B45,MMWR_APP_RO[],S$1,0),"ERROR")</f>
        <v>3902</v>
      </c>
      <c r="T45" s="28"/>
    </row>
    <row r="46" spans="1:20" x14ac:dyDescent="0.2">
      <c r="A46" s="28"/>
      <c r="B46" s="108" t="s">
        <v>62</v>
      </c>
      <c r="C46" s="222">
        <f>IFERROR(VLOOKUP($B46,MMWR_TRAD_AGG_RO_COMP[],C$1,0),"ERROR")</f>
        <v>5699</v>
      </c>
      <c r="D46" s="223">
        <f>IFERROR(VLOOKUP($B46,MMWR_TRAD_AGG_RO_COMP[],D$1,0),"ERROR")</f>
        <v>407.63835760659998</v>
      </c>
      <c r="E46" s="224">
        <f>IFERROR(VLOOKUP($B46,MMWR_TRAD_AGG_RO_COMP[],E$1,0),"ERROR")</f>
        <v>5504</v>
      </c>
      <c r="F46" s="225">
        <f>IFERROR(VLOOKUP($B46,MMWR_TRAD_AGG_RO_COMP[],F$1,0),"ERROR")</f>
        <v>1424</v>
      </c>
      <c r="G46" s="226">
        <f t="shared" si="0"/>
        <v>0.25872093023255816</v>
      </c>
      <c r="H46" s="227">
        <f>IFERROR(VLOOKUP($B46,MMWR_TRAD_AGG_RO_COMP[],H$1,0),"ERROR")</f>
        <v>7049</v>
      </c>
      <c r="I46" s="225">
        <f>IFERROR(VLOOKUP($B46,MMWR_TRAD_AGG_RO_COMP[],I$1,0),"ERROR")</f>
        <v>4546</v>
      </c>
      <c r="J46" s="226">
        <f t="shared" si="1"/>
        <v>0.6449141722230104</v>
      </c>
      <c r="K46" s="228">
        <f>IFERROR(VLOOKUP($B46,MMWR_TRAD_AGG_RO_COMP[],K$1,0),"ERROR")</f>
        <v>573</v>
      </c>
      <c r="L46" s="229">
        <f>IFERROR(VLOOKUP($B46,MMWR_TRAD_AGG_RO_COMP[],L$1,0),"ERROR")</f>
        <v>466</v>
      </c>
      <c r="M46" s="226">
        <f t="shared" si="2"/>
        <v>0.81326352530541013</v>
      </c>
      <c r="N46" s="228">
        <f>IFERROR(VLOOKUP($B46,MMWR_TRAD_AGG_RO_COMP[],N$1,0),"ERROR")</f>
        <v>911</v>
      </c>
      <c r="O46" s="229">
        <f>IFERROR(VLOOKUP($B46,MMWR_TRAD_AGG_RO_COMP[],O$1,0),"ERROR")</f>
        <v>449</v>
      </c>
      <c r="P46" s="226">
        <f t="shared" si="3"/>
        <v>0.49286498353457736</v>
      </c>
      <c r="Q46" s="230">
        <f>IFERROR(VLOOKUP($B46,MMWR_TRAD_AGG_RO_COMP[],Q$1,0),"ERROR")</f>
        <v>2</v>
      </c>
      <c r="R46" s="230">
        <f>IFERROR(VLOOKUP($B46,MMWR_TRAD_AGG_RO_COMP[],R$1,0),"ERROR")</f>
        <v>313</v>
      </c>
      <c r="S46" s="204">
        <f>IFERROR(VLOOKUP($B46,MMWR_APP_RO[],S$1,0),"ERROR")</f>
        <v>5780</v>
      </c>
      <c r="T46" s="28"/>
    </row>
    <row r="47" spans="1:20" x14ac:dyDescent="0.2">
      <c r="A47" s="28"/>
      <c r="B47" s="108" t="s">
        <v>73</v>
      </c>
      <c r="C47" s="222">
        <f>IFERROR(VLOOKUP($B47,MMWR_TRAD_AGG_RO_COMP[],C$1,0),"ERROR")</f>
        <v>7912</v>
      </c>
      <c r="D47" s="223">
        <f>IFERROR(VLOOKUP($B47,MMWR_TRAD_AGG_RO_COMP[],D$1,0),"ERROR")</f>
        <v>220.46359959559999</v>
      </c>
      <c r="E47" s="224">
        <f>IFERROR(VLOOKUP($B47,MMWR_TRAD_AGG_RO_COMP[],E$1,0),"ERROR")</f>
        <v>4924</v>
      </c>
      <c r="F47" s="225">
        <f>IFERROR(VLOOKUP($B47,MMWR_TRAD_AGG_RO_COMP[],F$1,0),"ERROR")</f>
        <v>704</v>
      </c>
      <c r="G47" s="226">
        <f t="shared" si="0"/>
        <v>0.14297319252640131</v>
      </c>
      <c r="H47" s="227">
        <f>IFERROR(VLOOKUP($B47,MMWR_TRAD_AGG_RO_COMP[],H$1,0),"ERROR")</f>
        <v>16958</v>
      </c>
      <c r="I47" s="225">
        <f>IFERROR(VLOOKUP($B47,MMWR_TRAD_AGG_RO_COMP[],I$1,0),"ERROR")</f>
        <v>6995</v>
      </c>
      <c r="J47" s="226">
        <f t="shared" si="1"/>
        <v>0.41248968038683809</v>
      </c>
      <c r="K47" s="228">
        <f>IFERROR(VLOOKUP($B47,MMWR_TRAD_AGG_RO_COMP[],K$1,0),"ERROR")</f>
        <v>810</v>
      </c>
      <c r="L47" s="229">
        <f>IFERROR(VLOOKUP($B47,MMWR_TRAD_AGG_RO_COMP[],L$1,0),"ERROR")</f>
        <v>452</v>
      </c>
      <c r="M47" s="226">
        <f t="shared" si="2"/>
        <v>0.55802469135802468</v>
      </c>
      <c r="N47" s="228">
        <f>IFERROR(VLOOKUP($B47,MMWR_TRAD_AGG_RO_COMP[],N$1,0),"ERROR")</f>
        <v>80</v>
      </c>
      <c r="O47" s="229">
        <f>IFERROR(VLOOKUP($B47,MMWR_TRAD_AGG_RO_COMP[],O$1,0),"ERROR")</f>
        <v>43</v>
      </c>
      <c r="P47" s="226">
        <f t="shared" si="3"/>
        <v>0.53749999999999998</v>
      </c>
      <c r="Q47" s="230">
        <f>IFERROR(VLOOKUP($B47,MMWR_TRAD_AGG_RO_COMP[],Q$1,0),"ERROR")</f>
        <v>0</v>
      </c>
      <c r="R47" s="230">
        <f>IFERROR(VLOOKUP($B47,MMWR_TRAD_AGG_RO_COMP[],R$1,0),"ERROR")</f>
        <v>5</v>
      </c>
      <c r="S47" s="204">
        <f>IFERROR(VLOOKUP($B47,MMWR_APP_RO[],S$1,0),"ERROR")</f>
        <v>413</v>
      </c>
      <c r="T47" s="28"/>
    </row>
    <row r="48" spans="1:20" x14ac:dyDescent="0.2">
      <c r="A48" s="28"/>
      <c r="B48" s="116" t="s">
        <v>82</v>
      </c>
      <c r="C48" s="231">
        <f>IFERROR(VLOOKUP($B48,MMWR_TRAD_AGG_RO_COMP[],C$1,0),"ERROR")</f>
        <v>13696</v>
      </c>
      <c r="D48" s="232">
        <f>IFERROR(VLOOKUP($B48,MMWR_TRAD_AGG_RO_COMP[],D$1,0),"ERROR")</f>
        <v>297.59615946259999</v>
      </c>
      <c r="E48" s="233">
        <f>IFERROR(VLOOKUP($B48,MMWR_TRAD_AGG_RO_COMP[],E$1,0),"ERROR")</f>
        <v>17432</v>
      </c>
      <c r="F48" s="234">
        <f>IFERROR(VLOOKUP($B48,MMWR_TRAD_AGG_RO_COMP[],F$1,0),"ERROR")</f>
        <v>5128</v>
      </c>
      <c r="G48" s="235">
        <f t="shared" si="0"/>
        <v>0.29417163836622306</v>
      </c>
      <c r="H48" s="236">
        <f>IFERROR(VLOOKUP($B48,MMWR_TRAD_AGG_RO_COMP[],H$1,0),"ERROR")</f>
        <v>16364</v>
      </c>
      <c r="I48" s="234">
        <f>IFERROR(VLOOKUP($B48,MMWR_TRAD_AGG_RO_COMP[],I$1,0),"ERROR")</f>
        <v>9155</v>
      </c>
      <c r="J48" s="235">
        <f t="shared" si="1"/>
        <v>0.55945978978244926</v>
      </c>
      <c r="K48" s="237">
        <f>IFERROR(VLOOKUP($B48,MMWR_TRAD_AGG_RO_COMP[],K$1,0),"ERROR")</f>
        <v>1541</v>
      </c>
      <c r="L48" s="238">
        <f>IFERROR(VLOOKUP($B48,MMWR_TRAD_AGG_RO_COMP[],L$1,0),"ERROR")</f>
        <v>1113</v>
      </c>
      <c r="M48" s="235">
        <f t="shared" si="2"/>
        <v>0.72225827384815056</v>
      </c>
      <c r="N48" s="237">
        <f>IFERROR(VLOOKUP($B48,MMWR_TRAD_AGG_RO_COMP[],N$1,0),"ERROR")</f>
        <v>2906</v>
      </c>
      <c r="O48" s="238">
        <f>IFERROR(VLOOKUP($B48,MMWR_TRAD_AGG_RO_COMP[],O$1,0),"ERROR")</f>
        <v>1300</v>
      </c>
      <c r="P48" s="235">
        <f t="shared" si="3"/>
        <v>0.44735030970406059</v>
      </c>
      <c r="Q48" s="239">
        <f>IFERROR(VLOOKUP($B48,MMWR_TRAD_AGG_RO_COMP[],Q$1,0),"ERROR")</f>
        <v>2</v>
      </c>
      <c r="R48" s="239">
        <f>IFERROR(VLOOKUP($B48,MMWR_TRAD_AGG_RO_COMP[],R$1,0),"ERROR")</f>
        <v>224</v>
      </c>
      <c r="S48" s="204">
        <f>IFERROR(VLOOKUP($B48,MMWR_APP_RO[],S$1,0),"ERROR")</f>
        <v>19170</v>
      </c>
      <c r="T48" s="28"/>
    </row>
    <row r="49" spans="1:20" x14ac:dyDescent="0.2">
      <c r="A49" s="28"/>
      <c r="B49" s="101" t="s">
        <v>414</v>
      </c>
      <c r="C49" s="215">
        <f>IFERROR(VLOOKUP($B49,MMWR_TRAD_AGG_DISTRICT_COMP[],C$1,0),"ERROR")</f>
        <v>65331</v>
      </c>
      <c r="D49" s="200">
        <f>IFERROR(VLOOKUP($B49,MMWR_TRAD_AGG_DISTRICT_COMP[],D$1,0),"ERROR")</f>
        <v>366.5095130949</v>
      </c>
      <c r="E49" s="216">
        <f>IFERROR(VLOOKUP($B49,MMWR_TRAD_AGG_DISTRICT_COMP[],E$1,0),"ERROR")</f>
        <v>62888</v>
      </c>
      <c r="F49" s="221">
        <f>IFERROR(VLOOKUP($B49,MMWR_TRAD_AGG_DISTRICT_COMP[],F$1,0),"ERROR")</f>
        <v>17411</v>
      </c>
      <c r="G49" s="217">
        <f t="shared" si="0"/>
        <v>0.27685727006742145</v>
      </c>
      <c r="H49" s="221">
        <f>IFERROR(VLOOKUP($B49,MMWR_TRAD_AGG_DISTRICT_COMP[],H$1,0),"ERROR")</f>
        <v>90138</v>
      </c>
      <c r="I49" s="221">
        <f>IFERROR(VLOOKUP($B49,MMWR_TRAD_AGG_DISTRICT_COMP[],I$1,0),"ERROR")</f>
        <v>55412</v>
      </c>
      <c r="J49" s="217">
        <f t="shared" si="1"/>
        <v>0.61474627792939718</v>
      </c>
      <c r="K49" s="215">
        <f>IFERROR(VLOOKUP($B49,MMWR_TRAD_AGG_DISTRICT_COMP[],K$1,0),"ERROR")</f>
        <v>19141</v>
      </c>
      <c r="L49" s="215">
        <f>IFERROR(VLOOKUP($B49,MMWR_TRAD_AGG_DISTRICT_COMP[],L$1,0),"ERROR")</f>
        <v>15650</v>
      </c>
      <c r="M49" s="217">
        <f t="shared" si="2"/>
        <v>0.81761663444961075</v>
      </c>
      <c r="N49" s="215">
        <f>IFERROR(VLOOKUP($B49,MMWR_TRAD_AGG_DISTRICT_COMP[],N$1,0),"ERROR")</f>
        <v>23783</v>
      </c>
      <c r="O49" s="215">
        <f>IFERROR(VLOOKUP($B49,MMWR_TRAD_AGG_DISTRICT_COMP[],O$1,0),"ERROR")</f>
        <v>17391</v>
      </c>
      <c r="P49" s="217">
        <f t="shared" si="3"/>
        <v>0.73123659756969261</v>
      </c>
      <c r="Q49" s="215">
        <f>IFERROR(VLOOKUP($B49,MMWR_TRAD_AGG_DISTRICT_COMP[],Q$1,0),"ERROR")</f>
        <v>342</v>
      </c>
      <c r="R49" s="218">
        <f>IFERROR(VLOOKUP($B49,MMWR_TRAD_AGG_DISTRICT_COMP[],R$1,0),"ERROR")</f>
        <v>721</v>
      </c>
      <c r="S49" s="218">
        <f>IFERROR(VLOOKUP($B49,MMWR_APP_RO[],S$1,0),"ERROR")</f>
        <v>42490</v>
      </c>
      <c r="T49" s="28"/>
    </row>
    <row r="50" spans="1:20" x14ac:dyDescent="0.2">
      <c r="A50" s="28"/>
      <c r="B50" s="108" t="s">
        <v>34</v>
      </c>
      <c r="C50" s="222">
        <f>IFERROR(VLOOKUP($B50,MMWR_TRAD_AGG_RO_COMP[],C$1,0),"ERROR")</f>
        <v>1306</v>
      </c>
      <c r="D50" s="223">
        <f>IFERROR(VLOOKUP($B50,MMWR_TRAD_AGG_RO_COMP[],D$1,0),"ERROR")</f>
        <v>130.1026033691</v>
      </c>
      <c r="E50" s="224">
        <f>IFERROR(VLOOKUP($B50,MMWR_TRAD_AGG_RO_COMP[],E$1,0),"ERROR")</f>
        <v>2866</v>
      </c>
      <c r="F50" s="225">
        <f>IFERROR(VLOOKUP($B50,MMWR_TRAD_AGG_RO_COMP[],F$1,0),"ERROR")</f>
        <v>850</v>
      </c>
      <c r="G50" s="226">
        <f t="shared" si="0"/>
        <v>0.29658060013956733</v>
      </c>
      <c r="H50" s="227">
        <f>IFERROR(VLOOKUP($B50,MMWR_TRAD_AGG_RO_COMP[],H$1,0),"ERROR")</f>
        <v>1863</v>
      </c>
      <c r="I50" s="225">
        <f>IFERROR(VLOOKUP($B50,MMWR_TRAD_AGG_RO_COMP[],I$1,0),"ERROR")</f>
        <v>529</v>
      </c>
      <c r="J50" s="226">
        <f t="shared" si="1"/>
        <v>0.2839506172839506</v>
      </c>
      <c r="K50" s="228">
        <f>IFERROR(VLOOKUP($B50,MMWR_TRAD_AGG_RO_COMP[],K$1,0),"ERROR")</f>
        <v>187</v>
      </c>
      <c r="L50" s="229">
        <f>IFERROR(VLOOKUP($B50,MMWR_TRAD_AGG_RO_COMP[],L$1,0),"ERROR")</f>
        <v>101</v>
      </c>
      <c r="M50" s="226">
        <f t="shared" si="2"/>
        <v>0.5401069518716578</v>
      </c>
      <c r="N50" s="228">
        <f>IFERROR(VLOOKUP($B50,MMWR_TRAD_AGG_RO_COMP[],N$1,0),"ERROR")</f>
        <v>346</v>
      </c>
      <c r="O50" s="229">
        <f>IFERROR(VLOOKUP($B50,MMWR_TRAD_AGG_RO_COMP[],O$1,0),"ERROR")</f>
        <v>183</v>
      </c>
      <c r="P50" s="226">
        <f t="shared" si="3"/>
        <v>0.52890173410404628</v>
      </c>
      <c r="Q50" s="230">
        <f>IFERROR(VLOOKUP($B50,MMWR_TRAD_AGG_RO_COMP[],Q$1,0),"ERROR")</f>
        <v>0</v>
      </c>
      <c r="R50" s="230">
        <f>IFERROR(VLOOKUP($B50,MMWR_TRAD_AGG_RO_COMP[],R$1,0),"ERROR")</f>
        <v>19</v>
      </c>
      <c r="S50" s="204">
        <f>IFERROR(VLOOKUP($B50,MMWR_APP_RO[],S$1,0),"ERROR")</f>
        <v>1827</v>
      </c>
      <c r="T50" s="28"/>
    </row>
    <row r="51" spans="1:20" x14ac:dyDescent="0.2">
      <c r="A51" s="28"/>
      <c r="B51" s="108" t="s">
        <v>35</v>
      </c>
      <c r="C51" s="222">
        <f>IFERROR(VLOOKUP($B51,MMWR_TRAD_AGG_RO_COMP[],C$1,0),"ERROR")</f>
        <v>2191</v>
      </c>
      <c r="D51" s="223">
        <f>IFERROR(VLOOKUP($B51,MMWR_TRAD_AGG_RO_COMP[],D$1,0),"ERROR")</f>
        <v>486.51255134640002</v>
      </c>
      <c r="E51" s="224">
        <f>IFERROR(VLOOKUP($B51,MMWR_TRAD_AGG_RO_COMP[],E$1,0),"ERROR")</f>
        <v>896</v>
      </c>
      <c r="F51" s="225">
        <f>IFERROR(VLOOKUP($B51,MMWR_TRAD_AGG_RO_COMP[],F$1,0),"ERROR")</f>
        <v>129</v>
      </c>
      <c r="G51" s="226">
        <f t="shared" si="0"/>
        <v>0.14397321428571427</v>
      </c>
      <c r="H51" s="227">
        <f>IFERROR(VLOOKUP($B51,MMWR_TRAD_AGG_RO_COMP[],H$1,0),"ERROR")</f>
        <v>2809</v>
      </c>
      <c r="I51" s="225">
        <f>IFERROR(VLOOKUP($B51,MMWR_TRAD_AGG_RO_COMP[],I$1,0),"ERROR")</f>
        <v>2072</v>
      </c>
      <c r="J51" s="226">
        <f t="shared" si="1"/>
        <v>0.73762904948380204</v>
      </c>
      <c r="K51" s="228">
        <f>IFERROR(VLOOKUP($B51,MMWR_TRAD_AGG_RO_COMP[],K$1,0),"ERROR")</f>
        <v>1910</v>
      </c>
      <c r="L51" s="229">
        <f>IFERROR(VLOOKUP($B51,MMWR_TRAD_AGG_RO_COMP[],L$1,0),"ERROR")</f>
        <v>1736</v>
      </c>
      <c r="M51" s="226">
        <f t="shared" si="2"/>
        <v>0.90890052356020945</v>
      </c>
      <c r="N51" s="228">
        <f>IFERROR(VLOOKUP($B51,MMWR_TRAD_AGG_RO_COMP[],N$1,0),"ERROR")</f>
        <v>171</v>
      </c>
      <c r="O51" s="229">
        <f>IFERROR(VLOOKUP($B51,MMWR_TRAD_AGG_RO_COMP[],O$1,0),"ERROR")</f>
        <v>108</v>
      </c>
      <c r="P51" s="226">
        <f t="shared" si="3"/>
        <v>0.63157894736842102</v>
      </c>
      <c r="Q51" s="230">
        <f>IFERROR(VLOOKUP($B51,MMWR_TRAD_AGG_RO_COMP[],Q$1,0),"ERROR")</f>
        <v>0</v>
      </c>
      <c r="R51" s="230">
        <f>IFERROR(VLOOKUP($B51,MMWR_TRAD_AGG_RO_COMP[],R$1,0),"ERROR")</f>
        <v>2</v>
      </c>
      <c r="S51" s="204">
        <f>IFERROR(VLOOKUP($B51,MMWR_APP_RO[],S$1,0),"ERROR")</f>
        <v>238</v>
      </c>
      <c r="T51" s="28"/>
    </row>
    <row r="52" spans="1:20" x14ac:dyDescent="0.2">
      <c r="A52" s="28"/>
      <c r="B52" s="108" t="s">
        <v>37</v>
      </c>
      <c r="C52" s="222">
        <f>IFERROR(VLOOKUP($B52,MMWR_TRAD_AGG_RO_COMP[],C$1,0),"ERROR")</f>
        <v>364</v>
      </c>
      <c r="D52" s="223">
        <f>IFERROR(VLOOKUP($B52,MMWR_TRAD_AGG_RO_COMP[],D$1,0),"ERROR")</f>
        <v>91.667582417600002</v>
      </c>
      <c r="E52" s="224">
        <f>IFERROR(VLOOKUP($B52,MMWR_TRAD_AGG_RO_COMP[],E$1,0),"ERROR")</f>
        <v>1479</v>
      </c>
      <c r="F52" s="225">
        <f>IFERROR(VLOOKUP($B52,MMWR_TRAD_AGG_RO_COMP[],F$1,0),"ERROR")</f>
        <v>390</v>
      </c>
      <c r="G52" s="226">
        <f t="shared" si="0"/>
        <v>0.26369168356997974</v>
      </c>
      <c r="H52" s="227">
        <f>IFERROR(VLOOKUP($B52,MMWR_TRAD_AGG_RO_COMP[],H$1,0),"ERROR")</f>
        <v>936</v>
      </c>
      <c r="I52" s="225">
        <f>IFERROR(VLOOKUP($B52,MMWR_TRAD_AGG_RO_COMP[],I$1,0),"ERROR")</f>
        <v>94</v>
      </c>
      <c r="J52" s="226">
        <f t="shared" si="1"/>
        <v>0.10042735042735043</v>
      </c>
      <c r="K52" s="228">
        <f>IFERROR(VLOOKUP($B52,MMWR_TRAD_AGG_RO_COMP[],K$1,0),"ERROR")</f>
        <v>91</v>
      </c>
      <c r="L52" s="229">
        <f>IFERROR(VLOOKUP($B52,MMWR_TRAD_AGG_RO_COMP[],L$1,0),"ERROR")</f>
        <v>15</v>
      </c>
      <c r="M52" s="226">
        <f t="shared" si="2"/>
        <v>0.16483516483516483</v>
      </c>
      <c r="N52" s="228">
        <f>IFERROR(VLOOKUP($B52,MMWR_TRAD_AGG_RO_COMP[],N$1,0),"ERROR")</f>
        <v>116</v>
      </c>
      <c r="O52" s="229">
        <f>IFERROR(VLOOKUP($B52,MMWR_TRAD_AGG_RO_COMP[],O$1,0),"ERROR")</f>
        <v>45</v>
      </c>
      <c r="P52" s="226">
        <f t="shared" si="3"/>
        <v>0.38793103448275862</v>
      </c>
      <c r="Q52" s="230">
        <f>IFERROR(VLOOKUP($B52,MMWR_TRAD_AGG_RO_COMP[],Q$1,0),"ERROR")</f>
        <v>0</v>
      </c>
      <c r="R52" s="230">
        <f>IFERROR(VLOOKUP($B52,MMWR_TRAD_AGG_RO_COMP[],R$1,0),"ERROR")</f>
        <v>12</v>
      </c>
      <c r="S52" s="204">
        <f>IFERROR(VLOOKUP($B52,MMWR_APP_RO[],S$1,0),"ERROR")</f>
        <v>967</v>
      </c>
      <c r="T52" s="28"/>
    </row>
    <row r="53" spans="1:20" x14ac:dyDescent="0.2">
      <c r="A53" s="28"/>
      <c r="B53" s="108" t="s">
        <v>48</v>
      </c>
      <c r="C53" s="222">
        <f>IFERROR(VLOOKUP($B53,MMWR_TRAD_AGG_RO_COMP[],C$1,0),"ERROR")</f>
        <v>2031</v>
      </c>
      <c r="D53" s="223">
        <f>IFERROR(VLOOKUP($B53,MMWR_TRAD_AGG_RO_COMP[],D$1,0),"ERROR")</f>
        <v>221.65731166910001</v>
      </c>
      <c r="E53" s="224">
        <f>IFERROR(VLOOKUP($B53,MMWR_TRAD_AGG_RO_COMP[],E$1,0),"ERROR")</f>
        <v>2519</v>
      </c>
      <c r="F53" s="225">
        <f>IFERROR(VLOOKUP($B53,MMWR_TRAD_AGG_RO_COMP[],F$1,0),"ERROR")</f>
        <v>649</v>
      </c>
      <c r="G53" s="226">
        <f t="shared" si="0"/>
        <v>0.2576419213973799</v>
      </c>
      <c r="H53" s="227">
        <f>IFERROR(VLOOKUP($B53,MMWR_TRAD_AGG_RO_COMP[],H$1,0),"ERROR")</f>
        <v>2644</v>
      </c>
      <c r="I53" s="225">
        <f>IFERROR(VLOOKUP($B53,MMWR_TRAD_AGG_RO_COMP[],I$1,0),"ERROR")</f>
        <v>1453</v>
      </c>
      <c r="J53" s="226">
        <f t="shared" si="1"/>
        <v>0.54954614220877462</v>
      </c>
      <c r="K53" s="228">
        <f>IFERROR(VLOOKUP($B53,MMWR_TRAD_AGG_RO_COMP[],K$1,0),"ERROR")</f>
        <v>431</v>
      </c>
      <c r="L53" s="229">
        <f>IFERROR(VLOOKUP($B53,MMWR_TRAD_AGG_RO_COMP[],L$1,0),"ERROR")</f>
        <v>359</v>
      </c>
      <c r="M53" s="226">
        <f t="shared" si="2"/>
        <v>0.83294663573085848</v>
      </c>
      <c r="N53" s="228">
        <f>IFERROR(VLOOKUP($B53,MMWR_TRAD_AGG_RO_COMP[],N$1,0),"ERROR")</f>
        <v>183</v>
      </c>
      <c r="O53" s="229">
        <f>IFERROR(VLOOKUP($B53,MMWR_TRAD_AGG_RO_COMP[],O$1,0),"ERROR")</f>
        <v>138</v>
      </c>
      <c r="P53" s="226">
        <f t="shared" si="3"/>
        <v>0.75409836065573765</v>
      </c>
      <c r="Q53" s="230">
        <f>IFERROR(VLOOKUP($B53,MMWR_TRAD_AGG_RO_COMP[],Q$1,0),"ERROR")</f>
        <v>0</v>
      </c>
      <c r="R53" s="230">
        <f>IFERROR(VLOOKUP($B53,MMWR_TRAD_AGG_RO_COMP[],R$1,0),"ERROR")</f>
        <v>1</v>
      </c>
      <c r="S53" s="204">
        <f>IFERROR(VLOOKUP($B53,MMWR_APP_RO[],S$1,0),"ERROR")</f>
        <v>1225</v>
      </c>
      <c r="T53" s="28"/>
    </row>
    <row r="54" spans="1:20" x14ac:dyDescent="0.2">
      <c r="A54" s="28"/>
      <c r="B54" s="108" t="s">
        <v>55</v>
      </c>
      <c r="C54" s="222">
        <f>IFERROR(VLOOKUP($B54,MMWR_TRAD_AGG_RO_COMP[],C$1,0),"ERROR")</f>
        <v>7514</v>
      </c>
      <c r="D54" s="223">
        <f>IFERROR(VLOOKUP($B54,MMWR_TRAD_AGG_RO_COMP[],D$1,0),"ERROR")</f>
        <v>404.49068405640003</v>
      </c>
      <c r="E54" s="224">
        <f>IFERROR(VLOOKUP($B54,MMWR_TRAD_AGG_RO_COMP[],E$1,0),"ERROR")</f>
        <v>9937</v>
      </c>
      <c r="F54" s="225">
        <f>IFERROR(VLOOKUP($B54,MMWR_TRAD_AGG_RO_COMP[],F$1,0),"ERROR")</f>
        <v>3372</v>
      </c>
      <c r="G54" s="226">
        <f t="shared" si="0"/>
        <v>0.33933782831840598</v>
      </c>
      <c r="H54" s="227">
        <f>IFERROR(VLOOKUP($B54,MMWR_TRAD_AGG_RO_COMP[],H$1,0),"ERROR")</f>
        <v>9266</v>
      </c>
      <c r="I54" s="225">
        <f>IFERROR(VLOOKUP($B54,MMWR_TRAD_AGG_RO_COMP[],I$1,0),"ERROR")</f>
        <v>6370</v>
      </c>
      <c r="J54" s="226">
        <f t="shared" si="1"/>
        <v>0.68745952946255129</v>
      </c>
      <c r="K54" s="228">
        <f>IFERROR(VLOOKUP($B54,MMWR_TRAD_AGG_RO_COMP[],K$1,0),"ERROR")</f>
        <v>962</v>
      </c>
      <c r="L54" s="229">
        <f>IFERROR(VLOOKUP($B54,MMWR_TRAD_AGG_RO_COMP[],L$1,0),"ERROR")</f>
        <v>902</v>
      </c>
      <c r="M54" s="226">
        <f t="shared" si="2"/>
        <v>0.93762993762993763</v>
      </c>
      <c r="N54" s="228">
        <f>IFERROR(VLOOKUP($B54,MMWR_TRAD_AGG_RO_COMP[],N$1,0),"ERROR")</f>
        <v>5565</v>
      </c>
      <c r="O54" s="229">
        <f>IFERROR(VLOOKUP($B54,MMWR_TRAD_AGG_RO_COMP[],O$1,0),"ERROR")</f>
        <v>3869</v>
      </c>
      <c r="P54" s="226">
        <f t="shared" si="3"/>
        <v>0.69523809523809521</v>
      </c>
      <c r="Q54" s="230">
        <f>IFERROR(VLOOKUP($B54,MMWR_TRAD_AGG_RO_COMP[],Q$1,0),"ERROR")</f>
        <v>2</v>
      </c>
      <c r="R54" s="230">
        <f>IFERROR(VLOOKUP($B54,MMWR_TRAD_AGG_RO_COMP[],R$1,0),"ERROR")</f>
        <v>36</v>
      </c>
      <c r="S54" s="204">
        <f>IFERROR(VLOOKUP($B54,MMWR_APP_RO[],S$1,0),"ERROR")</f>
        <v>4531</v>
      </c>
      <c r="T54" s="28"/>
    </row>
    <row r="55" spans="1:20" x14ac:dyDescent="0.2">
      <c r="A55" s="28"/>
      <c r="B55" s="108" t="s">
        <v>58</v>
      </c>
      <c r="C55" s="222">
        <f>IFERROR(VLOOKUP($B55,MMWR_TRAD_AGG_RO_COMP[],C$1,0),"ERROR")</f>
        <v>716</v>
      </c>
      <c r="D55" s="223">
        <f>IFERROR(VLOOKUP($B55,MMWR_TRAD_AGG_RO_COMP[],D$1,0),"ERROR")</f>
        <v>149.3826815642</v>
      </c>
      <c r="E55" s="224">
        <f>IFERROR(VLOOKUP($B55,MMWR_TRAD_AGG_RO_COMP[],E$1,0),"ERROR")</f>
        <v>968</v>
      </c>
      <c r="F55" s="225">
        <f>IFERROR(VLOOKUP($B55,MMWR_TRAD_AGG_RO_COMP[],F$1,0),"ERROR")</f>
        <v>320</v>
      </c>
      <c r="G55" s="226">
        <f t="shared" si="0"/>
        <v>0.33057851239669422</v>
      </c>
      <c r="H55" s="227">
        <f>IFERROR(VLOOKUP($B55,MMWR_TRAD_AGG_RO_COMP[],H$1,0),"ERROR")</f>
        <v>943</v>
      </c>
      <c r="I55" s="225">
        <f>IFERROR(VLOOKUP($B55,MMWR_TRAD_AGG_RO_COMP[],I$1,0),"ERROR")</f>
        <v>367</v>
      </c>
      <c r="J55" s="226">
        <f t="shared" si="1"/>
        <v>0.38918345705196183</v>
      </c>
      <c r="K55" s="228">
        <f>IFERROR(VLOOKUP($B55,MMWR_TRAD_AGG_RO_COMP[],K$1,0),"ERROR")</f>
        <v>155</v>
      </c>
      <c r="L55" s="229">
        <f>IFERROR(VLOOKUP($B55,MMWR_TRAD_AGG_RO_COMP[],L$1,0),"ERROR")</f>
        <v>125</v>
      </c>
      <c r="M55" s="226">
        <f t="shared" si="2"/>
        <v>0.80645161290322576</v>
      </c>
      <c r="N55" s="228">
        <f>IFERROR(VLOOKUP($B55,MMWR_TRAD_AGG_RO_COMP[],N$1,0),"ERROR")</f>
        <v>659</v>
      </c>
      <c r="O55" s="229">
        <f>IFERROR(VLOOKUP($B55,MMWR_TRAD_AGG_RO_COMP[],O$1,0),"ERROR")</f>
        <v>452</v>
      </c>
      <c r="P55" s="226">
        <f t="shared" si="3"/>
        <v>0.68588770864946891</v>
      </c>
      <c r="Q55" s="230">
        <f>IFERROR(VLOOKUP($B55,MMWR_TRAD_AGG_RO_COMP[],Q$1,0),"ERROR")</f>
        <v>339</v>
      </c>
      <c r="R55" s="230">
        <f>IFERROR(VLOOKUP($B55,MMWR_TRAD_AGG_RO_COMP[],R$1,0),"ERROR")</f>
        <v>135</v>
      </c>
      <c r="S55" s="204">
        <f>IFERROR(VLOOKUP($B55,MMWR_APP_RO[],S$1,0),"ERROR")</f>
        <v>1049</v>
      </c>
      <c r="T55" s="28"/>
    </row>
    <row r="56" spans="1:20" x14ac:dyDescent="0.2">
      <c r="A56" s="28"/>
      <c r="B56" s="108" t="s">
        <v>65</v>
      </c>
      <c r="C56" s="222">
        <f>IFERROR(VLOOKUP($B56,MMWR_TRAD_AGG_RO_COMP[],C$1,0),"ERROR")</f>
        <v>11288</v>
      </c>
      <c r="D56" s="223">
        <f>IFERROR(VLOOKUP($B56,MMWR_TRAD_AGG_RO_COMP[],D$1,0),"ERROR")</f>
        <v>384.19250531540001</v>
      </c>
      <c r="E56" s="224">
        <f>IFERROR(VLOOKUP($B56,MMWR_TRAD_AGG_RO_COMP[],E$1,0),"ERROR")</f>
        <v>10968</v>
      </c>
      <c r="F56" s="225">
        <f>IFERROR(VLOOKUP($B56,MMWR_TRAD_AGG_RO_COMP[],F$1,0),"ERROR")</f>
        <v>3330</v>
      </c>
      <c r="G56" s="226">
        <f t="shared" si="0"/>
        <v>0.30361050328227573</v>
      </c>
      <c r="H56" s="227">
        <f>IFERROR(VLOOKUP($B56,MMWR_TRAD_AGG_RO_COMP[],H$1,0),"ERROR")</f>
        <v>14740</v>
      </c>
      <c r="I56" s="225">
        <f>IFERROR(VLOOKUP($B56,MMWR_TRAD_AGG_RO_COMP[],I$1,0),"ERROR")</f>
        <v>10388</v>
      </c>
      <c r="J56" s="226">
        <f t="shared" si="1"/>
        <v>0.70474898236092265</v>
      </c>
      <c r="K56" s="228">
        <f>IFERROR(VLOOKUP($B56,MMWR_TRAD_AGG_RO_COMP[],K$1,0),"ERROR")</f>
        <v>5026</v>
      </c>
      <c r="L56" s="229">
        <f>IFERROR(VLOOKUP($B56,MMWR_TRAD_AGG_RO_COMP[],L$1,0),"ERROR")</f>
        <v>3693</v>
      </c>
      <c r="M56" s="226">
        <f t="shared" si="2"/>
        <v>0.73477914842817349</v>
      </c>
      <c r="N56" s="228">
        <f>IFERROR(VLOOKUP($B56,MMWR_TRAD_AGG_RO_COMP[],N$1,0),"ERROR")</f>
        <v>3630</v>
      </c>
      <c r="O56" s="229">
        <f>IFERROR(VLOOKUP($B56,MMWR_TRAD_AGG_RO_COMP[],O$1,0),"ERROR")</f>
        <v>2757</v>
      </c>
      <c r="P56" s="226">
        <f t="shared" si="3"/>
        <v>0.759504132231405</v>
      </c>
      <c r="Q56" s="230">
        <f>IFERROR(VLOOKUP($B56,MMWR_TRAD_AGG_RO_COMP[],Q$1,0),"ERROR")</f>
        <v>0</v>
      </c>
      <c r="R56" s="230">
        <f>IFERROR(VLOOKUP($B56,MMWR_TRAD_AGG_RO_COMP[],R$1,0),"ERROR")</f>
        <v>45</v>
      </c>
      <c r="S56" s="204">
        <f>IFERROR(VLOOKUP($B56,MMWR_APP_RO[],S$1,0),"ERROR")</f>
        <v>8733</v>
      </c>
      <c r="T56" s="28"/>
    </row>
    <row r="57" spans="1:20" x14ac:dyDescent="0.2">
      <c r="A57" s="28"/>
      <c r="B57" s="108" t="s">
        <v>67</v>
      </c>
      <c r="C57" s="222">
        <f>IFERROR(VLOOKUP($B57,MMWR_TRAD_AGG_RO_COMP[],C$1,0),"ERROR")</f>
        <v>5631</v>
      </c>
      <c r="D57" s="223">
        <f>IFERROR(VLOOKUP($B57,MMWR_TRAD_AGG_RO_COMP[],D$1,0),"ERROR")</f>
        <v>260.70342745520003</v>
      </c>
      <c r="E57" s="224">
        <f>IFERROR(VLOOKUP($B57,MMWR_TRAD_AGG_RO_COMP[],E$1,0),"ERROR")</f>
        <v>4995</v>
      </c>
      <c r="F57" s="225">
        <f>IFERROR(VLOOKUP($B57,MMWR_TRAD_AGG_RO_COMP[],F$1,0),"ERROR")</f>
        <v>1272</v>
      </c>
      <c r="G57" s="226">
        <f t="shared" si="0"/>
        <v>0.25465465465465464</v>
      </c>
      <c r="H57" s="227">
        <f>IFERROR(VLOOKUP($B57,MMWR_TRAD_AGG_RO_COMP[],H$1,0),"ERROR")</f>
        <v>6640</v>
      </c>
      <c r="I57" s="225">
        <f>IFERROR(VLOOKUP($B57,MMWR_TRAD_AGG_RO_COMP[],I$1,0),"ERROR")</f>
        <v>3772</v>
      </c>
      <c r="J57" s="226">
        <f t="shared" si="1"/>
        <v>0.56807228915662655</v>
      </c>
      <c r="K57" s="228">
        <f>IFERROR(VLOOKUP($B57,MMWR_TRAD_AGG_RO_COMP[],K$1,0),"ERROR")</f>
        <v>257</v>
      </c>
      <c r="L57" s="229">
        <f>IFERROR(VLOOKUP($B57,MMWR_TRAD_AGG_RO_COMP[],L$1,0),"ERROR")</f>
        <v>197</v>
      </c>
      <c r="M57" s="226">
        <f t="shared" si="2"/>
        <v>0.7665369649805448</v>
      </c>
      <c r="N57" s="228">
        <f>IFERROR(VLOOKUP($B57,MMWR_TRAD_AGG_RO_COMP[],N$1,0),"ERROR")</f>
        <v>2898</v>
      </c>
      <c r="O57" s="229">
        <f>IFERROR(VLOOKUP($B57,MMWR_TRAD_AGG_RO_COMP[],O$1,0),"ERROR")</f>
        <v>2301</v>
      </c>
      <c r="P57" s="226">
        <f t="shared" si="3"/>
        <v>0.79399585921325055</v>
      </c>
      <c r="Q57" s="230">
        <f>IFERROR(VLOOKUP($B57,MMWR_TRAD_AGG_RO_COMP[],Q$1,0),"ERROR")</f>
        <v>0</v>
      </c>
      <c r="R57" s="230">
        <f>IFERROR(VLOOKUP($B57,MMWR_TRAD_AGG_RO_COMP[],R$1,0),"ERROR")</f>
        <v>71</v>
      </c>
      <c r="S57" s="204">
        <f>IFERROR(VLOOKUP($B57,MMWR_APP_RO[],S$1,0),"ERROR")</f>
        <v>7012</v>
      </c>
      <c r="T57" s="28"/>
    </row>
    <row r="58" spans="1:20" x14ac:dyDescent="0.2">
      <c r="A58" s="28"/>
      <c r="B58" s="108" t="s">
        <v>69</v>
      </c>
      <c r="C58" s="222">
        <f>IFERROR(VLOOKUP($B58,MMWR_TRAD_AGG_RO_COMP[],C$1,0),"ERROR")</f>
        <v>8461</v>
      </c>
      <c r="D58" s="223">
        <f>IFERROR(VLOOKUP($B58,MMWR_TRAD_AGG_RO_COMP[],D$1,0),"ERROR")</f>
        <v>400.64874128349999</v>
      </c>
      <c r="E58" s="224">
        <f>IFERROR(VLOOKUP($B58,MMWR_TRAD_AGG_RO_COMP[],E$1,0),"ERROR")</f>
        <v>5128</v>
      </c>
      <c r="F58" s="225">
        <f>IFERROR(VLOOKUP($B58,MMWR_TRAD_AGG_RO_COMP[],F$1,0),"ERROR")</f>
        <v>1879</v>
      </c>
      <c r="G58" s="226">
        <f t="shared" si="0"/>
        <v>0.36641965678627147</v>
      </c>
      <c r="H58" s="227">
        <f>IFERROR(VLOOKUP($B58,MMWR_TRAD_AGG_RO_COMP[],H$1,0),"ERROR")</f>
        <v>10543</v>
      </c>
      <c r="I58" s="225">
        <f>IFERROR(VLOOKUP($B58,MMWR_TRAD_AGG_RO_COMP[],I$1,0),"ERROR")</f>
        <v>7126</v>
      </c>
      <c r="J58" s="226">
        <f t="shared" si="1"/>
        <v>0.67589870055961299</v>
      </c>
      <c r="K58" s="228">
        <f>IFERROR(VLOOKUP($B58,MMWR_TRAD_AGG_RO_COMP[],K$1,0),"ERROR")</f>
        <v>3814</v>
      </c>
      <c r="L58" s="229">
        <f>IFERROR(VLOOKUP($B58,MMWR_TRAD_AGG_RO_COMP[],L$1,0),"ERROR")</f>
        <v>3167</v>
      </c>
      <c r="M58" s="226">
        <f t="shared" si="2"/>
        <v>0.83036182485579446</v>
      </c>
      <c r="N58" s="228">
        <f>IFERROR(VLOOKUP($B58,MMWR_TRAD_AGG_RO_COMP[],N$1,0),"ERROR")</f>
        <v>1479</v>
      </c>
      <c r="O58" s="229">
        <f>IFERROR(VLOOKUP($B58,MMWR_TRAD_AGG_RO_COMP[],O$1,0),"ERROR")</f>
        <v>659</v>
      </c>
      <c r="P58" s="226">
        <f t="shared" si="3"/>
        <v>0.4455713319810683</v>
      </c>
      <c r="Q58" s="230">
        <f>IFERROR(VLOOKUP($B58,MMWR_TRAD_AGG_RO_COMP[],Q$1,0),"ERROR")</f>
        <v>0</v>
      </c>
      <c r="R58" s="230">
        <f>IFERROR(VLOOKUP($B58,MMWR_TRAD_AGG_RO_COMP[],R$1,0),"ERROR")</f>
        <v>75</v>
      </c>
      <c r="S58" s="204">
        <f>IFERROR(VLOOKUP($B58,MMWR_APP_RO[],S$1,0),"ERROR")</f>
        <v>5391</v>
      </c>
      <c r="T58" s="28"/>
    </row>
    <row r="59" spans="1:20" x14ac:dyDescent="0.2">
      <c r="A59" s="28"/>
      <c r="B59" s="108" t="s">
        <v>71</v>
      </c>
      <c r="C59" s="222">
        <f>IFERROR(VLOOKUP($B59,MMWR_TRAD_AGG_RO_COMP[],C$1,0),"ERROR")</f>
        <v>3576</v>
      </c>
      <c r="D59" s="223">
        <f>IFERROR(VLOOKUP($B59,MMWR_TRAD_AGG_RO_COMP[],D$1,0),"ERROR")</f>
        <v>476.6317114094</v>
      </c>
      <c r="E59" s="224">
        <f>IFERROR(VLOOKUP($B59,MMWR_TRAD_AGG_RO_COMP[],E$1,0),"ERROR")</f>
        <v>3628</v>
      </c>
      <c r="F59" s="225">
        <f>IFERROR(VLOOKUP($B59,MMWR_TRAD_AGG_RO_COMP[],F$1,0),"ERROR")</f>
        <v>1200</v>
      </c>
      <c r="G59" s="226">
        <f t="shared" si="0"/>
        <v>0.33076074972436603</v>
      </c>
      <c r="H59" s="227">
        <f>IFERROR(VLOOKUP($B59,MMWR_TRAD_AGG_RO_COMP[],H$1,0),"ERROR")</f>
        <v>4237</v>
      </c>
      <c r="I59" s="225">
        <f>IFERROR(VLOOKUP($B59,MMWR_TRAD_AGG_RO_COMP[],I$1,0),"ERROR")</f>
        <v>2952</v>
      </c>
      <c r="J59" s="226">
        <f t="shared" si="1"/>
        <v>0.69671937691763042</v>
      </c>
      <c r="K59" s="228">
        <f>IFERROR(VLOOKUP($B59,MMWR_TRAD_AGG_RO_COMP[],K$1,0),"ERROR")</f>
        <v>401</v>
      </c>
      <c r="L59" s="229">
        <f>IFERROR(VLOOKUP($B59,MMWR_TRAD_AGG_RO_COMP[],L$1,0),"ERROR")</f>
        <v>361</v>
      </c>
      <c r="M59" s="226">
        <f t="shared" si="2"/>
        <v>0.90024937655860349</v>
      </c>
      <c r="N59" s="228">
        <f>IFERROR(VLOOKUP($B59,MMWR_TRAD_AGG_RO_COMP[],N$1,0),"ERROR")</f>
        <v>1200</v>
      </c>
      <c r="O59" s="229">
        <f>IFERROR(VLOOKUP($B59,MMWR_TRAD_AGG_RO_COMP[],O$1,0),"ERROR")</f>
        <v>754</v>
      </c>
      <c r="P59" s="226">
        <f t="shared" si="3"/>
        <v>0.6283333333333333</v>
      </c>
      <c r="Q59" s="230">
        <f>IFERROR(VLOOKUP($B59,MMWR_TRAD_AGG_RO_COMP[],Q$1,0),"ERROR")</f>
        <v>1</v>
      </c>
      <c r="R59" s="230">
        <f>IFERROR(VLOOKUP($B59,MMWR_TRAD_AGG_RO_COMP[],R$1,0),"ERROR")</f>
        <v>114</v>
      </c>
      <c r="S59" s="204">
        <f>IFERROR(VLOOKUP($B59,MMWR_APP_RO[],S$1,0),"ERROR")</f>
        <v>2741</v>
      </c>
      <c r="T59" s="28"/>
    </row>
    <row r="60" spans="1:20" x14ac:dyDescent="0.2">
      <c r="A60" s="28"/>
      <c r="B60" s="108" t="s">
        <v>74</v>
      </c>
      <c r="C60" s="222">
        <f>IFERROR(VLOOKUP($B60,MMWR_TRAD_AGG_RO_COMP[],C$1,0),"ERROR")</f>
        <v>8064</v>
      </c>
      <c r="D60" s="223">
        <f>IFERROR(VLOOKUP($B60,MMWR_TRAD_AGG_RO_COMP[],D$1,0),"ERROR")</f>
        <v>320.08444940480001</v>
      </c>
      <c r="E60" s="224">
        <f>IFERROR(VLOOKUP($B60,MMWR_TRAD_AGG_RO_COMP[],E$1,0),"ERROR")</f>
        <v>12090</v>
      </c>
      <c r="F60" s="225">
        <f>IFERROR(VLOOKUP($B60,MMWR_TRAD_AGG_RO_COMP[],F$1,0),"ERROR")</f>
        <v>2241</v>
      </c>
      <c r="G60" s="226">
        <f t="shared" si="0"/>
        <v>0.18535980148883374</v>
      </c>
      <c r="H60" s="227">
        <f>IFERROR(VLOOKUP($B60,MMWR_TRAD_AGG_RO_COMP[],H$1,0),"ERROR")</f>
        <v>15992</v>
      </c>
      <c r="I60" s="225">
        <f>IFERROR(VLOOKUP($B60,MMWR_TRAD_AGG_RO_COMP[],I$1,0),"ERROR")</f>
        <v>6775</v>
      </c>
      <c r="J60" s="226">
        <f t="shared" si="1"/>
        <v>0.42364932466233118</v>
      </c>
      <c r="K60" s="228">
        <f>IFERROR(VLOOKUP($B60,MMWR_TRAD_AGG_RO_COMP[],K$1,0),"ERROR")</f>
        <v>1826</v>
      </c>
      <c r="L60" s="229">
        <f>IFERROR(VLOOKUP($B60,MMWR_TRAD_AGG_RO_COMP[],L$1,0),"ERROR")</f>
        <v>1291</v>
      </c>
      <c r="M60" s="226">
        <f t="shared" si="2"/>
        <v>0.7070098576122672</v>
      </c>
      <c r="N60" s="228">
        <f>IFERROR(VLOOKUP($B60,MMWR_TRAD_AGG_RO_COMP[],N$1,0),"ERROR")</f>
        <v>1971</v>
      </c>
      <c r="O60" s="229">
        <f>IFERROR(VLOOKUP($B60,MMWR_TRAD_AGG_RO_COMP[],O$1,0),"ERROR")</f>
        <v>1388</v>
      </c>
      <c r="P60" s="226">
        <f t="shared" si="3"/>
        <v>0.7042110603754439</v>
      </c>
      <c r="Q60" s="230">
        <f>IFERROR(VLOOKUP($B60,MMWR_TRAD_AGG_RO_COMP[],Q$1,0),"ERROR")</f>
        <v>0</v>
      </c>
      <c r="R60" s="230">
        <f>IFERROR(VLOOKUP($B60,MMWR_TRAD_AGG_RO_COMP[],R$1,0),"ERROR")</f>
        <v>68</v>
      </c>
      <c r="S60" s="204">
        <f>IFERROR(VLOOKUP($B60,MMWR_APP_RO[],S$1,0),"ERROR")</f>
        <v>4120</v>
      </c>
      <c r="T60" s="28"/>
    </row>
    <row r="61" spans="1:20" x14ac:dyDescent="0.2">
      <c r="A61" s="28"/>
      <c r="B61" s="116" t="s">
        <v>76</v>
      </c>
      <c r="C61" s="231">
        <f>IFERROR(VLOOKUP($B61,MMWR_TRAD_AGG_RO_COMP[],C$1,0),"ERROR")</f>
        <v>14189</v>
      </c>
      <c r="D61" s="232">
        <f>IFERROR(VLOOKUP($B61,MMWR_TRAD_AGG_RO_COMP[],D$1,0),"ERROR")</f>
        <v>394.5623370216</v>
      </c>
      <c r="E61" s="233">
        <f>IFERROR(VLOOKUP($B61,MMWR_TRAD_AGG_RO_COMP[],E$1,0),"ERROR")</f>
        <v>7414</v>
      </c>
      <c r="F61" s="234">
        <f>IFERROR(VLOOKUP($B61,MMWR_TRAD_AGG_RO_COMP[],F$1,0),"ERROR")</f>
        <v>1779</v>
      </c>
      <c r="G61" s="235">
        <f t="shared" si="0"/>
        <v>0.23995144321553818</v>
      </c>
      <c r="H61" s="236">
        <f>IFERROR(VLOOKUP($B61,MMWR_TRAD_AGG_RO_COMP[],H$1,0),"ERROR")</f>
        <v>19525</v>
      </c>
      <c r="I61" s="234">
        <f>IFERROR(VLOOKUP($B61,MMWR_TRAD_AGG_RO_COMP[],I$1,0),"ERROR")</f>
        <v>13514</v>
      </c>
      <c r="J61" s="235">
        <f t="shared" si="1"/>
        <v>0.69213828425096036</v>
      </c>
      <c r="K61" s="237">
        <f>IFERROR(VLOOKUP($B61,MMWR_TRAD_AGG_RO_COMP[],K$1,0),"ERROR")</f>
        <v>4081</v>
      </c>
      <c r="L61" s="238">
        <f>IFERROR(VLOOKUP($B61,MMWR_TRAD_AGG_RO_COMP[],L$1,0),"ERROR")</f>
        <v>3703</v>
      </c>
      <c r="M61" s="235">
        <f t="shared" si="2"/>
        <v>0.90737564322469988</v>
      </c>
      <c r="N61" s="237">
        <f>IFERROR(VLOOKUP($B61,MMWR_TRAD_AGG_RO_COMP[],N$1,0),"ERROR")</f>
        <v>5565</v>
      </c>
      <c r="O61" s="238">
        <f>IFERROR(VLOOKUP($B61,MMWR_TRAD_AGG_RO_COMP[],O$1,0),"ERROR")</f>
        <v>4737</v>
      </c>
      <c r="P61" s="235">
        <f t="shared" si="3"/>
        <v>0.85121293800539088</v>
      </c>
      <c r="Q61" s="239">
        <f>IFERROR(VLOOKUP($B61,MMWR_TRAD_AGG_RO_COMP[],Q$1,0),"ERROR")</f>
        <v>0</v>
      </c>
      <c r="R61" s="239">
        <f>IFERROR(VLOOKUP($B61,MMWR_TRAD_AGG_RO_COMP[],R$1,0),"ERROR")</f>
        <v>143</v>
      </c>
      <c r="S61" s="204">
        <f>IFERROR(VLOOKUP($B61,MMWR_APP_RO[],S$1,0),"ERROR")</f>
        <v>4656</v>
      </c>
      <c r="T61" s="28"/>
    </row>
    <row r="62" spans="1:20" x14ac:dyDescent="0.2">
      <c r="A62" s="28"/>
      <c r="B62" s="101" t="s">
        <v>390</v>
      </c>
      <c r="C62" s="215">
        <f>IFERROR(VLOOKUP($B62,MMWR_TRAD_AGG_DISTRICT_COMP[],C$1,0),"ERROR")</f>
        <v>69897</v>
      </c>
      <c r="D62" s="200">
        <f>IFERROR(VLOOKUP($B62,MMWR_TRAD_AGG_DISTRICT_COMP[],D$1,0),"ERROR")</f>
        <v>338.02671073149997</v>
      </c>
      <c r="E62" s="216">
        <f>IFERROR(VLOOKUP($B62,MMWR_TRAD_AGG_DISTRICT_COMP[],E$1,0),"ERROR")</f>
        <v>71111</v>
      </c>
      <c r="F62" s="221">
        <f>IFERROR(VLOOKUP($B62,MMWR_TRAD_AGG_DISTRICT_COMP[],F$1,0),"ERROR")</f>
        <v>22862</v>
      </c>
      <c r="G62" s="217">
        <f t="shared" si="0"/>
        <v>0.32149737733965211</v>
      </c>
      <c r="H62" s="221">
        <f>IFERROR(VLOOKUP($B62,MMWR_TRAD_AGG_DISTRICT_COMP[],H$1,0),"ERROR")</f>
        <v>98483</v>
      </c>
      <c r="I62" s="221">
        <f>IFERROR(VLOOKUP($B62,MMWR_TRAD_AGG_DISTRICT_COMP[],I$1,0),"ERROR")</f>
        <v>61741</v>
      </c>
      <c r="J62" s="217">
        <f t="shared" si="1"/>
        <v>0.62692038219794277</v>
      </c>
      <c r="K62" s="215">
        <f>IFERROR(VLOOKUP($B62,MMWR_TRAD_AGG_DISTRICT_COMP[],K$1,0),"ERROR")</f>
        <v>19178</v>
      </c>
      <c r="L62" s="215">
        <f>IFERROR(VLOOKUP($B62,MMWR_TRAD_AGG_DISTRICT_COMP[],L$1,0),"ERROR")</f>
        <v>15406</v>
      </c>
      <c r="M62" s="217">
        <f t="shared" si="2"/>
        <v>0.80331629992699971</v>
      </c>
      <c r="N62" s="215">
        <f>IFERROR(VLOOKUP($B62,MMWR_TRAD_AGG_DISTRICT_COMP[],N$1,0),"ERROR")</f>
        <v>38378</v>
      </c>
      <c r="O62" s="215">
        <f>IFERROR(VLOOKUP($B62,MMWR_TRAD_AGG_DISTRICT_COMP[],O$1,0),"ERROR")</f>
        <v>21942</v>
      </c>
      <c r="P62" s="217">
        <f t="shared" si="3"/>
        <v>0.57173380582625466</v>
      </c>
      <c r="Q62" s="215">
        <f>IFERROR(VLOOKUP($B62,MMWR_TRAD_AGG_DISTRICT_COMP[],Q$1,0),"ERROR")</f>
        <v>160</v>
      </c>
      <c r="R62" s="218">
        <f>IFERROR(VLOOKUP($B62,MMWR_TRAD_AGG_DISTRICT_COMP[],R$1,0),"ERROR")</f>
        <v>1167</v>
      </c>
      <c r="S62" s="218">
        <f>IFERROR(VLOOKUP($B62,MMWR_APP_RO[],S$1,0),"ERROR")</f>
        <v>82748</v>
      </c>
      <c r="T62" s="28"/>
    </row>
    <row r="63" spans="1:20" x14ac:dyDescent="0.2">
      <c r="A63" s="28"/>
      <c r="B63" s="108" t="s">
        <v>25</v>
      </c>
      <c r="C63" s="222">
        <f>IFERROR(VLOOKUP($B63,MMWR_TRAD_AGG_RO_COMP[],C$1,0),"ERROR")</f>
        <v>12797</v>
      </c>
      <c r="D63" s="223">
        <f>IFERROR(VLOOKUP($B63,MMWR_TRAD_AGG_RO_COMP[],D$1,0),"ERROR")</f>
        <v>350.62327107919998</v>
      </c>
      <c r="E63" s="224">
        <f>IFERROR(VLOOKUP($B63,MMWR_TRAD_AGG_RO_COMP[],E$1,0),"ERROR")</f>
        <v>14389</v>
      </c>
      <c r="F63" s="225">
        <f>IFERROR(VLOOKUP($B63,MMWR_TRAD_AGG_RO_COMP[],F$1,0),"ERROR")</f>
        <v>4538</v>
      </c>
      <c r="G63" s="226">
        <f t="shared" si="0"/>
        <v>0.31537980401695742</v>
      </c>
      <c r="H63" s="227">
        <f>IFERROR(VLOOKUP($B63,MMWR_TRAD_AGG_RO_COMP[],H$1,0),"ERROR")</f>
        <v>17990</v>
      </c>
      <c r="I63" s="225">
        <f>IFERROR(VLOOKUP($B63,MMWR_TRAD_AGG_RO_COMP[],I$1,0),"ERROR")</f>
        <v>12185</v>
      </c>
      <c r="J63" s="226">
        <f t="shared" si="1"/>
        <v>0.67732073374096724</v>
      </c>
      <c r="K63" s="228">
        <f>IFERROR(VLOOKUP($B63,MMWR_TRAD_AGG_RO_COMP[],K$1,0),"ERROR")</f>
        <v>4483</v>
      </c>
      <c r="L63" s="229">
        <f>IFERROR(VLOOKUP($B63,MMWR_TRAD_AGG_RO_COMP[],L$1,0),"ERROR")</f>
        <v>3960</v>
      </c>
      <c r="M63" s="226">
        <f t="shared" si="2"/>
        <v>0.88333705108186478</v>
      </c>
      <c r="N63" s="228">
        <f>IFERROR(VLOOKUP($B63,MMWR_TRAD_AGG_RO_COMP[],N$1,0),"ERROR")</f>
        <v>20073</v>
      </c>
      <c r="O63" s="229">
        <f>IFERROR(VLOOKUP($B63,MMWR_TRAD_AGG_RO_COMP[],O$1,0),"ERROR")</f>
        <v>9649</v>
      </c>
      <c r="P63" s="226">
        <f t="shared" si="3"/>
        <v>0.4806954615652867</v>
      </c>
      <c r="Q63" s="230">
        <f>IFERROR(VLOOKUP($B63,MMWR_TRAD_AGG_RO_COMP[],Q$1,0),"ERROR")</f>
        <v>62</v>
      </c>
      <c r="R63" s="230">
        <f>IFERROR(VLOOKUP($B63,MMWR_TRAD_AGG_RO_COMP[],R$1,0),"ERROR")</f>
        <v>27</v>
      </c>
      <c r="S63" s="204">
        <f>IFERROR(VLOOKUP($B63,MMWR_APP_RO[],S$1,0),"ERROR")</f>
        <v>16018</v>
      </c>
      <c r="T63" s="28"/>
    </row>
    <row r="64" spans="1:20" x14ac:dyDescent="0.2">
      <c r="A64" s="28"/>
      <c r="B64" s="108" t="s">
        <v>42</v>
      </c>
      <c r="C64" s="222">
        <f>IFERROR(VLOOKUP($B64,MMWR_TRAD_AGG_RO_COMP[],C$1,0),"ERROR")</f>
        <v>11703</v>
      </c>
      <c r="D64" s="223">
        <f>IFERROR(VLOOKUP($B64,MMWR_TRAD_AGG_RO_COMP[],D$1,0),"ERROR")</f>
        <v>292.77270785270002</v>
      </c>
      <c r="E64" s="224">
        <f>IFERROR(VLOOKUP($B64,MMWR_TRAD_AGG_RO_COMP[],E$1,0),"ERROR")</f>
        <v>8832</v>
      </c>
      <c r="F64" s="225">
        <f>IFERROR(VLOOKUP($B64,MMWR_TRAD_AGG_RO_COMP[],F$1,0),"ERROR")</f>
        <v>2520</v>
      </c>
      <c r="G64" s="226">
        <f t="shared" si="0"/>
        <v>0.28532608695652173</v>
      </c>
      <c r="H64" s="227">
        <f>IFERROR(VLOOKUP($B64,MMWR_TRAD_AGG_RO_COMP[],H$1,0),"ERROR")</f>
        <v>21503</v>
      </c>
      <c r="I64" s="225">
        <f>IFERROR(VLOOKUP($B64,MMWR_TRAD_AGG_RO_COMP[],I$1,0),"ERROR")</f>
        <v>12343</v>
      </c>
      <c r="J64" s="226">
        <f t="shared" si="1"/>
        <v>0.57401292842859131</v>
      </c>
      <c r="K64" s="228">
        <f>IFERROR(VLOOKUP($B64,MMWR_TRAD_AGG_RO_COMP[],K$1,0),"ERROR")</f>
        <v>2671</v>
      </c>
      <c r="L64" s="229">
        <f>IFERROR(VLOOKUP($B64,MMWR_TRAD_AGG_RO_COMP[],L$1,0),"ERROR")</f>
        <v>1386</v>
      </c>
      <c r="M64" s="226">
        <f t="shared" si="2"/>
        <v>0.51890677648820671</v>
      </c>
      <c r="N64" s="228">
        <f>IFERROR(VLOOKUP($B64,MMWR_TRAD_AGG_RO_COMP[],N$1,0),"ERROR")</f>
        <v>1726</v>
      </c>
      <c r="O64" s="229">
        <f>IFERROR(VLOOKUP($B64,MMWR_TRAD_AGG_RO_COMP[],O$1,0),"ERROR")</f>
        <v>1334</v>
      </c>
      <c r="P64" s="226">
        <f t="shared" si="3"/>
        <v>0.77288528389339517</v>
      </c>
      <c r="Q64" s="230">
        <f>IFERROR(VLOOKUP($B64,MMWR_TRAD_AGG_RO_COMP[],Q$1,0),"ERROR")</f>
        <v>2</v>
      </c>
      <c r="R64" s="230">
        <f>IFERROR(VLOOKUP($B64,MMWR_TRAD_AGG_RO_COMP[],R$1,0),"ERROR")</f>
        <v>58</v>
      </c>
      <c r="S64" s="204">
        <f>IFERROR(VLOOKUP($B64,MMWR_APP_RO[],S$1,0),"ERROR")</f>
        <v>11813</v>
      </c>
      <c r="T64" s="28"/>
    </row>
    <row r="65" spans="1:20" x14ac:dyDescent="0.2">
      <c r="A65" s="28"/>
      <c r="B65" s="108" t="s">
        <v>56</v>
      </c>
      <c r="C65" s="222">
        <f>IFERROR(VLOOKUP($B65,MMWR_TRAD_AGG_RO_COMP[],C$1,0),"ERROR")</f>
        <v>10475</v>
      </c>
      <c r="D65" s="223">
        <f>IFERROR(VLOOKUP($B65,MMWR_TRAD_AGG_RO_COMP[],D$1,0),"ERROR")</f>
        <v>460.79064439140001</v>
      </c>
      <c r="E65" s="224">
        <f>IFERROR(VLOOKUP($B65,MMWR_TRAD_AGG_RO_COMP[],E$1,0),"ERROR")</f>
        <v>6376</v>
      </c>
      <c r="F65" s="225">
        <f>IFERROR(VLOOKUP($B65,MMWR_TRAD_AGG_RO_COMP[],F$1,0),"ERROR")</f>
        <v>3068</v>
      </c>
      <c r="G65" s="226">
        <f t="shared" si="0"/>
        <v>0.48117942283563364</v>
      </c>
      <c r="H65" s="227">
        <f>IFERROR(VLOOKUP($B65,MMWR_TRAD_AGG_RO_COMP[],H$1,0),"ERROR")</f>
        <v>14393</v>
      </c>
      <c r="I65" s="225">
        <f>IFERROR(VLOOKUP($B65,MMWR_TRAD_AGG_RO_COMP[],I$1,0),"ERROR")</f>
        <v>9606</v>
      </c>
      <c r="J65" s="226">
        <f t="shared" si="1"/>
        <v>0.66740776766483711</v>
      </c>
      <c r="K65" s="228">
        <f>IFERROR(VLOOKUP($B65,MMWR_TRAD_AGG_RO_COMP[],K$1,0),"ERROR")</f>
        <v>2963</v>
      </c>
      <c r="L65" s="229">
        <f>IFERROR(VLOOKUP($B65,MMWR_TRAD_AGG_RO_COMP[],L$1,0),"ERROR")</f>
        <v>2422</v>
      </c>
      <c r="M65" s="226">
        <f t="shared" si="2"/>
        <v>0.81741478231522102</v>
      </c>
      <c r="N65" s="228">
        <f>IFERROR(VLOOKUP($B65,MMWR_TRAD_AGG_RO_COMP[],N$1,0),"ERROR")</f>
        <v>792</v>
      </c>
      <c r="O65" s="229">
        <f>IFERROR(VLOOKUP($B65,MMWR_TRAD_AGG_RO_COMP[],O$1,0),"ERROR")</f>
        <v>569</v>
      </c>
      <c r="P65" s="226">
        <f t="shared" si="3"/>
        <v>0.71843434343434343</v>
      </c>
      <c r="Q65" s="230">
        <f>IFERROR(VLOOKUP($B65,MMWR_TRAD_AGG_RO_COMP[],Q$1,0),"ERROR")</f>
        <v>80</v>
      </c>
      <c r="R65" s="230">
        <f>IFERROR(VLOOKUP($B65,MMWR_TRAD_AGG_RO_COMP[],R$1,0),"ERROR")</f>
        <v>254</v>
      </c>
      <c r="S65" s="204">
        <f>IFERROR(VLOOKUP($B65,MMWR_APP_RO[],S$1,0),"ERROR")</f>
        <v>4545</v>
      </c>
      <c r="T65" s="28"/>
    </row>
    <row r="66" spans="1:20" x14ac:dyDescent="0.2">
      <c r="A66" s="28"/>
      <c r="B66" s="108" t="s">
        <v>60</v>
      </c>
      <c r="C66" s="222">
        <f>IFERROR(VLOOKUP($B66,MMWR_TRAD_AGG_RO_COMP[],C$1,0),"ERROR")</f>
        <v>12508</v>
      </c>
      <c r="D66" s="223">
        <f>IFERROR(VLOOKUP($B66,MMWR_TRAD_AGG_RO_COMP[],D$1,0),"ERROR")</f>
        <v>369.14158938280002</v>
      </c>
      <c r="E66" s="224">
        <f>IFERROR(VLOOKUP($B66,MMWR_TRAD_AGG_RO_COMP[],E$1,0),"ERROR")</f>
        <v>7558</v>
      </c>
      <c r="F66" s="225">
        <f>IFERROR(VLOOKUP($B66,MMWR_TRAD_AGG_RO_COMP[],F$1,0),"ERROR")</f>
        <v>1932</v>
      </c>
      <c r="G66" s="226">
        <f t="shared" si="0"/>
        <v>0.25562318073564433</v>
      </c>
      <c r="H66" s="227">
        <f>IFERROR(VLOOKUP($B66,MMWR_TRAD_AGG_RO_COMP[],H$1,0),"ERROR")</f>
        <v>14093</v>
      </c>
      <c r="I66" s="225">
        <f>IFERROR(VLOOKUP($B66,MMWR_TRAD_AGG_RO_COMP[],I$1,0),"ERROR")</f>
        <v>9991</v>
      </c>
      <c r="J66" s="226">
        <f t="shared" si="1"/>
        <v>0.70893351309160579</v>
      </c>
      <c r="K66" s="228">
        <f>IFERROR(VLOOKUP($B66,MMWR_TRAD_AGG_RO_COMP[],K$1,0),"ERROR")</f>
        <v>4271</v>
      </c>
      <c r="L66" s="229">
        <f>IFERROR(VLOOKUP($B66,MMWR_TRAD_AGG_RO_COMP[],L$1,0),"ERROR")</f>
        <v>3934</v>
      </c>
      <c r="M66" s="226">
        <f t="shared" si="2"/>
        <v>0.92109576211660038</v>
      </c>
      <c r="N66" s="228">
        <f>IFERROR(VLOOKUP($B66,MMWR_TRAD_AGG_RO_COMP[],N$1,0),"ERROR")</f>
        <v>2384</v>
      </c>
      <c r="O66" s="229">
        <f>IFERROR(VLOOKUP($B66,MMWR_TRAD_AGG_RO_COMP[],O$1,0),"ERROR")</f>
        <v>1831</v>
      </c>
      <c r="P66" s="226">
        <f t="shared" si="3"/>
        <v>0.76803691275167785</v>
      </c>
      <c r="Q66" s="230">
        <f>IFERROR(VLOOKUP($B66,MMWR_TRAD_AGG_RO_COMP[],Q$1,0),"ERROR")</f>
        <v>2</v>
      </c>
      <c r="R66" s="230">
        <f>IFERROR(VLOOKUP($B66,MMWR_TRAD_AGG_RO_COMP[],R$1,0),"ERROR")</f>
        <v>361</v>
      </c>
      <c r="S66" s="204">
        <f>IFERROR(VLOOKUP($B66,MMWR_APP_RO[],S$1,0),"ERROR")</f>
        <v>10378</v>
      </c>
      <c r="T66" s="28"/>
    </row>
    <row r="67" spans="1:20" x14ac:dyDescent="0.2">
      <c r="A67" s="28"/>
      <c r="B67" s="108" t="s">
        <v>61</v>
      </c>
      <c r="C67" s="222">
        <f>IFERROR(VLOOKUP($B67,MMWR_TRAD_AGG_RO_COMP[],C$1,0),"ERROR")</f>
        <v>5325</v>
      </c>
      <c r="D67" s="223">
        <f>IFERROR(VLOOKUP($B67,MMWR_TRAD_AGG_RO_COMP[],D$1,0),"ERROR")</f>
        <v>219.62798122070001</v>
      </c>
      <c r="E67" s="224">
        <f>IFERROR(VLOOKUP($B67,MMWR_TRAD_AGG_RO_COMP[],E$1,0),"ERROR")</f>
        <v>8918</v>
      </c>
      <c r="F67" s="225">
        <f>IFERROR(VLOOKUP($B67,MMWR_TRAD_AGG_RO_COMP[],F$1,0),"ERROR")</f>
        <v>2179</v>
      </c>
      <c r="G67" s="226">
        <f t="shared" si="0"/>
        <v>0.24433729535770352</v>
      </c>
      <c r="H67" s="227">
        <f>IFERROR(VLOOKUP($B67,MMWR_TRAD_AGG_RO_COMP[],H$1,0),"ERROR")</f>
        <v>8358</v>
      </c>
      <c r="I67" s="225">
        <f>IFERROR(VLOOKUP($B67,MMWR_TRAD_AGG_RO_COMP[],I$1,0),"ERROR")</f>
        <v>4058</v>
      </c>
      <c r="J67" s="226">
        <f t="shared" si="1"/>
        <v>0.48552285235702319</v>
      </c>
      <c r="K67" s="228">
        <f>IFERROR(VLOOKUP($B67,MMWR_TRAD_AGG_RO_COMP[],K$1,0),"ERROR")</f>
        <v>1705</v>
      </c>
      <c r="L67" s="229">
        <f>IFERROR(VLOOKUP($B67,MMWR_TRAD_AGG_RO_COMP[],L$1,0),"ERROR")</f>
        <v>1411</v>
      </c>
      <c r="M67" s="226">
        <f t="shared" si="2"/>
        <v>0.82756598240469204</v>
      </c>
      <c r="N67" s="228">
        <f>IFERROR(VLOOKUP($B67,MMWR_TRAD_AGG_RO_COMP[],N$1,0),"ERROR")</f>
        <v>1651</v>
      </c>
      <c r="O67" s="229">
        <f>IFERROR(VLOOKUP($B67,MMWR_TRAD_AGG_RO_COMP[],O$1,0),"ERROR")</f>
        <v>1289</v>
      </c>
      <c r="P67" s="226">
        <f t="shared" si="3"/>
        <v>0.78073894609327676</v>
      </c>
      <c r="Q67" s="230">
        <f>IFERROR(VLOOKUP($B67,MMWR_TRAD_AGG_RO_COMP[],Q$1,0),"ERROR")</f>
        <v>5</v>
      </c>
      <c r="R67" s="230">
        <f>IFERROR(VLOOKUP($B67,MMWR_TRAD_AGG_RO_COMP[],R$1,0),"ERROR")</f>
        <v>222</v>
      </c>
      <c r="S67" s="204">
        <f>IFERROR(VLOOKUP($B67,MMWR_APP_RO[],S$1,0),"ERROR")</f>
        <v>6428</v>
      </c>
      <c r="T67" s="28"/>
    </row>
    <row r="68" spans="1:20" x14ac:dyDescent="0.2">
      <c r="A68" s="28"/>
      <c r="B68" s="108" t="s">
        <v>75</v>
      </c>
      <c r="C68" s="222">
        <f>IFERROR(VLOOKUP($B68,MMWR_TRAD_AGG_RO_COMP[],C$1,0),"ERROR")</f>
        <v>2209</v>
      </c>
      <c r="D68" s="223">
        <f>IFERROR(VLOOKUP($B68,MMWR_TRAD_AGG_RO_COMP[],D$1,0),"ERROR")</f>
        <v>261.41783612490002</v>
      </c>
      <c r="E68" s="224">
        <f>IFERROR(VLOOKUP($B68,MMWR_TRAD_AGG_RO_COMP[],E$1,0),"ERROR")</f>
        <v>2648</v>
      </c>
      <c r="F68" s="225">
        <f>IFERROR(VLOOKUP($B68,MMWR_TRAD_AGG_RO_COMP[],F$1,0),"ERROR")</f>
        <v>931</v>
      </c>
      <c r="G68" s="226">
        <f t="shared" si="0"/>
        <v>0.35158610271903323</v>
      </c>
      <c r="H68" s="227">
        <f>IFERROR(VLOOKUP($B68,MMWR_TRAD_AGG_RO_COMP[],H$1,0),"ERROR")</f>
        <v>3707</v>
      </c>
      <c r="I68" s="225">
        <f>IFERROR(VLOOKUP($B68,MMWR_TRAD_AGG_RO_COMP[],I$1,0),"ERROR")</f>
        <v>2617</v>
      </c>
      <c r="J68" s="226">
        <f t="shared" si="1"/>
        <v>0.70596169409225784</v>
      </c>
      <c r="K68" s="228">
        <f>IFERROR(VLOOKUP($B68,MMWR_TRAD_AGG_RO_COMP[],K$1,0),"ERROR")</f>
        <v>689</v>
      </c>
      <c r="L68" s="229">
        <f>IFERROR(VLOOKUP($B68,MMWR_TRAD_AGG_RO_COMP[],L$1,0),"ERROR")</f>
        <v>627</v>
      </c>
      <c r="M68" s="226">
        <f t="shared" si="2"/>
        <v>0.91001451378809872</v>
      </c>
      <c r="N68" s="228">
        <f>IFERROR(VLOOKUP($B68,MMWR_TRAD_AGG_RO_COMP[],N$1,0),"ERROR")</f>
        <v>1484</v>
      </c>
      <c r="O68" s="229">
        <f>IFERROR(VLOOKUP($B68,MMWR_TRAD_AGG_RO_COMP[],O$1,0),"ERROR")</f>
        <v>898</v>
      </c>
      <c r="P68" s="226">
        <f t="shared" si="3"/>
        <v>0.60512129380053903</v>
      </c>
      <c r="Q68" s="230">
        <f>IFERROR(VLOOKUP($B68,MMWR_TRAD_AGG_RO_COMP[],Q$1,0),"ERROR")</f>
        <v>0</v>
      </c>
      <c r="R68" s="230">
        <f>IFERROR(VLOOKUP($B68,MMWR_TRAD_AGG_RO_COMP[],R$1,0),"ERROR")</f>
        <v>5</v>
      </c>
      <c r="S68" s="204">
        <f>IFERROR(VLOOKUP($B68,MMWR_APP_RO[],S$1,0),"ERROR")</f>
        <v>6054</v>
      </c>
      <c r="T68" s="28"/>
    </row>
    <row r="69" spans="1:20" x14ac:dyDescent="0.2">
      <c r="A69" s="28"/>
      <c r="B69" s="116" t="s">
        <v>80</v>
      </c>
      <c r="C69" s="231">
        <f>IFERROR(VLOOKUP($B69,MMWR_TRAD_AGG_RO_COMP[],C$1,0),"ERROR")</f>
        <v>14880</v>
      </c>
      <c r="D69" s="232">
        <f>IFERROR(VLOOKUP($B69,MMWR_TRAD_AGG_RO_COMP[],D$1,0),"ERROR")</f>
        <v>303.95241935479999</v>
      </c>
      <c r="E69" s="233">
        <f>IFERROR(VLOOKUP($B69,MMWR_TRAD_AGG_RO_COMP[],E$1,0),"ERROR")</f>
        <v>22390</v>
      </c>
      <c r="F69" s="234">
        <f>IFERROR(VLOOKUP($B69,MMWR_TRAD_AGG_RO_COMP[],F$1,0),"ERROR")</f>
        <v>7694</v>
      </c>
      <c r="G69" s="235">
        <f t="shared" si="0"/>
        <v>0.34363555158552928</v>
      </c>
      <c r="H69" s="236">
        <f>IFERROR(VLOOKUP($B69,MMWR_TRAD_AGG_RO_COMP[],H$1,0),"ERROR")</f>
        <v>18439</v>
      </c>
      <c r="I69" s="234">
        <f>IFERROR(VLOOKUP($B69,MMWR_TRAD_AGG_RO_COMP[],I$1,0),"ERROR")</f>
        <v>10941</v>
      </c>
      <c r="J69" s="235">
        <f t="shared" si="1"/>
        <v>0.59336189598134392</v>
      </c>
      <c r="K69" s="237">
        <f>IFERROR(VLOOKUP($B69,MMWR_TRAD_AGG_RO_COMP[],K$1,0),"ERROR")</f>
        <v>2396</v>
      </c>
      <c r="L69" s="238">
        <f>IFERROR(VLOOKUP($B69,MMWR_TRAD_AGG_RO_COMP[],L$1,0),"ERROR")</f>
        <v>1666</v>
      </c>
      <c r="M69" s="235">
        <f t="shared" si="2"/>
        <v>0.69532554257095158</v>
      </c>
      <c r="N69" s="237">
        <f>IFERROR(VLOOKUP($B69,MMWR_TRAD_AGG_RO_COMP[],N$1,0),"ERROR")</f>
        <v>10268</v>
      </c>
      <c r="O69" s="238">
        <f>IFERROR(VLOOKUP($B69,MMWR_TRAD_AGG_RO_COMP[],O$1,0),"ERROR")</f>
        <v>6372</v>
      </c>
      <c r="P69" s="235">
        <f t="shared" si="3"/>
        <v>0.62056875730424621</v>
      </c>
      <c r="Q69" s="239">
        <f>IFERROR(VLOOKUP($B69,MMWR_TRAD_AGG_RO_COMP[],Q$1,0),"ERROR")</f>
        <v>9</v>
      </c>
      <c r="R69" s="239">
        <f>IFERROR(VLOOKUP($B69,MMWR_TRAD_AGG_RO_COMP[],R$1,0),"ERROR")</f>
        <v>240</v>
      </c>
      <c r="S69" s="204">
        <f>IFERROR(VLOOKUP($B69,MMWR_APP_RO[],S$1,0),"ERROR")</f>
        <v>27512</v>
      </c>
      <c r="T69" s="28"/>
    </row>
    <row r="70" spans="1:20" x14ac:dyDescent="0.2">
      <c r="A70" s="28"/>
      <c r="B70" s="101" t="s">
        <v>8</v>
      </c>
      <c r="C70" s="215">
        <f>IFERROR(VLOOKUP($B70,MMWR_TRAD_AGG_RO_COMP[],C$1,0),"ERROR")</f>
        <v>50</v>
      </c>
      <c r="D70" s="200">
        <f>IFERROR(VLOOKUP($B70,MMWR_TRAD_AGG_RO_COMP[],D$1,0),"ERROR")</f>
        <v>803.3</v>
      </c>
      <c r="E70" s="216">
        <f>IFERROR(VLOOKUP($B70,MMWR_TRAD_AGG_RO_COMP[],E$1,0),"ERROR")</f>
        <v>0</v>
      </c>
      <c r="F70" s="221">
        <f>IFERROR(VLOOKUP($B70,MMWR_TRAD_AGG_RO_COMP[],F$1,0),"ERROR")</f>
        <v>0</v>
      </c>
      <c r="G70" s="217" t="str">
        <f>IFERROR(F70/E70,"0%")</f>
        <v>0%</v>
      </c>
      <c r="H70" s="221">
        <f>IFERROR(VLOOKUP($B70,MMWR_TRAD_AGG_RO_COMP[],H$1,0),"ERROR")</f>
        <v>51</v>
      </c>
      <c r="I70" s="221">
        <f>IFERROR(VLOOKUP($B70,MMWR_TRAD_AGG_RO_COMP[],I$1,0),"ERROR")</f>
        <v>51</v>
      </c>
      <c r="J70" s="217">
        <f>IFERROR(I70/H70,"0%")</f>
        <v>1</v>
      </c>
      <c r="K70" s="215">
        <f>IFERROR(VLOOKUP($B70,MMWR_TRAD_AGG_RO_COMP[],K$1,0),"ERROR")</f>
        <v>1</v>
      </c>
      <c r="L70" s="215">
        <f>IFERROR(VLOOKUP($B70,MMWR_TRAD_AGG_RO_COMP[],L$1,0),"ERROR")</f>
        <v>1</v>
      </c>
      <c r="M70" s="217">
        <f>IFERROR(L70/K70,"0%")</f>
        <v>1</v>
      </c>
      <c r="N70" s="215">
        <f>IFERROR(VLOOKUP($B70,MMWR_TRAD_AGG_RO_COMP[],N$1,0),"ERROR")</f>
        <v>18759</v>
      </c>
      <c r="O70" s="215">
        <f>IFERROR(VLOOKUP($B70,MMWR_TRAD_AGG_RO_COMP[],O$1,0),"ERROR")</f>
        <v>5444</v>
      </c>
      <c r="P70" s="217">
        <f>IFERROR(O70/N70,"0%")</f>
        <v>0.29020736713044404</v>
      </c>
      <c r="Q70" s="215">
        <f>IFERROR(VLOOKUP($B70,MMWR_TRAD_AGG_RO_COMP[],Q$1,0),"ERROR")</f>
        <v>0</v>
      </c>
      <c r="R70" s="218">
        <f>IFERROR(VLOOKUP($B70,MMWR_TRAD_AGG_RO_COMP[],R$1,0),"ERROR")</f>
        <v>0</v>
      </c>
      <c r="S70" s="218">
        <f>IFERROR(VLOOKUP($B70,MMWR_APP_RO[],S$1,0),"ERROR")</f>
        <v>12697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1" t="s">
        <v>497</v>
      </c>
      <c r="D72" s="452"/>
      <c r="E72" s="452"/>
      <c r="F72" s="452"/>
      <c r="G72" s="452"/>
      <c r="H72" s="452"/>
      <c r="I72" s="452"/>
      <c r="J72" s="452"/>
      <c r="K72" s="452"/>
      <c r="L72" s="452"/>
      <c r="M72" s="452"/>
      <c r="N72" s="452"/>
      <c r="O72" s="452"/>
      <c r="P72" s="452"/>
      <c r="Q72" s="452"/>
      <c r="R72" s="452"/>
      <c r="S72" s="453"/>
      <c r="T72" s="28"/>
    </row>
    <row r="73" spans="1:20" x14ac:dyDescent="0.2">
      <c r="A73" s="25"/>
      <c r="B73" s="117"/>
      <c r="C73" s="454" t="s">
        <v>233</v>
      </c>
      <c r="D73" s="455"/>
      <c r="E73" s="456" t="s">
        <v>213</v>
      </c>
      <c r="F73" s="457"/>
      <c r="G73" s="458"/>
      <c r="H73" s="456" t="s">
        <v>7</v>
      </c>
      <c r="I73" s="457"/>
      <c r="J73" s="458"/>
      <c r="K73" s="456" t="s">
        <v>33</v>
      </c>
      <c r="L73" s="457"/>
      <c r="M73" s="458"/>
      <c r="N73" s="456" t="s">
        <v>8</v>
      </c>
      <c r="O73" s="457"/>
      <c r="P73" s="458"/>
      <c r="Q73" s="81" t="s">
        <v>9</v>
      </c>
      <c r="R73" s="82" t="s">
        <v>10</v>
      </c>
      <c r="S73" s="82" t="s">
        <v>11</v>
      </c>
      <c r="T73" s="28"/>
    </row>
    <row r="74" spans="1:20" ht="38.25" x14ac:dyDescent="0.2">
      <c r="A74" s="91"/>
      <c r="B74" s="118"/>
      <c r="C74" s="84" t="s">
        <v>12</v>
      </c>
      <c r="D74" s="85" t="s">
        <v>140</v>
      </c>
      <c r="E74" s="86" t="s">
        <v>12</v>
      </c>
      <c r="F74" s="87" t="s">
        <v>3</v>
      </c>
      <c r="G74" s="88" t="s">
        <v>4</v>
      </c>
      <c r="H74" s="86" t="s">
        <v>12</v>
      </c>
      <c r="I74" s="87" t="s">
        <v>3</v>
      </c>
      <c r="J74" s="88" t="s">
        <v>4</v>
      </c>
      <c r="K74" s="86" t="s">
        <v>12</v>
      </c>
      <c r="L74" s="87" t="s">
        <v>3</v>
      </c>
      <c r="M74" s="88" t="s">
        <v>4</v>
      </c>
      <c r="N74" s="86" t="s">
        <v>12</v>
      </c>
      <c r="O74" s="87" t="s">
        <v>3</v>
      </c>
      <c r="P74" s="88" t="s">
        <v>4</v>
      </c>
      <c r="Q74" s="89" t="s">
        <v>12</v>
      </c>
      <c r="R74" s="89" t="s">
        <v>12</v>
      </c>
      <c r="S74" s="90" t="s">
        <v>498</v>
      </c>
      <c r="T74" s="28"/>
    </row>
    <row r="75" spans="1:20" x14ac:dyDescent="0.2">
      <c r="A75" s="25"/>
      <c r="B75" s="101" t="s">
        <v>472</v>
      </c>
      <c r="C75" s="240">
        <f>IFERROR(VLOOKUP($B75,MMWR_TRAD_AGG_RO_PEN[],C$1,0),"ERROR")</f>
        <v>17947</v>
      </c>
      <c r="D75" s="241">
        <f>IFERROR(VLOOKUP($B75,MMWR_TRAD_AGG_RO_PEN[],D$1,0),"ERROR")</f>
        <v>84.471722293400006</v>
      </c>
      <c r="E75" s="240">
        <f>IFERROR(VLOOKUP($B75,MMWR_TRAD_AGG_RO_PEN[],E$1,0),"ERROR")</f>
        <v>24999</v>
      </c>
      <c r="F75" s="240">
        <f>IFERROR(VLOOKUP($B75,MMWR_TRAD_AGG_RO_PEN[],F$1,0),"ERROR")</f>
        <v>3363</v>
      </c>
      <c r="G75" s="242">
        <f>IFERROR(F75/E75,"0%")</f>
        <v>0.13452538101524061</v>
      </c>
      <c r="H75" s="240">
        <f>IFERROR(VLOOKUP($B75,MMWR_TRAD_AGG_RO_PEN[],H$1,0),"ERROR")</f>
        <v>29981</v>
      </c>
      <c r="I75" s="240">
        <f>IFERROR(VLOOKUP($B75,MMWR_TRAD_AGG_RO_PEN[],I$1,0),"ERROR")</f>
        <v>6487</v>
      </c>
      <c r="J75" s="242">
        <f>IFERROR(I75/H75,"0%")</f>
        <v>0.21637036789966979</v>
      </c>
      <c r="K75" s="240">
        <f>IFERROR(VLOOKUP($B75,MMWR_TRAD_AGG_RO_PEN[],K$1,0),"ERROR")</f>
        <v>825</v>
      </c>
      <c r="L75" s="240">
        <f>IFERROR(VLOOKUP($B75,MMWR_TRAD_AGG_RO_PEN[],L$1,0),"ERROR")</f>
        <v>798</v>
      </c>
      <c r="M75" s="242">
        <f>IFERROR(L75/K75,"0%")</f>
        <v>0.96727272727272728</v>
      </c>
      <c r="N75" s="240">
        <f>IFERROR(VLOOKUP($B75,MMWR_TRAD_AGG_RO_PEN[],N$1,0),"ERROR")</f>
        <v>5044</v>
      </c>
      <c r="O75" s="240">
        <f>IFERROR(VLOOKUP($B75,MMWR_TRAD_AGG_RO_PEN[],O$1,0),"ERROR")</f>
        <v>899</v>
      </c>
      <c r="P75" s="242">
        <f>IFERROR(O75/N75,"0%")</f>
        <v>0.17823156225218081</v>
      </c>
      <c r="Q75" s="240">
        <f>IFERROR(VLOOKUP($B75,MMWR_TRAD_AGG_RO_PEN[],Q$1,0),"ERROR")</f>
        <v>11305</v>
      </c>
      <c r="R75" s="243">
        <f>IFERROR(VLOOKUP($B75,MMWR_TRAD_AGG_RO_PEN[],R$1,0),"ERROR")</f>
        <v>5116</v>
      </c>
      <c r="S75" s="243">
        <f>IFERROR(VLOOKUP($B75,MMWR_APP_RO[],S$1,0),"ERROR")</f>
        <v>5636</v>
      </c>
      <c r="T75" s="28"/>
    </row>
    <row r="76" spans="1:20" x14ac:dyDescent="0.2">
      <c r="A76" s="107"/>
      <c r="B76" s="122" t="s">
        <v>218</v>
      </c>
      <c r="C76" s="244">
        <f>IFERROR(VLOOKUP($B76,MMWR_TRAD_AGG_RO_PEN[],C$1,0),"ERROR")</f>
        <v>12250</v>
      </c>
      <c r="D76" s="245">
        <f>IFERROR(VLOOKUP($B76,MMWR_TRAD_AGG_RO_PEN[],D$1,0),"ERROR")</f>
        <v>96.752408163300004</v>
      </c>
      <c r="E76" s="244">
        <f>IFERROR(VLOOKUP($B76,MMWR_TRAD_AGG_RO_PEN[],E$1,0),"ERROR")</f>
        <v>11369</v>
      </c>
      <c r="F76" s="244">
        <f>IFERROR(VLOOKUP($B76,MMWR_TRAD_AGG_RO_PEN[],F$1,0),"ERROR")</f>
        <v>2522</v>
      </c>
      <c r="G76" s="226">
        <f>IFERROR(F76/E76,"0%")</f>
        <v>0.22183129562846338</v>
      </c>
      <c r="H76" s="244">
        <f>IFERROR(VLOOKUP($B76,MMWR_TRAD_AGG_RO_PEN[],H$1,0),"ERROR")</f>
        <v>18773</v>
      </c>
      <c r="I76" s="244">
        <f>IFERROR(VLOOKUP($B76,MMWR_TRAD_AGG_RO_PEN[],I$1,0),"ERROR")</f>
        <v>5184</v>
      </c>
      <c r="J76" s="226">
        <f>IFERROR(I76/H76,"0%")</f>
        <v>0.27614126671283223</v>
      </c>
      <c r="K76" s="244">
        <f>IFERROR(VLOOKUP($B76,MMWR_TRAD_AGG_RO_PEN[],K$1,0),"ERROR")</f>
        <v>479</v>
      </c>
      <c r="L76" s="244">
        <f>IFERROR(VLOOKUP($B76,MMWR_TRAD_AGG_RO_PEN[],L$1,0),"ERROR")</f>
        <v>468</v>
      </c>
      <c r="M76" s="226">
        <f>IFERROR(L76/K76,"0%")</f>
        <v>0.97703549060542794</v>
      </c>
      <c r="N76" s="244">
        <f>IFERROR(VLOOKUP($B76,MMWR_TRAD_AGG_RO_PEN[],N$1,0),"ERROR")</f>
        <v>4198</v>
      </c>
      <c r="O76" s="244">
        <f>IFERROR(VLOOKUP($B76,MMWR_TRAD_AGG_RO_PEN[],O$1,0),"ERROR")</f>
        <v>521</v>
      </c>
      <c r="P76" s="226">
        <f>IFERROR(O76/N76,"0%")</f>
        <v>0.12410671748451643</v>
      </c>
      <c r="Q76" s="244">
        <f>IFERROR(VLOOKUP($B76,MMWR_TRAD_AGG_RO_PEN[],Q$1,0),"ERROR")</f>
        <v>1376</v>
      </c>
      <c r="R76" s="244">
        <f>IFERROR(VLOOKUP($B76,MMWR_TRAD_AGG_RO_PEN[],R$1,0),"ERROR")</f>
        <v>3499</v>
      </c>
      <c r="S76" s="246">
        <f>IFERROR(VLOOKUP($B76,MMWR_APP_RO[],S$1,0),"ERROR")</f>
        <v>2592</v>
      </c>
      <c r="T76" s="28"/>
    </row>
    <row r="77" spans="1:20" x14ac:dyDescent="0.2">
      <c r="A77" s="107"/>
      <c r="B77" s="122" t="s">
        <v>217</v>
      </c>
      <c r="C77" s="244">
        <f>IFERROR(VLOOKUP($B77,MMWR_TRAD_AGG_RO_PEN[],C$1,0),"ERROR")</f>
        <v>3855</v>
      </c>
      <c r="D77" s="245">
        <f>IFERROR(VLOOKUP($B77,MMWR_TRAD_AGG_RO_PEN[],D$1,0),"ERROR")</f>
        <v>68.039429312600006</v>
      </c>
      <c r="E77" s="244">
        <f>IFERROR(VLOOKUP($B77,MMWR_TRAD_AGG_RO_PEN[],E$1,0),"ERROR")</f>
        <v>6331</v>
      </c>
      <c r="F77" s="244">
        <f>IFERROR(VLOOKUP($B77,MMWR_TRAD_AGG_RO_PEN[],F$1,0),"ERROR")</f>
        <v>512</v>
      </c>
      <c r="G77" s="226">
        <f>IFERROR(F77/E77,"0%")</f>
        <v>8.0871900173748221E-2</v>
      </c>
      <c r="H77" s="244">
        <f>IFERROR(VLOOKUP($B77,MMWR_TRAD_AGG_RO_PEN[],H$1,0),"ERROR")</f>
        <v>6883</v>
      </c>
      <c r="I77" s="244">
        <f>IFERROR(VLOOKUP($B77,MMWR_TRAD_AGG_RO_PEN[],I$1,0),"ERROR")</f>
        <v>559</v>
      </c>
      <c r="J77" s="226">
        <f>IFERROR(I77/H77,"0%")</f>
        <v>8.1214586662792382E-2</v>
      </c>
      <c r="K77" s="244">
        <f>IFERROR(VLOOKUP($B77,MMWR_TRAD_AGG_RO_PEN[],K$1,0),"ERROR")</f>
        <v>61</v>
      </c>
      <c r="L77" s="244">
        <f>IFERROR(VLOOKUP($B77,MMWR_TRAD_AGG_RO_PEN[],L$1,0),"ERROR")</f>
        <v>61</v>
      </c>
      <c r="M77" s="226">
        <f>IFERROR(L77/K77,"0%")</f>
        <v>1</v>
      </c>
      <c r="N77" s="244">
        <f>IFERROR(VLOOKUP($B77,MMWR_TRAD_AGG_RO_PEN[],N$1,0),"ERROR")</f>
        <v>443</v>
      </c>
      <c r="O77" s="244">
        <f>IFERROR(VLOOKUP($B77,MMWR_TRAD_AGG_RO_PEN[],O$1,0),"ERROR")</f>
        <v>106</v>
      </c>
      <c r="P77" s="226">
        <f>IFERROR(O77/N77,"0%")</f>
        <v>0.23927765237020315</v>
      </c>
      <c r="Q77" s="244">
        <f>IFERROR(VLOOKUP($B77,MMWR_TRAD_AGG_RO_PEN[],Q$1,0),"ERROR")</f>
        <v>4984</v>
      </c>
      <c r="R77" s="244">
        <f>IFERROR(VLOOKUP($B77,MMWR_TRAD_AGG_RO_PEN[],R$1,0),"ERROR")</f>
        <v>473</v>
      </c>
      <c r="S77" s="246">
        <f>IFERROR(VLOOKUP($B77,MMWR_APP_RO[],S$1,0),"ERROR")</f>
        <v>1969</v>
      </c>
      <c r="T77" s="28"/>
    </row>
    <row r="78" spans="1:20" x14ac:dyDescent="0.2">
      <c r="A78" s="107"/>
      <c r="B78" s="122" t="s">
        <v>220</v>
      </c>
      <c r="C78" s="244">
        <f>IFERROR(VLOOKUP($B78,MMWR_TRAD_AGG_RO_PEN[],C$1,0),"ERROR")</f>
        <v>1842</v>
      </c>
      <c r="D78" s="245">
        <f>IFERROR(VLOOKUP($B78,MMWR_TRAD_AGG_RO_PEN[],D$1,0),"ERROR")</f>
        <v>37.190553745899997</v>
      </c>
      <c r="E78" s="244">
        <f>IFERROR(VLOOKUP($B78,MMWR_TRAD_AGG_RO_PEN[],E$1,0),"ERROR")</f>
        <v>7068</v>
      </c>
      <c r="F78" s="244">
        <f>IFERROR(VLOOKUP($B78,MMWR_TRAD_AGG_RO_PEN[],F$1,0),"ERROR")</f>
        <v>231</v>
      </c>
      <c r="G78" s="226">
        <f>IFERROR(F78/E78,"0%")</f>
        <v>3.2682512733446523E-2</v>
      </c>
      <c r="H78" s="244">
        <f>IFERROR(VLOOKUP($B78,MMWR_TRAD_AGG_RO_PEN[],H$1,0),"ERROR")</f>
        <v>3449</v>
      </c>
      <c r="I78" s="244">
        <f>IFERROR(VLOOKUP($B78,MMWR_TRAD_AGG_RO_PEN[],I$1,0),"ERROR")</f>
        <v>26</v>
      </c>
      <c r="J78" s="226">
        <f>IFERROR(I78/H78,"0%")</f>
        <v>7.538416932444187E-3</v>
      </c>
      <c r="K78" s="244">
        <f>IFERROR(VLOOKUP($B78,MMWR_TRAD_AGG_RO_PEN[],K$1,0),"ERROR")</f>
        <v>12</v>
      </c>
      <c r="L78" s="244">
        <f>IFERROR(VLOOKUP($B78,MMWR_TRAD_AGG_RO_PEN[],L$1,0),"ERROR")</f>
        <v>5</v>
      </c>
      <c r="M78" s="226">
        <f>IFERROR(L78/K78,"0%")</f>
        <v>0.41666666666666669</v>
      </c>
      <c r="N78" s="244">
        <f>IFERROR(VLOOKUP($B78,MMWR_TRAD_AGG_RO_PEN[],N$1,0),"ERROR")</f>
        <v>105</v>
      </c>
      <c r="O78" s="244">
        <f>IFERROR(VLOOKUP($B78,MMWR_TRAD_AGG_RO_PEN[],O$1,0),"ERROR")</f>
        <v>32</v>
      </c>
      <c r="P78" s="226">
        <f>IFERROR(O78/N78,"0%")</f>
        <v>0.30476190476190479</v>
      </c>
      <c r="Q78" s="244">
        <f>IFERROR(VLOOKUP($B78,MMWR_TRAD_AGG_RO_PEN[],Q$1,0),"ERROR")</f>
        <v>4830</v>
      </c>
      <c r="R78" s="244">
        <f>IFERROR(VLOOKUP($B78,MMWR_TRAD_AGG_RO_PEN[],R$1,0),"ERROR")</f>
        <v>1144</v>
      </c>
      <c r="S78" s="246">
        <f>IFERROR(VLOOKUP($B78,MMWR_APP_RO[],S$1,0),"ERROR")</f>
        <v>1075</v>
      </c>
      <c r="T78" s="28"/>
    </row>
    <row r="79" spans="1:20" x14ac:dyDescent="0.2">
      <c r="A79" s="92"/>
      <c r="B79" s="101" t="s">
        <v>232</v>
      </c>
      <c r="C79" s="221">
        <f>IFERROR(VLOOKUP($B79,MMWR_TRAD_AGG_RO_PEN[],C$1,0),"ERROR")</f>
        <v>0</v>
      </c>
      <c r="D79" s="192">
        <f>IFERROR(VLOOKUP($B79,MMWR_TRAD_AGG_RO_PEN[],D$1,0),"ERROR")</f>
        <v>0</v>
      </c>
      <c r="E79" s="221">
        <f>IFERROR(VLOOKUP($B79,MMWR_TRAD_AGG_RO_PEN[],E$1,0),"ERROR")</f>
        <v>231</v>
      </c>
      <c r="F79" s="221">
        <f>IFERROR(VLOOKUP($B79,MMWR_TRAD_AGG_RO_PEN[],F$1,0),"ERROR")</f>
        <v>98</v>
      </c>
      <c r="G79" s="217">
        <f>IFERROR(F79/E79,"0%")</f>
        <v>0.42424242424242425</v>
      </c>
      <c r="H79" s="221">
        <f>IFERROR(VLOOKUP($B79,MMWR_TRAD_AGG_RO_PEN[],H$1,0),"ERROR")</f>
        <v>876</v>
      </c>
      <c r="I79" s="221">
        <f>IFERROR(VLOOKUP($B79,MMWR_TRAD_AGG_RO_PEN[],I$1,0),"ERROR")</f>
        <v>718</v>
      </c>
      <c r="J79" s="217">
        <f>IFERROR(I79/H79,"0%")</f>
        <v>0.81963470319634701</v>
      </c>
      <c r="K79" s="221">
        <f>IFERROR(VLOOKUP($B79,MMWR_TRAD_AGG_RO_PEN[],K$1,0),"ERROR")</f>
        <v>273</v>
      </c>
      <c r="L79" s="221">
        <f>IFERROR(VLOOKUP($B79,MMWR_TRAD_AGG_RO_PEN[],L$1,0),"ERROR")</f>
        <v>264</v>
      </c>
      <c r="M79" s="217">
        <f>IFERROR(L79/K79,"0%")</f>
        <v>0.96703296703296704</v>
      </c>
      <c r="N79" s="221">
        <f>IFERROR(VLOOKUP($B79,MMWR_TRAD_AGG_RO_PEN[],N$1,0),"ERROR")</f>
        <v>298</v>
      </c>
      <c r="O79" s="221">
        <f>IFERROR(VLOOKUP($B79,MMWR_TRAD_AGG_RO_PEN[],O$1,0),"ERROR")</f>
        <v>240</v>
      </c>
      <c r="P79" s="217">
        <f>IFERROR(O79/N79,"0%")</f>
        <v>0.80536912751677847</v>
      </c>
      <c r="Q79" s="221">
        <f>IFERROR(VLOOKUP($B79,MMWR_TRAD_AGG_RO_PEN[],Q$1,0),"ERROR")</f>
        <v>115</v>
      </c>
      <c r="R79" s="247">
        <f>IFERROR(VLOOKUP($B79,MMWR_TRAD_AGG_RO_PEN[],R$1,0),"ERROR")</f>
        <v>0</v>
      </c>
      <c r="S79" s="247"/>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BD20" sheet="1" autoFilter="0"/>
  <mergeCells count="13">
    <mergeCell ref="C2:S2"/>
    <mergeCell ref="C3:D3"/>
    <mergeCell ref="E3:G3"/>
    <mergeCell ref="H3:J3"/>
    <mergeCell ref="K3:M3"/>
    <mergeCell ref="N3:P3"/>
    <mergeCell ref="C5:S5"/>
    <mergeCell ref="C72:S72"/>
    <mergeCell ref="C73:D73"/>
    <mergeCell ref="E73:G73"/>
    <mergeCell ref="H73:J73"/>
    <mergeCell ref="K73:M73"/>
    <mergeCell ref="N73:P73"/>
  </mergeCells>
  <conditionalFormatting sqref="S63:S69">
    <cfRule type="expression" dxfId="359" priority="97" stopIfTrue="1">
      <formula>ISERROR(S63)</formula>
    </cfRule>
  </conditionalFormatting>
  <conditionalFormatting sqref="B6:C6 E6:G6 B7:B24 B72:B74 C7:G7 S8:S24 S36:S37 J6:J7 M6:M7 P6:S7 B26:S35">
    <cfRule type="expression" dxfId="358" priority="340" stopIfTrue="1">
      <formula>ISERROR(B6)</formula>
    </cfRule>
  </conditionalFormatting>
  <conditionalFormatting sqref="D6">
    <cfRule type="expression" dxfId="357" priority="339" stopIfTrue="1">
      <formula>ISERROR(D6)</formula>
    </cfRule>
  </conditionalFormatting>
  <conditionalFormatting sqref="D7:G24 Q7:R24">
    <cfRule type="expression" dxfId="356" priority="338" stopIfTrue="1">
      <formula>ISERROR(D7)</formula>
    </cfRule>
  </conditionalFormatting>
  <conditionalFormatting sqref="S4">
    <cfRule type="expression" dxfId="355" priority="333" stopIfTrue="1">
      <formula>ISERROR(S4)</formula>
    </cfRule>
  </conditionalFormatting>
  <conditionalFormatting sqref="M38">
    <cfRule type="expression" dxfId="354" priority="251" stopIfTrue="1">
      <formula>ISERROR(M38)</formula>
    </cfRule>
  </conditionalFormatting>
  <conditionalFormatting sqref="S49">
    <cfRule type="expression" dxfId="353" priority="329" stopIfTrue="1">
      <formula>ISERROR(S49)</formula>
    </cfRule>
  </conditionalFormatting>
  <conditionalFormatting sqref="E4">
    <cfRule type="expression" dxfId="352" priority="337" stopIfTrue="1">
      <formula>ISERROR(E4)</formula>
    </cfRule>
  </conditionalFormatting>
  <conditionalFormatting sqref="C4">
    <cfRule type="expression" dxfId="351" priority="336" stopIfTrue="1">
      <formula>ISERROR(C4)</formula>
    </cfRule>
  </conditionalFormatting>
  <conditionalFormatting sqref="N25">
    <cfRule type="expression" dxfId="350" priority="279" stopIfTrue="1">
      <formula>ISERROR(N25)</formula>
    </cfRule>
  </conditionalFormatting>
  <conditionalFormatting sqref="K7">
    <cfRule type="expression" dxfId="349" priority="309" stopIfTrue="1">
      <formula>ISERROR(K7)</formula>
    </cfRule>
  </conditionalFormatting>
  <conditionalFormatting sqref="S25">
    <cfRule type="expression" dxfId="348" priority="331" stopIfTrue="1">
      <formula>ISERROR(S25)</formula>
    </cfRule>
  </conditionalFormatting>
  <conditionalFormatting sqref="Q4">
    <cfRule type="expression" dxfId="347" priority="335" stopIfTrue="1">
      <formula>ISERROR(Q4)</formula>
    </cfRule>
  </conditionalFormatting>
  <conditionalFormatting sqref="R4">
    <cfRule type="expression" dxfId="346" priority="334" stopIfTrue="1">
      <formula>ISERROR(R4)</formula>
    </cfRule>
  </conditionalFormatting>
  <conditionalFormatting sqref="K4">
    <cfRule type="expression" dxfId="345" priority="322" stopIfTrue="1">
      <formula>ISERROR(K4)</formula>
    </cfRule>
  </conditionalFormatting>
  <conditionalFormatting sqref="P7">
    <cfRule type="expression" dxfId="344" priority="294" stopIfTrue="1">
      <formula>ISERROR(P7)</formula>
    </cfRule>
  </conditionalFormatting>
  <conditionalFormatting sqref="H7">
    <cfRule type="expression" dxfId="343" priority="312" stopIfTrue="1">
      <formula>ISERROR(H7)</formula>
    </cfRule>
  </conditionalFormatting>
  <conditionalFormatting sqref="C7:C24">
    <cfRule type="expression" dxfId="342" priority="332" stopIfTrue="1">
      <formula>ISERROR(C7)</formula>
    </cfRule>
  </conditionalFormatting>
  <conditionalFormatting sqref="S62">
    <cfRule type="expression" dxfId="341" priority="328" stopIfTrue="1">
      <formula>ISERROR(S62)</formula>
    </cfRule>
  </conditionalFormatting>
  <conditionalFormatting sqref="N7">
    <cfRule type="expression" dxfId="340" priority="305" stopIfTrue="1">
      <formula>ISERROR(N7)</formula>
    </cfRule>
  </conditionalFormatting>
  <conditionalFormatting sqref="Q25">
    <cfRule type="expression" dxfId="339" priority="276" stopIfTrue="1">
      <formula>ISERROR(Q25)</formula>
    </cfRule>
  </conditionalFormatting>
  <conditionalFormatting sqref="R25">
    <cfRule type="expression" dxfId="338" priority="275" stopIfTrue="1">
      <formula>ISERROR(R25)</formula>
    </cfRule>
  </conditionalFormatting>
  <conditionalFormatting sqref="S38">
    <cfRule type="expression" dxfId="337" priority="330" stopIfTrue="1">
      <formula>ISERROR(S38)</formula>
    </cfRule>
  </conditionalFormatting>
  <conditionalFormatting sqref="M7">
    <cfRule type="expression" dxfId="336" priority="295" stopIfTrue="1">
      <formula>ISERROR(M7)</formula>
    </cfRule>
  </conditionalFormatting>
  <conditionalFormatting sqref="K49">
    <cfRule type="expression" dxfId="335" priority="239" stopIfTrue="1">
      <formula>ISERROR(K49)</formula>
    </cfRule>
  </conditionalFormatting>
  <conditionalFormatting sqref="L38">
    <cfRule type="expression" dxfId="334" priority="260" stopIfTrue="1">
      <formula>ISERROR(L38)</formula>
    </cfRule>
  </conditionalFormatting>
  <conditionalFormatting sqref="L38">
    <cfRule type="expression" dxfId="333" priority="259" stopIfTrue="1">
      <formula>ISERROR(L38)</formula>
    </cfRule>
  </conditionalFormatting>
  <conditionalFormatting sqref="I7">
    <cfRule type="expression" dxfId="332" priority="311" stopIfTrue="1">
      <formula>ISERROR(I7)</formula>
    </cfRule>
  </conditionalFormatting>
  <conditionalFormatting sqref="K7">
    <cfRule type="expression" dxfId="331" priority="308" stopIfTrue="1">
      <formula>ISERROR(K7)</formula>
    </cfRule>
  </conditionalFormatting>
  <conditionalFormatting sqref="H6:I6">
    <cfRule type="expression" dxfId="330" priority="327" stopIfTrue="1">
      <formula>ISERROR(H6)</formula>
    </cfRule>
  </conditionalFormatting>
  <conditionalFormatting sqref="H9:J24 H8:I8">
    <cfRule type="expression" dxfId="329" priority="326" stopIfTrue="1">
      <formula>ISERROR(H8)</formula>
    </cfRule>
  </conditionalFormatting>
  <conditionalFormatting sqref="H4">
    <cfRule type="expression" dxfId="328" priority="325" stopIfTrue="1">
      <formula>ISERROR(H4)</formula>
    </cfRule>
  </conditionalFormatting>
  <conditionalFormatting sqref="R7">
    <cfRule type="expression" dxfId="327" priority="300" stopIfTrue="1">
      <formula>ISERROR(R7)</formula>
    </cfRule>
  </conditionalFormatting>
  <conditionalFormatting sqref="K38">
    <cfRule type="expression" dxfId="326" priority="262" stopIfTrue="1">
      <formula>ISERROR(K38)</formula>
    </cfRule>
  </conditionalFormatting>
  <conditionalFormatting sqref="K38">
    <cfRule type="expression" dxfId="325" priority="261" stopIfTrue="1">
      <formula>ISERROR(K38)</formula>
    </cfRule>
  </conditionalFormatting>
  <conditionalFormatting sqref="L25">
    <cfRule type="expression" dxfId="324" priority="282" stopIfTrue="1">
      <formula>ISERROR(L25)</formula>
    </cfRule>
  </conditionalFormatting>
  <conditionalFormatting sqref="L25">
    <cfRule type="expression" dxfId="323" priority="281" stopIfTrue="1">
      <formula>ISERROR(L25)</formula>
    </cfRule>
  </conditionalFormatting>
  <conditionalFormatting sqref="J6">
    <cfRule type="expression" dxfId="322" priority="299" stopIfTrue="1">
      <formula>ISERROR(J6)</formula>
    </cfRule>
  </conditionalFormatting>
  <conditionalFormatting sqref="K6:L6">
    <cfRule type="expression" dxfId="321" priority="324" stopIfTrue="1">
      <formula>ISERROR(K6)</formula>
    </cfRule>
  </conditionalFormatting>
  <conditionalFormatting sqref="K9:M24 K8:L8">
    <cfRule type="expression" dxfId="320" priority="323" stopIfTrue="1">
      <formula>ISERROR(K8)</formula>
    </cfRule>
  </conditionalFormatting>
  <conditionalFormatting sqref="C25">
    <cfRule type="expression" dxfId="319" priority="291" stopIfTrue="1">
      <formula>ISERROR(C25)</formula>
    </cfRule>
  </conditionalFormatting>
  <conditionalFormatting sqref="E25">
    <cfRule type="expression" dxfId="318" priority="290" stopIfTrue="1">
      <formula>ISERROR(E25)</formula>
    </cfRule>
  </conditionalFormatting>
  <conditionalFormatting sqref="P38">
    <cfRule type="expression" dxfId="317" priority="250" stopIfTrue="1">
      <formula>ISERROR(P38)</formula>
    </cfRule>
  </conditionalFormatting>
  <conditionalFormatting sqref="B38:G38 Q38:R38">
    <cfRule type="expression" dxfId="316" priority="271" stopIfTrue="1">
      <formula>ISERROR(B38)</formula>
    </cfRule>
  </conditionalFormatting>
  <conditionalFormatting sqref="Q38:R38 D38:G38">
    <cfRule type="expression" dxfId="315" priority="270" stopIfTrue="1">
      <formula>ISERROR(D38)</formula>
    </cfRule>
  </conditionalFormatting>
  <conditionalFormatting sqref="N6:O6">
    <cfRule type="expression" dxfId="314" priority="321" stopIfTrue="1">
      <formula>ISERROR(N6)</formula>
    </cfRule>
  </conditionalFormatting>
  <conditionalFormatting sqref="N9:P24 N8:O8">
    <cfRule type="expression" dxfId="313" priority="320" stopIfTrue="1">
      <formula>ISERROR(N8)</formula>
    </cfRule>
  </conditionalFormatting>
  <conditionalFormatting sqref="N4">
    <cfRule type="expression" dxfId="312" priority="319" stopIfTrue="1">
      <formula>ISERROR(N4)</formula>
    </cfRule>
  </conditionalFormatting>
  <conditionalFormatting sqref="N25">
    <cfRule type="expression" dxfId="311" priority="280" stopIfTrue="1">
      <formula>ISERROR(N25)</formula>
    </cfRule>
  </conditionalFormatting>
  <conditionalFormatting sqref="O25">
    <cfRule type="expression" dxfId="310" priority="278" stopIfTrue="1">
      <formula>ISERROR(O25)</formula>
    </cfRule>
  </conditionalFormatting>
  <conditionalFormatting sqref="K49">
    <cfRule type="expression" dxfId="309" priority="240" stopIfTrue="1">
      <formula>ISERROR(K49)</formula>
    </cfRule>
  </conditionalFormatting>
  <conditionalFormatting sqref="J8">
    <cfRule type="expression" dxfId="308" priority="318" stopIfTrue="1">
      <formula>ISERROR(J8)</formula>
    </cfRule>
  </conditionalFormatting>
  <conditionalFormatting sqref="M8">
    <cfRule type="expression" dxfId="307" priority="317" stopIfTrue="1">
      <formula>ISERROR(M8)</formula>
    </cfRule>
  </conditionalFormatting>
  <conditionalFormatting sqref="P8">
    <cfRule type="expression" dxfId="306" priority="316" stopIfTrue="1">
      <formula>ISERROR(P8)</formula>
    </cfRule>
  </conditionalFormatting>
  <conditionalFormatting sqref="E7">
    <cfRule type="expression" dxfId="305" priority="315" stopIfTrue="1">
      <formula>ISERROR(E7)</formula>
    </cfRule>
  </conditionalFormatting>
  <conditionalFormatting sqref="F7">
    <cfRule type="expression" dxfId="304" priority="314" stopIfTrue="1">
      <formula>ISERROR(F7)</formula>
    </cfRule>
  </conditionalFormatting>
  <conditionalFormatting sqref="H7">
    <cfRule type="expression" dxfId="303" priority="313" stopIfTrue="1">
      <formula>ISERROR(H7)</formula>
    </cfRule>
  </conditionalFormatting>
  <conditionalFormatting sqref="Q25:R25 D25:G25">
    <cfRule type="expression" dxfId="302" priority="292" stopIfTrue="1">
      <formula>ISERROR(D25)</formula>
    </cfRule>
  </conditionalFormatting>
  <conditionalFormatting sqref="I7">
    <cfRule type="expression" dxfId="301" priority="310" stopIfTrue="1">
      <formula>ISERROR(I7)</formula>
    </cfRule>
  </conditionalFormatting>
  <conditionalFormatting sqref="F25">
    <cfRule type="expression" dxfId="300" priority="289" stopIfTrue="1">
      <formula>ISERROR(F25)</formula>
    </cfRule>
  </conditionalFormatting>
  <conditionalFormatting sqref="H25">
    <cfRule type="expression" dxfId="299" priority="288" stopIfTrue="1">
      <formula>ISERROR(H25)</formula>
    </cfRule>
  </conditionalFormatting>
  <conditionalFormatting sqref="L7">
    <cfRule type="expression" dxfId="298" priority="307" stopIfTrue="1">
      <formula>ISERROR(L7)</formula>
    </cfRule>
  </conditionalFormatting>
  <conditionalFormatting sqref="L7">
    <cfRule type="expression" dxfId="297" priority="306" stopIfTrue="1">
      <formula>ISERROR(L7)</formula>
    </cfRule>
  </conditionalFormatting>
  <conditionalFormatting sqref="N7">
    <cfRule type="expression" dxfId="296" priority="304" stopIfTrue="1">
      <formula>ISERROR(N7)</formula>
    </cfRule>
  </conditionalFormatting>
  <conditionalFormatting sqref="O7">
    <cfRule type="expression" dxfId="295" priority="303" stopIfTrue="1">
      <formula>ISERROR(O7)</formula>
    </cfRule>
  </conditionalFormatting>
  <conditionalFormatting sqref="O7">
    <cfRule type="expression" dxfId="294" priority="302" stopIfTrue="1">
      <formula>ISERROR(O7)</formula>
    </cfRule>
  </conditionalFormatting>
  <conditionalFormatting sqref="Q7">
    <cfRule type="expression" dxfId="293" priority="301" stopIfTrue="1">
      <formula>ISERROR(Q7)</formula>
    </cfRule>
  </conditionalFormatting>
  <conditionalFormatting sqref="O62">
    <cfRule type="expression" dxfId="292" priority="212" stopIfTrue="1">
      <formula>ISERROR(O62)</formula>
    </cfRule>
  </conditionalFormatting>
  <conditionalFormatting sqref="P62">
    <cfRule type="expression" dxfId="291" priority="206" stopIfTrue="1">
      <formula>ISERROR(P62)</formula>
    </cfRule>
  </conditionalFormatting>
  <conditionalFormatting sqref="O25">
    <cfRule type="expression" dxfId="290" priority="277" stopIfTrue="1">
      <formula>ISERROR(O25)</formula>
    </cfRule>
  </conditionalFormatting>
  <conditionalFormatting sqref="M6">
    <cfRule type="expression" dxfId="289" priority="298" stopIfTrue="1">
      <formula>ISERROR(M6)</formula>
    </cfRule>
  </conditionalFormatting>
  <conditionalFormatting sqref="P6">
    <cfRule type="expression" dxfId="288" priority="297" stopIfTrue="1">
      <formula>ISERROR(P6)</formula>
    </cfRule>
  </conditionalFormatting>
  <conditionalFormatting sqref="J7">
    <cfRule type="expression" dxfId="287" priority="296" stopIfTrue="1">
      <formula>ISERROR(J7)</formula>
    </cfRule>
  </conditionalFormatting>
  <conditionalFormatting sqref="M25">
    <cfRule type="expression" dxfId="286" priority="273" stopIfTrue="1">
      <formula>ISERROR(M25)</formula>
    </cfRule>
  </conditionalFormatting>
  <conditionalFormatting sqref="P25">
    <cfRule type="expression" dxfId="285" priority="272" stopIfTrue="1">
      <formula>ISERROR(P25)</formula>
    </cfRule>
  </conditionalFormatting>
  <conditionalFormatting sqref="B25:G25 Q25:R25">
    <cfRule type="expression" dxfId="284" priority="293" stopIfTrue="1">
      <formula>ISERROR(B25)</formula>
    </cfRule>
  </conditionalFormatting>
  <conditionalFormatting sqref="C38">
    <cfRule type="expression" dxfId="283" priority="269" stopIfTrue="1">
      <formula>ISERROR(C38)</formula>
    </cfRule>
  </conditionalFormatting>
  <conditionalFormatting sqref="E38">
    <cfRule type="expression" dxfId="282" priority="268" stopIfTrue="1">
      <formula>ISERROR(E38)</formula>
    </cfRule>
  </conditionalFormatting>
  <conditionalFormatting sqref="H25">
    <cfRule type="expression" dxfId="281" priority="287" stopIfTrue="1">
      <formula>ISERROR(H25)</formula>
    </cfRule>
  </conditionalFormatting>
  <conditionalFormatting sqref="I25">
    <cfRule type="expression" dxfId="280" priority="286" stopIfTrue="1">
      <formula>ISERROR(I25)</formula>
    </cfRule>
  </conditionalFormatting>
  <conditionalFormatting sqref="I25">
    <cfRule type="expression" dxfId="279" priority="285" stopIfTrue="1">
      <formula>ISERROR(I25)</formula>
    </cfRule>
  </conditionalFormatting>
  <conditionalFormatting sqref="K25">
    <cfRule type="expression" dxfId="278" priority="284" stopIfTrue="1">
      <formula>ISERROR(K25)</formula>
    </cfRule>
  </conditionalFormatting>
  <conditionalFormatting sqref="K25">
    <cfRule type="expression" dxfId="277" priority="283" stopIfTrue="1">
      <formula>ISERROR(K25)</formula>
    </cfRule>
  </conditionalFormatting>
  <conditionalFormatting sqref="N38">
    <cfRule type="expression" dxfId="276" priority="258" stopIfTrue="1">
      <formula>ISERROR(N38)</formula>
    </cfRule>
  </conditionalFormatting>
  <conditionalFormatting sqref="N38">
    <cfRule type="expression" dxfId="275" priority="257" stopIfTrue="1">
      <formula>ISERROR(N38)</formula>
    </cfRule>
  </conditionalFormatting>
  <conditionalFormatting sqref="Q38">
    <cfRule type="expression" dxfId="274" priority="254" stopIfTrue="1">
      <formula>ISERROR(Q38)</formula>
    </cfRule>
  </conditionalFormatting>
  <conditionalFormatting sqref="R38">
    <cfRule type="expression" dxfId="273" priority="253" stopIfTrue="1">
      <formula>ISERROR(R38)</formula>
    </cfRule>
  </conditionalFormatting>
  <conditionalFormatting sqref="J25">
    <cfRule type="expression" dxfId="272" priority="274" stopIfTrue="1">
      <formula>ISERROR(J25)</formula>
    </cfRule>
  </conditionalFormatting>
  <conditionalFormatting sqref="B49:G49 Q49:R49">
    <cfRule type="expression" dxfId="271" priority="249" stopIfTrue="1">
      <formula>ISERROR(B49)</formula>
    </cfRule>
  </conditionalFormatting>
  <conditionalFormatting sqref="Q49:R49 D49:G49">
    <cfRule type="expression" dxfId="270" priority="248" stopIfTrue="1">
      <formula>ISERROR(D49)</formula>
    </cfRule>
  </conditionalFormatting>
  <conditionalFormatting sqref="F38">
    <cfRule type="expression" dxfId="269" priority="267" stopIfTrue="1">
      <formula>ISERROR(F38)</formula>
    </cfRule>
  </conditionalFormatting>
  <conditionalFormatting sqref="H38">
    <cfRule type="expression" dxfId="268" priority="266" stopIfTrue="1">
      <formula>ISERROR(H38)</formula>
    </cfRule>
  </conditionalFormatting>
  <conditionalFormatting sqref="H38">
    <cfRule type="expression" dxfId="267" priority="265" stopIfTrue="1">
      <formula>ISERROR(H38)</formula>
    </cfRule>
  </conditionalFormatting>
  <conditionalFormatting sqref="I38">
    <cfRule type="expression" dxfId="266" priority="264" stopIfTrue="1">
      <formula>ISERROR(I38)</formula>
    </cfRule>
  </conditionalFormatting>
  <conditionalFormatting sqref="I38">
    <cfRule type="expression" dxfId="265" priority="263" stopIfTrue="1">
      <formula>ISERROR(I38)</formula>
    </cfRule>
  </conditionalFormatting>
  <conditionalFormatting sqref="L49">
    <cfRule type="expression" dxfId="264" priority="238" stopIfTrue="1">
      <formula>ISERROR(L49)</formula>
    </cfRule>
  </conditionalFormatting>
  <conditionalFormatting sqref="L49">
    <cfRule type="expression" dxfId="263" priority="237" stopIfTrue="1">
      <formula>ISERROR(L49)</formula>
    </cfRule>
  </conditionalFormatting>
  <conditionalFormatting sqref="O38">
    <cfRule type="expression" dxfId="262" priority="256" stopIfTrue="1">
      <formula>ISERROR(O38)</formula>
    </cfRule>
  </conditionalFormatting>
  <conditionalFormatting sqref="O38">
    <cfRule type="expression" dxfId="261" priority="255" stopIfTrue="1">
      <formula>ISERROR(O38)</formula>
    </cfRule>
  </conditionalFormatting>
  <conditionalFormatting sqref="J38">
    <cfRule type="expression" dxfId="260" priority="252" stopIfTrue="1">
      <formula>ISERROR(J38)</formula>
    </cfRule>
  </conditionalFormatting>
  <conditionalFormatting sqref="M49">
    <cfRule type="expression" dxfId="259" priority="229" stopIfTrue="1">
      <formula>ISERROR(M49)</formula>
    </cfRule>
  </conditionalFormatting>
  <conditionalFormatting sqref="P49">
    <cfRule type="expression" dxfId="258" priority="228" stopIfTrue="1">
      <formula>ISERROR(P49)</formula>
    </cfRule>
  </conditionalFormatting>
  <conditionalFormatting sqref="C49">
    <cfRule type="expression" dxfId="257" priority="247" stopIfTrue="1">
      <formula>ISERROR(C49)</formula>
    </cfRule>
  </conditionalFormatting>
  <conditionalFormatting sqref="E49">
    <cfRule type="expression" dxfId="256" priority="246" stopIfTrue="1">
      <formula>ISERROR(E49)</formula>
    </cfRule>
  </conditionalFormatting>
  <conditionalFormatting sqref="F49">
    <cfRule type="expression" dxfId="255" priority="245" stopIfTrue="1">
      <formula>ISERROR(F49)</formula>
    </cfRule>
  </conditionalFormatting>
  <conditionalFormatting sqref="H49">
    <cfRule type="expression" dxfId="254" priority="244" stopIfTrue="1">
      <formula>ISERROR(H49)</formula>
    </cfRule>
  </conditionalFormatting>
  <conditionalFormatting sqref="H49">
    <cfRule type="expression" dxfId="253" priority="243" stopIfTrue="1">
      <formula>ISERROR(H49)</formula>
    </cfRule>
  </conditionalFormatting>
  <conditionalFormatting sqref="I49">
    <cfRule type="expression" dxfId="252" priority="242" stopIfTrue="1">
      <formula>ISERROR(I49)</formula>
    </cfRule>
  </conditionalFormatting>
  <conditionalFormatting sqref="I49">
    <cfRule type="expression" dxfId="251" priority="241" stopIfTrue="1">
      <formula>ISERROR(I49)</formula>
    </cfRule>
  </conditionalFormatting>
  <conditionalFormatting sqref="K62">
    <cfRule type="expression" dxfId="250" priority="218" stopIfTrue="1">
      <formula>ISERROR(K62)</formula>
    </cfRule>
  </conditionalFormatting>
  <conditionalFormatting sqref="K62">
    <cfRule type="expression" dxfId="249" priority="217" stopIfTrue="1">
      <formula>ISERROR(K62)</formula>
    </cfRule>
  </conditionalFormatting>
  <conditionalFormatting sqref="N49">
    <cfRule type="expression" dxfId="248" priority="236" stopIfTrue="1">
      <formula>ISERROR(N49)</formula>
    </cfRule>
  </conditionalFormatting>
  <conditionalFormatting sqref="N49">
    <cfRule type="expression" dxfId="247" priority="235" stopIfTrue="1">
      <formula>ISERROR(N49)</formula>
    </cfRule>
  </conditionalFormatting>
  <conditionalFormatting sqref="O49">
    <cfRule type="expression" dxfId="246" priority="234" stopIfTrue="1">
      <formula>ISERROR(O49)</formula>
    </cfRule>
  </conditionalFormatting>
  <conditionalFormatting sqref="O49">
    <cfRule type="expression" dxfId="245" priority="233" stopIfTrue="1">
      <formula>ISERROR(O49)</formula>
    </cfRule>
  </conditionalFormatting>
  <conditionalFormatting sqref="Q49">
    <cfRule type="expression" dxfId="244" priority="232" stopIfTrue="1">
      <formula>ISERROR(Q49)</formula>
    </cfRule>
  </conditionalFormatting>
  <conditionalFormatting sqref="R49">
    <cfRule type="expression" dxfId="243" priority="231" stopIfTrue="1">
      <formula>ISERROR(R49)</formula>
    </cfRule>
  </conditionalFormatting>
  <conditionalFormatting sqref="J49">
    <cfRule type="expression" dxfId="242" priority="230" stopIfTrue="1">
      <formula>ISERROR(J49)</formula>
    </cfRule>
  </conditionalFormatting>
  <conditionalFormatting sqref="B62:G62 Q62:R62">
    <cfRule type="expression" dxfId="241" priority="227" stopIfTrue="1">
      <formula>ISERROR(B62)</formula>
    </cfRule>
  </conditionalFormatting>
  <conditionalFormatting sqref="Q62:R62 D62:G62">
    <cfRule type="expression" dxfId="240" priority="226" stopIfTrue="1">
      <formula>ISERROR(D62)</formula>
    </cfRule>
  </conditionalFormatting>
  <conditionalFormatting sqref="C62">
    <cfRule type="expression" dxfId="239" priority="225" stopIfTrue="1">
      <formula>ISERROR(C62)</formula>
    </cfRule>
  </conditionalFormatting>
  <conditionalFormatting sqref="E62">
    <cfRule type="expression" dxfId="238" priority="224" stopIfTrue="1">
      <formula>ISERROR(E62)</formula>
    </cfRule>
  </conditionalFormatting>
  <conditionalFormatting sqref="F62">
    <cfRule type="expression" dxfId="237" priority="223" stopIfTrue="1">
      <formula>ISERROR(F62)</formula>
    </cfRule>
  </conditionalFormatting>
  <conditionalFormatting sqref="H62">
    <cfRule type="expression" dxfId="236" priority="222" stopIfTrue="1">
      <formula>ISERROR(H62)</formula>
    </cfRule>
  </conditionalFormatting>
  <conditionalFormatting sqref="H62">
    <cfRule type="expression" dxfId="235" priority="221" stopIfTrue="1">
      <formula>ISERROR(H62)</formula>
    </cfRule>
  </conditionalFormatting>
  <conditionalFormatting sqref="I62">
    <cfRule type="expression" dxfId="234" priority="220" stopIfTrue="1">
      <formula>ISERROR(I62)</formula>
    </cfRule>
  </conditionalFormatting>
  <conditionalFormatting sqref="I62">
    <cfRule type="expression" dxfId="233" priority="219" stopIfTrue="1">
      <formula>ISERROR(I62)</formula>
    </cfRule>
  </conditionalFormatting>
  <conditionalFormatting sqref="L62">
    <cfRule type="expression" dxfId="232" priority="216" stopIfTrue="1">
      <formula>ISERROR(L62)</formula>
    </cfRule>
  </conditionalFormatting>
  <conditionalFormatting sqref="L62">
    <cfRule type="expression" dxfId="231" priority="215" stopIfTrue="1">
      <formula>ISERROR(L62)</formula>
    </cfRule>
  </conditionalFormatting>
  <conditionalFormatting sqref="N62">
    <cfRule type="expression" dxfId="230" priority="214" stopIfTrue="1">
      <formula>ISERROR(N62)</formula>
    </cfRule>
  </conditionalFormatting>
  <conditionalFormatting sqref="N62">
    <cfRule type="expression" dxfId="229" priority="213" stopIfTrue="1">
      <formula>ISERROR(N62)</formula>
    </cfRule>
  </conditionalFormatting>
  <conditionalFormatting sqref="O70">
    <cfRule type="expression" dxfId="228" priority="190" stopIfTrue="1">
      <formula>ISERROR(O70)</formula>
    </cfRule>
  </conditionalFormatting>
  <conditionalFormatting sqref="O62">
    <cfRule type="expression" dxfId="227" priority="211" stopIfTrue="1">
      <formula>ISERROR(O62)</formula>
    </cfRule>
  </conditionalFormatting>
  <conditionalFormatting sqref="Q62">
    <cfRule type="expression" dxfId="226" priority="210" stopIfTrue="1">
      <formula>ISERROR(Q62)</formula>
    </cfRule>
  </conditionalFormatting>
  <conditionalFormatting sqref="R62">
    <cfRule type="expression" dxfId="225" priority="209" stopIfTrue="1">
      <formula>ISERROR(R62)</formula>
    </cfRule>
  </conditionalFormatting>
  <conditionalFormatting sqref="J62">
    <cfRule type="expression" dxfId="224" priority="208" stopIfTrue="1">
      <formula>ISERROR(J62)</formula>
    </cfRule>
  </conditionalFormatting>
  <conditionalFormatting sqref="M62">
    <cfRule type="expression" dxfId="223" priority="207" stopIfTrue="1">
      <formula>ISERROR(M62)</formula>
    </cfRule>
  </conditionalFormatting>
  <conditionalFormatting sqref="P70">
    <cfRule type="expression" dxfId="222" priority="184" stopIfTrue="1">
      <formula>ISERROR(P70)</formula>
    </cfRule>
  </conditionalFormatting>
  <conditionalFormatting sqref="B70:G70 Q70:R70">
    <cfRule type="expression" dxfId="221" priority="205" stopIfTrue="1">
      <formula>ISERROR(B70)</formula>
    </cfRule>
  </conditionalFormatting>
  <conditionalFormatting sqref="Q70:R70 D70:G70">
    <cfRule type="expression" dxfId="220" priority="204" stopIfTrue="1">
      <formula>ISERROR(D70)</formula>
    </cfRule>
  </conditionalFormatting>
  <conditionalFormatting sqref="C70">
    <cfRule type="expression" dxfId="219" priority="203" stopIfTrue="1">
      <formula>ISERROR(C70)</formula>
    </cfRule>
  </conditionalFormatting>
  <conditionalFormatting sqref="E70">
    <cfRule type="expression" dxfId="218" priority="202" stopIfTrue="1">
      <formula>ISERROR(E70)</formula>
    </cfRule>
  </conditionalFormatting>
  <conditionalFormatting sqref="F70">
    <cfRule type="expression" dxfId="217" priority="201" stopIfTrue="1">
      <formula>ISERROR(F70)</formula>
    </cfRule>
  </conditionalFormatting>
  <conditionalFormatting sqref="H70">
    <cfRule type="expression" dxfId="216" priority="200" stopIfTrue="1">
      <formula>ISERROR(H70)</formula>
    </cfRule>
  </conditionalFormatting>
  <conditionalFormatting sqref="H70">
    <cfRule type="expression" dxfId="215" priority="199" stopIfTrue="1">
      <formula>ISERROR(H70)</formula>
    </cfRule>
  </conditionalFormatting>
  <conditionalFormatting sqref="I70">
    <cfRule type="expression" dxfId="214" priority="198" stopIfTrue="1">
      <formula>ISERROR(I70)</formula>
    </cfRule>
  </conditionalFormatting>
  <conditionalFormatting sqref="I70">
    <cfRule type="expression" dxfId="213" priority="197" stopIfTrue="1">
      <formula>ISERROR(I70)</formula>
    </cfRule>
  </conditionalFormatting>
  <conditionalFormatting sqref="K70">
    <cfRule type="expression" dxfId="212" priority="196" stopIfTrue="1">
      <formula>ISERROR(K70)</formula>
    </cfRule>
  </conditionalFormatting>
  <conditionalFormatting sqref="K70">
    <cfRule type="expression" dxfId="211" priority="195" stopIfTrue="1">
      <formula>ISERROR(K70)</formula>
    </cfRule>
  </conditionalFormatting>
  <conditionalFormatting sqref="L70">
    <cfRule type="expression" dxfId="210" priority="194" stopIfTrue="1">
      <formula>ISERROR(L70)</formula>
    </cfRule>
  </conditionalFormatting>
  <conditionalFormatting sqref="L70">
    <cfRule type="expression" dxfId="209" priority="193" stopIfTrue="1">
      <formula>ISERROR(L70)</formula>
    </cfRule>
  </conditionalFormatting>
  <conditionalFormatting sqref="N70">
    <cfRule type="expression" dxfId="208" priority="192" stopIfTrue="1">
      <formula>ISERROR(N70)</formula>
    </cfRule>
  </conditionalFormatting>
  <conditionalFormatting sqref="N70">
    <cfRule type="expression" dxfId="207" priority="191" stopIfTrue="1">
      <formula>ISERROR(N70)</formula>
    </cfRule>
  </conditionalFormatting>
  <conditionalFormatting sqref="O70">
    <cfRule type="expression" dxfId="206" priority="189" stopIfTrue="1">
      <formula>ISERROR(O70)</formula>
    </cfRule>
  </conditionalFormatting>
  <conditionalFormatting sqref="Q70">
    <cfRule type="expression" dxfId="205" priority="188" stopIfTrue="1">
      <formula>ISERROR(Q70)</formula>
    </cfRule>
  </conditionalFormatting>
  <conditionalFormatting sqref="R70">
    <cfRule type="expression" dxfId="204" priority="187" stopIfTrue="1">
      <formula>ISERROR(R70)</formula>
    </cfRule>
  </conditionalFormatting>
  <conditionalFormatting sqref="J70">
    <cfRule type="expression" dxfId="203" priority="186" stopIfTrue="1">
      <formula>ISERROR(J70)</formula>
    </cfRule>
  </conditionalFormatting>
  <conditionalFormatting sqref="M70">
    <cfRule type="expression" dxfId="202" priority="185" stopIfTrue="1">
      <formula>ISERROR(M70)</formula>
    </cfRule>
  </conditionalFormatting>
  <conditionalFormatting sqref="O75">
    <cfRule type="expression" dxfId="201" priority="168" stopIfTrue="1">
      <formula>ISERROR(O75)</formula>
    </cfRule>
  </conditionalFormatting>
  <conditionalFormatting sqref="E74">
    <cfRule type="expression" dxfId="200" priority="157" stopIfTrue="1">
      <formula>ISERROR(E74)</formula>
    </cfRule>
  </conditionalFormatting>
  <conditionalFormatting sqref="K75">
    <cfRule type="expression" dxfId="199" priority="174" stopIfTrue="1">
      <formula>ISERROR(K75)</formula>
    </cfRule>
  </conditionalFormatting>
  <conditionalFormatting sqref="K75">
    <cfRule type="expression" dxfId="198" priority="173" stopIfTrue="1">
      <formula>ISERROR(K75)</formula>
    </cfRule>
  </conditionalFormatting>
  <conditionalFormatting sqref="B75:F75 Q75:R75">
    <cfRule type="expression" dxfId="197" priority="183" stopIfTrue="1">
      <formula>ISERROR(B75)</formula>
    </cfRule>
  </conditionalFormatting>
  <conditionalFormatting sqref="Q75:R75 D75:F75">
    <cfRule type="expression" dxfId="196" priority="182" stopIfTrue="1">
      <formula>ISERROR(D75)</formula>
    </cfRule>
  </conditionalFormatting>
  <conditionalFormatting sqref="C75">
    <cfRule type="expression" dxfId="195" priority="181" stopIfTrue="1">
      <formula>ISERROR(C75)</formula>
    </cfRule>
  </conditionalFormatting>
  <conditionalFormatting sqref="E75">
    <cfRule type="expression" dxfId="194" priority="180" stopIfTrue="1">
      <formula>ISERROR(E75)</formula>
    </cfRule>
  </conditionalFormatting>
  <conditionalFormatting sqref="F75">
    <cfRule type="expression" dxfId="193" priority="179" stopIfTrue="1">
      <formula>ISERROR(F75)</formula>
    </cfRule>
  </conditionalFormatting>
  <conditionalFormatting sqref="H75">
    <cfRule type="expression" dxfId="192" priority="178" stopIfTrue="1">
      <formula>ISERROR(H75)</formula>
    </cfRule>
  </conditionalFormatting>
  <conditionalFormatting sqref="H75">
    <cfRule type="expression" dxfId="191" priority="177" stopIfTrue="1">
      <formula>ISERROR(H75)</formula>
    </cfRule>
  </conditionalFormatting>
  <conditionalFormatting sqref="I75">
    <cfRule type="expression" dxfId="190" priority="176" stopIfTrue="1">
      <formula>ISERROR(I75)</formula>
    </cfRule>
  </conditionalFormatting>
  <conditionalFormatting sqref="I75">
    <cfRule type="expression" dxfId="189" priority="175" stopIfTrue="1">
      <formula>ISERROR(I75)</formula>
    </cfRule>
  </conditionalFormatting>
  <conditionalFormatting sqref="L75">
    <cfRule type="expression" dxfId="188" priority="172" stopIfTrue="1">
      <formula>ISERROR(L75)</formula>
    </cfRule>
  </conditionalFormatting>
  <conditionalFormatting sqref="L75">
    <cfRule type="expression" dxfId="187" priority="171" stopIfTrue="1">
      <formula>ISERROR(L75)</formula>
    </cfRule>
  </conditionalFormatting>
  <conditionalFormatting sqref="N75">
    <cfRule type="expression" dxfId="186" priority="170" stopIfTrue="1">
      <formula>ISERROR(N75)</formula>
    </cfRule>
  </conditionalFormatting>
  <conditionalFormatting sqref="N75">
    <cfRule type="expression" dxfId="185" priority="169" stopIfTrue="1">
      <formula>ISERROR(N75)</formula>
    </cfRule>
  </conditionalFormatting>
  <conditionalFormatting sqref="O75">
    <cfRule type="expression" dxfId="184" priority="167" stopIfTrue="1">
      <formula>ISERROR(O75)</formula>
    </cfRule>
  </conditionalFormatting>
  <conditionalFormatting sqref="Q75">
    <cfRule type="expression" dxfId="183" priority="166" stopIfTrue="1">
      <formula>ISERROR(Q75)</formula>
    </cfRule>
  </conditionalFormatting>
  <conditionalFormatting sqref="R75">
    <cfRule type="expression" dxfId="182" priority="165" stopIfTrue="1">
      <formula>ISERROR(R75)</formula>
    </cfRule>
  </conditionalFormatting>
  <conditionalFormatting sqref="R79">
    <cfRule type="expression" dxfId="181" priority="132" stopIfTrue="1">
      <formula>ISERROR(R79)</formula>
    </cfRule>
  </conditionalFormatting>
  <conditionalFormatting sqref="G75">
    <cfRule type="expression" dxfId="180" priority="164" stopIfTrue="1">
      <formula>ISERROR(G75)</formula>
    </cfRule>
  </conditionalFormatting>
  <conditionalFormatting sqref="J75">
    <cfRule type="expression" dxfId="179" priority="163" stopIfTrue="1">
      <formula>ISERROR(J75)</formula>
    </cfRule>
  </conditionalFormatting>
  <conditionalFormatting sqref="M75">
    <cfRule type="expression" dxfId="178" priority="162" stopIfTrue="1">
      <formula>ISERROR(M75)</formula>
    </cfRule>
  </conditionalFormatting>
  <conditionalFormatting sqref="P75">
    <cfRule type="expression" dxfId="177" priority="161" stopIfTrue="1">
      <formula>ISERROR(P75)</formula>
    </cfRule>
  </conditionalFormatting>
  <conditionalFormatting sqref="S75">
    <cfRule type="expression" dxfId="176" priority="160" stopIfTrue="1">
      <formula>ISERROR(S75)</formula>
    </cfRule>
  </conditionalFormatting>
  <conditionalFormatting sqref="S75">
    <cfRule type="expression" dxfId="175" priority="159" stopIfTrue="1">
      <formula>ISERROR(S75)</formula>
    </cfRule>
  </conditionalFormatting>
  <conditionalFormatting sqref="S75">
    <cfRule type="expression" dxfId="174" priority="158" stopIfTrue="1">
      <formula>ISERROR(S75)</formula>
    </cfRule>
  </conditionalFormatting>
  <conditionalFormatting sqref="H74">
    <cfRule type="expression" dxfId="173" priority="153" stopIfTrue="1">
      <formula>ISERROR(H74)</formula>
    </cfRule>
  </conditionalFormatting>
  <conditionalFormatting sqref="C74">
    <cfRule type="expression" dxfId="172" priority="156" stopIfTrue="1">
      <formula>ISERROR(C74)</formula>
    </cfRule>
  </conditionalFormatting>
  <conditionalFormatting sqref="Q74">
    <cfRule type="expression" dxfId="171" priority="155" stopIfTrue="1">
      <formula>ISERROR(Q74)</formula>
    </cfRule>
  </conditionalFormatting>
  <conditionalFormatting sqref="R74">
    <cfRule type="expression" dxfId="170" priority="154" stopIfTrue="1">
      <formula>ISERROR(R74)</formula>
    </cfRule>
  </conditionalFormatting>
  <conditionalFormatting sqref="K74">
    <cfRule type="expression" dxfId="169" priority="152" stopIfTrue="1">
      <formula>ISERROR(K74)</formula>
    </cfRule>
  </conditionalFormatting>
  <conditionalFormatting sqref="N74">
    <cfRule type="expression" dxfId="168" priority="151" stopIfTrue="1">
      <formula>ISERROR(N74)</formula>
    </cfRule>
  </conditionalFormatting>
  <conditionalFormatting sqref="O79">
    <cfRule type="expression" dxfId="167" priority="135" stopIfTrue="1">
      <formula>ISERROR(O79)</formula>
    </cfRule>
  </conditionalFormatting>
  <conditionalFormatting sqref="P79">
    <cfRule type="expression" dxfId="166" priority="129" stopIfTrue="1">
      <formula>ISERROR(P79)</formula>
    </cfRule>
  </conditionalFormatting>
  <conditionalFormatting sqref="B79:G79 Q79:R79">
    <cfRule type="expression" dxfId="165" priority="150" stopIfTrue="1">
      <formula>ISERROR(B79)</formula>
    </cfRule>
  </conditionalFormatting>
  <conditionalFormatting sqref="Q79:R79 D79:G79">
    <cfRule type="expression" dxfId="164" priority="149" stopIfTrue="1">
      <formula>ISERROR(D79)</formula>
    </cfRule>
  </conditionalFormatting>
  <conditionalFormatting sqref="C79">
    <cfRule type="expression" dxfId="163" priority="148" stopIfTrue="1">
      <formula>ISERROR(C79)</formula>
    </cfRule>
  </conditionalFormatting>
  <conditionalFormatting sqref="E79">
    <cfRule type="expression" dxfId="162" priority="147" stopIfTrue="1">
      <formula>ISERROR(E79)</formula>
    </cfRule>
  </conditionalFormatting>
  <conditionalFormatting sqref="F79">
    <cfRule type="expression" dxfId="161" priority="146" stopIfTrue="1">
      <formula>ISERROR(F79)</formula>
    </cfRule>
  </conditionalFormatting>
  <conditionalFormatting sqref="H79">
    <cfRule type="expression" dxfId="160" priority="145" stopIfTrue="1">
      <formula>ISERROR(H79)</formula>
    </cfRule>
  </conditionalFormatting>
  <conditionalFormatting sqref="H79">
    <cfRule type="expression" dxfId="159" priority="144" stopIfTrue="1">
      <formula>ISERROR(H79)</formula>
    </cfRule>
  </conditionalFormatting>
  <conditionalFormatting sqref="I79">
    <cfRule type="expression" dxfId="158" priority="143" stopIfTrue="1">
      <formula>ISERROR(I79)</formula>
    </cfRule>
  </conditionalFormatting>
  <conditionalFormatting sqref="I79">
    <cfRule type="expression" dxfId="157" priority="142" stopIfTrue="1">
      <formula>ISERROR(I79)</formula>
    </cfRule>
  </conditionalFormatting>
  <conditionalFormatting sqref="K79">
    <cfRule type="expression" dxfId="156" priority="141" stopIfTrue="1">
      <formula>ISERROR(K79)</formula>
    </cfRule>
  </conditionalFormatting>
  <conditionalFormatting sqref="K79">
    <cfRule type="expression" dxfId="155" priority="140" stopIfTrue="1">
      <formula>ISERROR(K79)</formula>
    </cfRule>
  </conditionalFormatting>
  <conditionalFormatting sqref="L79">
    <cfRule type="expression" dxfId="154" priority="139" stopIfTrue="1">
      <formula>ISERROR(L79)</formula>
    </cfRule>
  </conditionalFormatting>
  <conditionalFormatting sqref="L79">
    <cfRule type="expression" dxfId="153" priority="138" stopIfTrue="1">
      <formula>ISERROR(L79)</formula>
    </cfRule>
  </conditionalFormatting>
  <conditionalFormatting sqref="N79">
    <cfRule type="expression" dxfId="152" priority="137" stopIfTrue="1">
      <formula>ISERROR(N79)</formula>
    </cfRule>
  </conditionalFormatting>
  <conditionalFormatting sqref="N79">
    <cfRule type="expression" dxfId="151" priority="136" stopIfTrue="1">
      <formula>ISERROR(N79)</formula>
    </cfRule>
  </conditionalFormatting>
  <conditionalFormatting sqref="O79">
    <cfRule type="expression" dxfId="150" priority="134" stopIfTrue="1">
      <formula>ISERROR(O79)</formula>
    </cfRule>
  </conditionalFormatting>
  <conditionalFormatting sqref="Q79">
    <cfRule type="expression" dxfId="149" priority="133" stopIfTrue="1">
      <formula>ISERROR(Q79)</formula>
    </cfRule>
  </conditionalFormatting>
  <conditionalFormatting sqref="J79">
    <cfRule type="expression" dxfId="148" priority="131" stopIfTrue="1">
      <formula>ISERROR(J79)</formula>
    </cfRule>
  </conditionalFormatting>
  <conditionalFormatting sqref="M79">
    <cfRule type="expression" dxfId="147" priority="130" stopIfTrue="1">
      <formula>ISERROR(M79)</formula>
    </cfRule>
  </conditionalFormatting>
  <conditionalFormatting sqref="S70">
    <cfRule type="expression" dxfId="146" priority="128" stopIfTrue="1">
      <formula>ISERROR(S70)</formula>
    </cfRule>
  </conditionalFormatting>
  <conditionalFormatting sqref="S70">
    <cfRule type="expression" dxfId="145" priority="127" stopIfTrue="1">
      <formula>ISERROR(S70)</formula>
    </cfRule>
  </conditionalFormatting>
  <conditionalFormatting sqref="S70">
    <cfRule type="expression" dxfId="144" priority="126" stopIfTrue="1">
      <formula>ISERROR(S70)</formula>
    </cfRule>
  </conditionalFormatting>
  <conditionalFormatting sqref="S79">
    <cfRule type="expression" dxfId="143" priority="123" stopIfTrue="1">
      <formula>ISERROR(S79)</formula>
    </cfRule>
  </conditionalFormatting>
  <conditionalFormatting sqref="S79">
    <cfRule type="expression" dxfId="142" priority="125" stopIfTrue="1">
      <formula>ISERROR(S79)</formula>
    </cfRule>
  </conditionalFormatting>
  <conditionalFormatting sqref="S79">
    <cfRule type="expression" dxfId="141" priority="124" stopIfTrue="1">
      <formula>ISERROR(S79)</formula>
    </cfRule>
  </conditionalFormatting>
  <conditionalFormatting sqref="S74">
    <cfRule type="expression" dxfId="140" priority="122" stopIfTrue="1">
      <formula>ISERROR(S74)</formula>
    </cfRule>
  </conditionalFormatting>
  <conditionalFormatting sqref="A1:T79">
    <cfRule type="expression" dxfId="139" priority="121">
      <formula>IF(A1="none",TRUE,FALSE)</formula>
    </cfRule>
  </conditionalFormatting>
  <conditionalFormatting sqref="S7:S24">
    <cfRule type="expression" dxfId="138" priority="120" stopIfTrue="1">
      <formula>ISERROR(S7)</formula>
    </cfRule>
  </conditionalFormatting>
  <conditionalFormatting sqref="S25">
    <cfRule type="expression" dxfId="137" priority="116" stopIfTrue="1">
      <formula>ISERROR(S25)</formula>
    </cfRule>
  </conditionalFormatting>
  <conditionalFormatting sqref="S7">
    <cfRule type="expression" dxfId="136" priority="119" stopIfTrue="1">
      <formula>ISERROR(S7)</formula>
    </cfRule>
  </conditionalFormatting>
  <conditionalFormatting sqref="S38">
    <cfRule type="expression" dxfId="135" priority="115" stopIfTrue="1">
      <formula>ISERROR(S38)</formula>
    </cfRule>
  </conditionalFormatting>
  <conditionalFormatting sqref="S38">
    <cfRule type="expression" dxfId="134" priority="114" stopIfTrue="1">
      <formula>ISERROR(S38)</formula>
    </cfRule>
  </conditionalFormatting>
  <conditionalFormatting sqref="S25">
    <cfRule type="expression" dxfId="133" priority="117" stopIfTrue="1">
      <formula>ISERROR(S25)</formula>
    </cfRule>
  </conditionalFormatting>
  <conditionalFormatting sqref="S25">
    <cfRule type="expression" dxfId="132" priority="118" stopIfTrue="1">
      <formula>ISERROR(S25)</formula>
    </cfRule>
  </conditionalFormatting>
  <conditionalFormatting sqref="S38">
    <cfRule type="expression" dxfId="131" priority="113" stopIfTrue="1">
      <formula>ISERROR(S38)</formula>
    </cfRule>
  </conditionalFormatting>
  <conditionalFormatting sqref="S49">
    <cfRule type="expression" dxfId="130" priority="112" stopIfTrue="1">
      <formula>ISERROR(S49)</formula>
    </cfRule>
  </conditionalFormatting>
  <conditionalFormatting sqref="S49">
    <cfRule type="expression" dxfId="129" priority="111" stopIfTrue="1">
      <formula>ISERROR(S49)</formula>
    </cfRule>
  </conditionalFormatting>
  <conditionalFormatting sqref="S49">
    <cfRule type="expression" dxfId="128" priority="110" stopIfTrue="1">
      <formula>ISERROR(S49)</formula>
    </cfRule>
  </conditionalFormatting>
  <conditionalFormatting sqref="S62">
    <cfRule type="expression" dxfId="127" priority="109" stopIfTrue="1">
      <formula>ISERROR(S62)</formula>
    </cfRule>
  </conditionalFormatting>
  <conditionalFormatting sqref="S62">
    <cfRule type="expression" dxfId="126" priority="108" stopIfTrue="1">
      <formula>ISERROR(S62)</formula>
    </cfRule>
  </conditionalFormatting>
  <conditionalFormatting sqref="S62">
    <cfRule type="expression" dxfId="125" priority="107" stopIfTrue="1">
      <formula>ISERROR(S62)</formula>
    </cfRule>
  </conditionalFormatting>
  <conditionalFormatting sqref="S70">
    <cfRule type="expression" dxfId="124" priority="106" stopIfTrue="1">
      <formula>ISERROR(S70)</formula>
    </cfRule>
  </conditionalFormatting>
  <conditionalFormatting sqref="S70">
    <cfRule type="expression" dxfId="123" priority="105" stopIfTrue="1">
      <formula>ISERROR(S70)</formula>
    </cfRule>
  </conditionalFormatting>
  <conditionalFormatting sqref="S70">
    <cfRule type="expression" dxfId="122" priority="104" stopIfTrue="1">
      <formula>ISERROR(S70)</formula>
    </cfRule>
  </conditionalFormatting>
  <conditionalFormatting sqref="S26:S37">
    <cfRule type="expression" dxfId="121" priority="103" stopIfTrue="1">
      <formula>ISERROR(S26)</formula>
    </cfRule>
  </conditionalFormatting>
  <conditionalFormatting sqref="S39:S48">
    <cfRule type="expression" dxfId="120" priority="102" stopIfTrue="1">
      <formula>ISERROR(S39)</formula>
    </cfRule>
  </conditionalFormatting>
  <conditionalFormatting sqref="S39:S48">
    <cfRule type="expression" dxfId="119" priority="101" stopIfTrue="1">
      <formula>ISERROR(S39)</formula>
    </cfRule>
  </conditionalFormatting>
  <conditionalFormatting sqref="S50:S61">
    <cfRule type="expression" dxfId="118" priority="100" stopIfTrue="1">
      <formula>ISERROR(S50)</formula>
    </cfRule>
  </conditionalFormatting>
  <conditionalFormatting sqref="S50:S61">
    <cfRule type="expression" dxfId="117" priority="99" stopIfTrue="1">
      <formula>ISERROR(S50)</formula>
    </cfRule>
  </conditionalFormatting>
  <conditionalFormatting sqref="S63:S69">
    <cfRule type="expression" dxfId="116" priority="98" stopIfTrue="1">
      <formula>ISERROR(S63)</formula>
    </cfRule>
  </conditionalFormatting>
  <conditionalFormatting sqref="S70">
    <cfRule type="expression" dxfId="115" priority="95" stopIfTrue="1">
      <formula>ISERROR(S70)</formula>
    </cfRule>
  </conditionalFormatting>
  <conditionalFormatting sqref="S70">
    <cfRule type="expression" dxfId="114" priority="96" stopIfTrue="1">
      <formula>ISERROR(S70)</formula>
    </cfRule>
  </conditionalFormatting>
  <conditionalFormatting sqref="S70">
    <cfRule type="expression" dxfId="113" priority="94" stopIfTrue="1">
      <formula>ISERROR(S70)</formula>
    </cfRule>
  </conditionalFormatting>
  <conditionalFormatting sqref="S70">
    <cfRule type="expression" dxfId="112" priority="93" stopIfTrue="1">
      <formula>ISERROR(S70)</formula>
    </cfRule>
  </conditionalFormatting>
  <conditionalFormatting sqref="S70">
    <cfRule type="expression" dxfId="111" priority="92" stopIfTrue="1">
      <formula>ISERROR(S70)</formula>
    </cfRule>
  </conditionalFormatting>
  <conditionalFormatting sqref="J7:J24">
    <cfRule type="expression" dxfId="110" priority="91" stopIfTrue="1">
      <formula>ISERROR(J7)</formula>
    </cfRule>
  </conditionalFormatting>
  <conditionalFormatting sqref="J38">
    <cfRule type="expression" dxfId="109" priority="88" stopIfTrue="1">
      <formula>ISERROR(J38)</formula>
    </cfRule>
  </conditionalFormatting>
  <conditionalFormatting sqref="J38">
    <cfRule type="expression" dxfId="108" priority="87" stopIfTrue="1">
      <formula>ISERROR(J38)</formula>
    </cfRule>
  </conditionalFormatting>
  <conditionalFormatting sqref="J25">
    <cfRule type="expression" dxfId="107" priority="89" stopIfTrue="1">
      <formula>ISERROR(J25)</formula>
    </cfRule>
  </conditionalFormatting>
  <conditionalFormatting sqref="J25">
    <cfRule type="expression" dxfId="106" priority="90" stopIfTrue="1">
      <formula>ISERROR(J25)</formula>
    </cfRule>
  </conditionalFormatting>
  <conditionalFormatting sqref="J49">
    <cfRule type="expression" dxfId="105" priority="86" stopIfTrue="1">
      <formula>ISERROR(J49)</formula>
    </cfRule>
  </conditionalFormatting>
  <conditionalFormatting sqref="J49">
    <cfRule type="expression" dxfId="104" priority="85" stopIfTrue="1">
      <formula>ISERROR(J49)</formula>
    </cfRule>
  </conditionalFormatting>
  <conditionalFormatting sqref="J62">
    <cfRule type="expression" dxfId="103" priority="84" stopIfTrue="1">
      <formula>ISERROR(J62)</formula>
    </cfRule>
  </conditionalFormatting>
  <conditionalFormatting sqref="J62">
    <cfRule type="expression" dxfId="102" priority="83" stopIfTrue="1">
      <formula>ISERROR(J62)</formula>
    </cfRule>
  </conditionalFormatting>
  <conditionalFormatting sqref="J70">
    <cfRule type="expression" dxfId="101" priority="82" stopIfTrue="1">
      <formula>ISERROR(J70)</formula>
    </cfRule>
  </conditionalFormatting>
  <conditionalFormatting sqref="J70">
    <cfRule type="expression" dxfId="100" priority="81" stopIfTrue="1">
      <formula>ISERROR(J70)</formula>
    </cfRule>
  </conditionalFormatting>
  <conditionalFormatting sqref="M7:M24">
    <cfRule type="expression" dxfId="99" priority="80" stopIfTrue="1">
      <formula>ISERROR(M7)</formula>
    </cfRule>
  </conditionalFormatting>
  <conditionalFormatting sqref="M38">
    <cfRule type="expression" dxfId="98" priority="77" stopIfTrue="1">
      <formula>ISERROR(M38)</formula>
    </cfRule>
  </conditionalFormatting>
  <conditionalFormatting sqref="M38">
    <cfRule type="expression" dxfId="97" priority="76" stopIfTrue="1">
      <formula>ISERROR(M38)</formula>
    </cfRule>
  </conditionalFormatting>
  <conditionalFormatting sqref="M25">
    <cfRule type="expression" dxfId="96" priority="78" stopIfTrue="1">
      <formula>ISERROR(M25)</formula>
    </cfRule>
  </conditionalFormatting>
  <conditionalFormatting sqref="M25">
    <cfRule type="expression" dxfId="95" priority="79" stopIfTrue="1">
      <formula>ISERROR(M25)</formula>
    </cfRule>
  </conditionalFormatting>
  <conditionalFormatting sqref="M49">
    <cfRule type="expression" dxfId="94" priority="75" stopIfTrue="1">
      <formula>ISERROR(M49)</formula>
    </cfRule>
  </conditionalFormatting>
  <conditionalFormatting sqref="M49">
    <cfRule type="expression" dxfId="93" priority="74" stopIfTrue="1">
      <formula>ISERROR(M49)</formula>
    </cfRule>
  </conditionalFormatting>
  <conditionalFormatting sqref="M62">
    <cfRule type="expression" dxfId="92" priority="73" stopIfTrue="1">
      <formula>ISERROR(M62)</formula>
    </cfRule>
  </conditionalFormatting>
  <conditionalFormatting sqref="M62">
    <cfRule type="expression" dxfId="91" priority="72" stopIfTrue="1">
      <formula>ISERROR(M62)</formula>
    </cfRule>
  </conditionalFormatting>
  <conditionalFormatting sqref="M70">
    <cfRule type="expression" dxfId="90" priority="71" stopIfTrue="1">
      <formula>ISERROR(M70)</formula>
    </cfRule>
  </conditionalFormatting>
  <conditionalFormatting sqref="M70">
    <cfRule type="expression" dxfId="89" priority="70" stopIfTrue="1">
      <formula>ISERROR(M70)</formula>
    </cfRule>
  </conditionalFormatting>
  <conditionalFormatting sqref="P7:P24">
    <cfRule type="expression" dxfId="88" priority="69" stopIfTrue="1">
      <formula>ISERROR(P7)</formula>
    </cfRule>
  </conditionalFormatting>
  <conditionalFormatting sqref="P38">
    <cfRule type="expression" dxfId="87" priority="66" stopIfTrue="1">
      <formula>ISERROR(P38)</formula>
    </cfRule>
  </conditionalFormatting>
  <conditionalFormatting sqref="P38">
    <cfRule type="expression" dxfId="86" priority="65" stopIfTrue="1">
      <formula>ISERROR(P38)</formula>
    </cfRule>
  </conditionalFormatting>
  <conditionalFormatting sqref="P25">
    <cfRule type="expression" dxfId="85" priority="67" stopIfTrue="1">
      <formula>ISERROR(P25)</formula>
    </cfRule>
  </conditionalFormatting>
  <conditionalFormatting sqref="P25">
    <cfRule type="expression" dxfId="84" priority="68" stopIfTrue="1">
      <formula>ISERROR(P25)</formula>
    </cfRule>
  </conditionalFormatting>
  <conditionalFormatting sqref="P49">
    <cfRule type="expression" dxfId="83" priority="64" stopIfTrue="1">
      <formula>ISERROR(P49)</formula>
    </cfRule>
  </conditionalFormatting>
  <conditionalFormatting sqref="P49">
    <cfRule type="expression" dxfId="82" priority="63" stopIfTrue="1">
      <formula>ISERROR(P49)</formula>
    </cfRule>
  </conditionalFormatting>
  <conditionalFormatting sqref="P62">
    <cfRule type="expression" dxfId="81" priority="62" stopIfTrue="1">
      <formula>ISERROR(P62)</formula>
    </cfRule>
  </conditionalFormatting>
  <conditionalFormatting sqref="P62">
    <cfRule type="expression" dxfId="80" priority="61" stopIfTrue="1">
      <formula>ISERROR(P62)</formula>
    </cfRule>
  </conditionalFormatting>
  <conditionalFormatting sqref="P70">
    <cfRule type="expression" dxfId="79" priority="60" stopIfTrue="1">
      <formula>ISERROR(P70)</formula>
    </cfRule>
  </conditionalFormatting>
  <conditionalFormatting sqref="P70">
    <cfRule type="expression" dxfId="78" priority="59" stopIfTrue="1">
      <formula>ISERROR(P70)</formula>
    </cfRule>
  </conditionalFormatting>
  <conditionalFormatting sqref="J75">
    <cfRule type="expression" dxfId="77" priority="58" stopIfTrue="1">
      <formula>ISERROR(J75)</formula>
    </cfRule>
  </conditionalFormatting>
  <conditionalFormatting sqref="J79">
    <cfRule type="expression" dxfId="76" priority="57" stopIfTrue="1">
      <formula>ISERROR(J79)</formula>
    </cfRule>
  </conditionalFormatting>
  <conditionalFormatting sqref="J79">
    <cfRule type="expression" dxfId="75" priority="56" stopIfTrue="1">
      <formula>ISERROR(J79)</formula>
    </cfRule>
  </conditionalFormatting>
  <conditionalFormatting sqref="M75">
    <cfRule type="expression" dxfId="74" priority="55" stopIfTrue="1">
      <formula>ISERROR(M75)</formula>
    </cfRule>
  </conditionalFormatting>
  <conditionalFormatting sqref="M79">
    <cfRule type="expression" dxfId="73" priority="54" stopIfTrue="1">
      <formula>ISERROR(M79)</formula>
    </cfRule>
  </conditionalFormatting>
  <conditionalFormatting sqref="M79">
    <cfRule type="expression" dxfId="72" priority="53" stopIfTrue="1">
      <formula>ISERROR(M79)</formula>
    </cfRule>
  </conditionalFormatting>
  <conditionalFormatting sqref="P75">
    <cfRule type="expression" dxfId="71" priority="52" stopIfTrue="1">
      <formula>ISERROR(P75)</formula>
    </cfRule>
  </conditionalFormatting>
  <conditionalFormatting sqref="P79">
    <cfRule type="expression" dxfId="70" priority="51" stopIfTrue="1">
      <formula>ISERROR(P79)</formula>
    </cfRule>
  </conditionalFormatting>
  <conditionalFormatting sqref="P79">
    <cfRule type="expression" dxfId="69" priority="50" stopIfTrue="1">
      <formula>ISERROR(P79)</formula>
    </cfRule>
  </conditionalFormatting>
  <conditionalFormatting sqref="R75">
    <cfRule type="expression" dxfId="68" priority="31" stopIfTrue="1">
      <formula>ISERROR(R75)</formula>
    </cfRule>
  </conditionalFormatting>
  <conditionalFormatting sqref="O75">
    <cfRule type="expression" dxfId="67" priority="34" stopIfTrue="1">
      <formula>ISERROR(O75)</formula>
    </cfRule>
  </conditionalFormatting>
  <conditionalFormatting sqref="P75">
    <cfRule type="expression" dxfId="66" priority="28" stopIfTrue="1">
      <formula>ISERROR(P75)</formula>
    </cfRule>
  </conditionalFormatting>
  <conditionalFormatting sqref="B75:G75 Q75:R75">
    <cfRule type="expression" dxfId="65" priority="49" stopIfTrue="1">
      <formula>ISERROR(B75)</formula>
    </cfRule>
  </conditionalFormatting>
  <conditionalFormatting sqref="Q75:R75 D75:G75">
    <cfRule type="expression" dxfId="64" priority="48" stopIfTrue="1">
      <formula>ISERROR(D75)</formula>
    </cfRule>
  </conditionalFormatting>
  <conditionalFormatting sqref="C75">
    <cfRule type="expression" dxfId="63" priority="47" stopIfTrue="1">
      <formula>ISERROR(C75)</formula>
    </cfRule>
  </conditionalFormatting>
  <conditionalFormatting sqref="E75">
    <cfRule type="expression" dxfId="62" priority="46" stopIfTrue="1">
      <formula>ISERROR(E75)</formula>
    </cfRule>
  </conditionalFormatting>
  <conditionalFormatting sqref="F75">
    <cfRule type="expression" dxfId="61" priority="45" stopIfTrue="1">
      <formula>ISERROR(F75)</formula>
    </cfRule>
  </conditionalFormatting>
  <conditionalFormatting sqref="H75">
    <cfRule type="expression" dxfId="60" priority="44" stopIfTrue="1">
      <formula>ISERROR(H75)</formula>
    </cfRule>
  </conditionalFormatting>
  <conditionalFormatting sqref="H75">
    <cfRule type="expression" dxfId="59" priority="43" stopIfTrue="1">
      <formula>ISERROR(H75)</formula>
    </cfRule>
  </conditionalFormatting>
  <conditionalFormatting sqref="I75">
    <cfRule type="expression" dxfId="58" priority="42" stopIfTrue="1">
      <formula>ISERROR(I75)</formula>
    </cfRule>
  </conditionalFormatting>
  <conditionalFormatting sqref="I75">
    <cfRule type="expression" dxfId="57" priority="41" stopIfTrue="1">
      <formula>ISERROR(I75)</formula>
    </cfRule>
  </conditionalFormatting>
  <conditionalFormatting sqref="K75">
    <cfRule type="expression" dxfId="56" priority="40" stopIfTrue="1">
      <formula>ISERROR(K75)</formula>
    </cfRule>
  </conditionalFormatting>
  <conditionalFormatting sqref="K75">
    <cfRule type="expression" dxfId="55" priority="39" stopIfTrue="1">
      <formula>ISERROR(K75)</formula>
    </cfRule>
  </conditionalFormatting>
  <conditionalFormatting sqref="L75">
    <cfRule type="expression" dxfId="54" priority="38" stopIfTrue="1">
      <formula>ISERROR(L75)</formula>
    </cfRule>
  </conditionalFormatting>
  <conditionalFormatting sqref="L75">
    <cfRule type="expression" dxfId="53" priority="37" stopIfTrue="1">
      <formula>ISERROR(L75)</formula>
    </cfRule>
  </conditionalFormatting>
  <conditionalFormatting sqref="N75">
    <cfRule type="expression" dxfId="52" priority="36" stopIfTrue="1">
      <formula>ISERROR(N75)</formula>
    </cfRule>
  </conditionalFormatting>
  <conditionalFormatting sqref="N75">
    <cfRule type="expression" dxfId="51" priority="35" stopIfTrue="1">
      <formula>ISERROR(N75)</formula>
    </cfRule>
  </conditionalFormatting>
  <conditionalFormatting sqref="O75">
    <cfRule type="expression" dxfId="50" priority="33" stopIfTrue="1">
      <formula>ISERROR(O75)</formula>
    </cfRule>
  </conditionalFormatting>
  <conditionalFormatting sqref="Q75">
    <cfRule type="expression" dxfId="49" priority="32" stopIfTrue="1">
      <formula>ISERROR(Q75)</formula>
    </cfRule>
  </conditionalFormatting>
  <conditionalFormatting sqref="J75">
    <cfRule type="expression" dxfId="48" priority="30" stopIfTrue="1">
      <formula>ISERROR(J75)</formula>
    </cfRule>
  </conditionalFormatting>
  <conditionalFormatting sqref="M75">
    <cfRule type="expression" dxfId="47" priority="29" stopIfTrue="1">
      <formula>ISERROR(M75)</formula>
    </cfRule>
  </conditionalFormatting>
  <conditionalFormatting sqref="S75">
    <cfRule type="expression" dxfId="46" priority="25" stopIfTrue="1">
      <formula>ISERROR(S75)</formula>
    </cfRule>
  </conditionalFormatting>
  <conditionalFormatting sqref="S75">
    <cfRule type="expression" dxfId="45" priority="27" stopIfTrue="1">
      <formula>ISERROR(S75)</formula>
    </cfRule>
  </conditionalFormatting>
  <conditionalFormatting sqref="S75">
    <cfRule type="expression" dxfId="44" priority="26" stopIfTrue="1">
      <formula>ISERROR(S75)</formula>
    </cfRule>
  </conditionalFormatting>
  <conditionalFormatting sqref="J75">
    <cfRule type="expression" dxfId="43" priority="24" stopIfTrue="1">
      <formula>ISERROR(J75)</formula>
    </cfRule>
  </conditionalFormatting>
  <conditionalFormatting sqref="J75">
    <cfRule type="expression" dxfId="42" priority="23" stopIfTrue="1">
      <formula>ISERROR(J75)</formula>
    </cfRule>
  </conditionalFormatting>
  <conditionalFormatting sqref="M75">
    <cfRule type="expression" dxfId="41" priority="22" stopIfTrue="1">
      <formula>ISERROR(M75)</formula>
    </cfRule>
  </conditionalFormatting>
  <conditionalFormatting sqref="M75">
    <cfRule type="expression" dxfId="40" priority="21" stopIfTrue="1">
      <formula>ISERROR(M75)</formula>
    </cfRule>
  </conditionalFormatting>
  <conditionalFormatting sqref="P75">
    <cfRule type="expression" dxfId="39" priority="20" stopIfTrue="1">
      <formula>ISERROR(P75)</formula>
    </cfRule>
  </conditionalFormatting>
  <conditionalFormatting sqref="P75">
    <cfRule type="expression" dxfId="38" priority="19" stopIfTrue="1">
      <formula>ISERROR(P75)</formula>
    </cfRule>
  </conditionalFormatting>
  <conditionalFormatting sqref="H7">
    <cfRule type="expression" dxfId="37" priority="18" stopIfTrue="1">
      <formula>ISERROR(H7)</formula>
    </cfRule>
  </conditionalFormatting>
  <conditionalFormatting sqref="H7">
    <cfRule type="expression" dxfId="36" priority="17" stopIfTrue="1">
      <formula>ISERROR(H7)</formula>
    </cfRule>
  </conditionalFormatting>
  <conditionalFormatting sqref="H7">
    <cfRule type="expression" dxfId="35" priority="16" stopIfTrue="1">
      <formula>ISERROR(H7)</formula>
    </cfRule>
  </conditionalFormatting>
  <conditionalFormatting sqref="I7">
    <cfRule type="expression" dxfId="34" priority="15" stopIfTrue="1">
      <formula>ISERROR(I7)</formula>
    </cfRule>
  </conditionalFormatting>
  <conditionalFormatting sqref="I7">
    <cfRule type="expression" dxfId="33" priority="14" stopIfTrue="1">
      <formula>ISERROR(I7)</formula>
    </cfRule>
  </conditionalFormatting>
  <conditionalFormatting sqref="I7">
    <cfRule type="expression" dxfId="32" priority="13" stopIfTrue="1">
      <formula>ISERROR(I7)</formula>
    </cfRule>
  </conditionalFormatting>
  <conditionalFormatting sqref="K7">
    <cfRule type="expression" dxfId="31" priority="12" stopIfTrue="1">
      <formula>ISERROR(K7)</formula>
    </cfRule>
  </conditionalFormatting>
  <conditionalFormatting sqref="K7">
    <cfRule type="expression" dxfId="30" priority="11" stopIfTrue="1">
      <formula>ISERROR(K7)</formula>
    </cfRule>
  </conditionalFormatting>
  <conditionalFormatting sqref="K7">
    <cfRule type="expression" dxfId="29" priority="10" stopIfTrue="1">
      <formula>ISERROR(K7)</formula>
    </cfRule>
  </conditionalFormatting>
  <conditionalFormatting sqref="L7">
    <cfRule type="expression" dxfId="28" priority="9" stopIfTrue="1">
      <formula>ISERROR(L7)</formula>
    </cfRule>
  </conditionalFormatting>
  <conditionalFormatting sqref="L7">
    <cfRule type="expression" dxfId="27" priority="8" stopIfTrue="1">
      <formula>ISERROR(L7)</formula>
    </cfRule>
  </conditionalFormatting>
  <conditionalFormatting sqref="L7">
    <cfRule type="expression" dxfId="26" priority="7" stopIfTrue="1">
      <formula>ISERROR(L7)</formula>
    </cfRule>
  </conditionalFormatting>
  <conditionalFormatting sqref="N7">
    <cfRule type="expression" dxfId="25" priority="6" stopIfTrue="1">
      <formula>ISERROR(N7)</formula>
    </cfRule>
  </conditionalFormatting>
  <conditionalFormatting sqref="N7">
    <cfRule type="expression" dxfId="24" priority="5" stopIfTrue="1">
      <formula>ISERROR(N7)</formula>
    </cfRule>
  </conditionalFormatting>
  <conditionalFormatting sqref="N7">
    <cfRule type="expression" dxfId="23" priority="4" stopIfTrue="1">
      <formula>ISERROR(N7)</formula>
    </cfRule>
  </conditionalFormatting>
  <conditionalFormatting sqref="O7">
    <cfRule type="expression" dxfId="22" priority="3" stopIfTrue="1">
      <formula>ISERROR(O7)</formula>
    </cfRule>
  </conditionalFormatting>
  <conditionalFormatting sqref="O7">
    <cfRule type="expression" dxfId="21" priority="2" stopIfTrue="1">
      <formula>ISERROR(O7)</formula>
    </cfRule>
  </conditionalFormatting>
  <conditionalFormatting sqref="O7">
    <cfRule type="expression" dxfId="20"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3" customFormat="1" ht="15" customHeight="1" x14ac:dyDescent="0.2">
      <c r="A1" s="25"/>
      <c r="B1" s="26"/>
      <c r="C1" s="79">
        <v>2</v>
      </c>
      <c r="D1" s="79">
        <v>3</v>
      </c>
      <c r="E1" s="80">
        <v>4</v>
      </c>
      <c r="F1" s="80">
        <v>5</v>
      </c>
      <c r="G1" s="80"/>
      <c r="H1" s="80">
        <v>6</v>
      </c>
      <c r="I1" s="80">
        <v>7</v>
      </c>
      <c r="J1" s="80"/>
      <c r="K1" s="80">
        <v>8</v>
      </c>
      <c r="L1" s="80">
        <v>9</v>
      </c>
      <c r="M1" s="80"/>
      <c r="N1" s="80">
        <v>10</v>
      </c>
      <c r="O1" s="80">
        <v>11</v>
      </c>
      <c r="P1" s="80"/>
      <c r="Q1" s="80">
        <v>12</v>
      </c>
      <c r="R1" s="80">
        <v>13</v>
      </c>
      <c r="S1" s="80">
        <v>2</v>
      </c>
      <c r="T1" s="28"/>
    </row>
    <row r="2" spans="1:20" s="123" customFormat="1" ht="26.25" x14ac:dyDescent="0.4">
      <c r="A2" s="25"/>
      <c r="B2" s="26"/>
      <c r="C2" s="451" t="str">
        <f>UPPER("INVENTORY BY STATE "&amp;Transformation!B4)</f>
        <v>INVENTORY BY STATE AS OF: AUGUST 22, 2015</v>
      </c>
      <c r="D2" s="452"/>
      <c r="E2" s="452"/>
      <c r="F2" s="452"/>
      <c r="G2" s="452"/>
      <c r="H2" s="452"/>
      <c r="I2" s="452"/>
      <c r="J2" s="452"/>
      <c r="K2" s="452"/>
      <c r="L2" s="452"/>
      <c r="M2" s="452"/>
      <c r="N2" s="452"/>
      <c r="O2" s="452"/>
      <c r="P2" s="452"/>
      <c r="Q2" s="452"/>
      <c r="R2" s="452"/>
      <c r="S2" s="453"/>
      <c r="T2" s="28"/>
    </row>
    <row r="3" spans="1:20" s="123" customFormat="1" x14ac:dyDescent="0.2">
      <c r="A3" s="25"/>
      <c r="B3" s="26"/>
      <c r="C3" s="459" t="s">
        <v>233</v>
      </c>
      <c r="D3" s="459"/>
      <c r="E3" s="456" t="s">
        <v>213</v>
      </c>
      <c r="F3" s="457"/>
      <c r="G3" s="458"/>
      <c r="H3" s="456" t="s">
        <v>7</v>
      </c>
      <c r="I3" s="457"/>
      <c r="J3" s="458"/>
      <c r="K3" s="456" t="s">
        <v>33</v>
      </c>
      <c r="L3" s="457"/>
      <c r="M3" s="458"/>
      <c r="N3" s="456" t="s">
        <v>8</v>
      </c>
      <c r="O3" s="457"/>
      <c r="P3" s="458"/>
      <c r="Q3" s="81" t="s">
        <v>9</v>
      </c>
      <c r="R3" s="82" t="s">
        <v>10</v>
      </c>
      <c r="S3" s="82" t="s">
        <v>11</v>
      </c>
      <c r="T3" s="28"/>
    </row>
    <row r="4" spans="1:20" s="123" customFormat="1" ht="38.25" x14ac:dyDescent="0.2">
      <c r="A4" s="83"/>
      <c r="B4" s="54"/>
      <c r="C4" s="84" t="s">
        <v>12</v>
      </c>
      <c r="D4" s="85" t="s">
        <v>140</v>
      </c>
      <c r="E4" s="86" t="s">
        <v>12</v>
      </c>
      <c r="F4" s="87" t="s">
        <v>3</v>
      </c>
      <c r="G4" s="88" t="s">
        <v>4</v>
      </c>
      <c r="H4" s="86" t="s">
        <v>12</v>
      </c>
      <c r="I4" s="87" t="s">
        <v>3</v>
      </c>
      <c r="J4" s="88" t="s">
        <v>4</v>
      </c>
      <c r="K4" s="86" t="s">
        <v>12</v>
      </c>
      <c r="L4" s="87" t="s">
        <v>3</v>
      </c>
      <c r="M4" s="88" t="s">
        <v>4</v>
      </c>
      <c r="N4" s="86" t="s">
        <v>12</v>
      </c>
      <c r="O4" s="87" t="s">
        <v>3</v>
      </c>
      <c r="P4" s="88" t="s">
        <v>4</v>
      </c>
      <c r="Q4" s="89" t="s">
        <v>12</v>
      </c>
      <c r="R4" s="89" t="s">
        <v>12</v>
      </c>
      <c r="S4" s="89" t="s">
        <v>498</v>
      </c>
      <c r="T4" s="28"/>
    </row>
    <row r="5" spans="1:20" s="123" customFormat="1" ht="26.25" x14ac:dyDescent="0.4">
      <c r="A5" s="25"/>
      <c r="B5" s="124"/>
      <c r="C5" s="451" t="s">
        <v>496</v>
      </c>
      <c r="D5" s="452"/>
      <c r="E5" s="452"/>
      <c r="F5" s="452"/>
      <c r="G5" s="452"/>
      <c r="H5" s="452"/>
      <c r="I5" s="452"/>
      <c r="J5" s="452"/>
      <c r="K5" s="452"/>
      <c r="L5" s="452"/>
      <c r="M5" s="452"/>
      <c r="N5" s="452"/>
      <c r="O5" s="452"/>
      <c r="P5" s="452"/>
      <c r="Q5" s="452"/>
      <c r="R5" s="452"/>
      <c r="S5" s="453"/>
      <c r="T5" s="28"/>
    </row>
    <row r="6" spans="1:20" s="123" customFormat="1" x14ac:dyDescent="0.2">
      <c r="A6" s="92"/>
      <c r="B6" s="125" t="s">
        <v>471</v>
      </c>
      <c r="C6" s="94">
        <f>IFERROR(VLOOKUP($B6,MMWR_TRAD_AGG_ST_DISTRICT_COMP[],C$1,0),"ERROR")</f>
        <v>352396</v>
      </c>
      <c r="D6" s="95">
        <f>IFERROR(VLOOKUP($B6,MMWR_TRAD_AGG_ST_DISTRICT_COMP[],D$1,0),"ERROR")</f>
        <v>373.97453716839999</v>
      </c>
      <c r="E6" s="96">
        <f>IFERROR(VLOOKUP($B6,MMWR_TRAD_AGG_ST_DISTRICT_COMP[],E$1,0),"ERROR")</f>
        <v>337586</v>
      </c>
      <c r="F6" s="97">
        <f>IFERROR(VLOOKUP($B6,MMWR_TRAD_AGG_ST_DISTRICT_COMP[],F$1,0),"ERROR")</f>
        <v>96930</v>
      </c>
      <c r="G6" s="98">
        <f t="shared" ref="G6:G37" si="0">IFERROR(F6/E6,"0%")</f>
        <v>0.28712683582850002</v>
      </c>
      <c r="H6" s="96">
        <f>IFERROR(VLOOKUP($B6,MMWR_TRAD_AGG_ST_DISTRICT_COMP[],H$1,0),"ERROR")</f>
        <v>499476</v>
      </c>
      <c r="I6" s="97">
        <f>IFERROR(VLOOKUP($B6,MMWR_TRAD_AGG_ST_DISTRICT_COMP[],I$1,0),"ERROR")</f>
        <v>305392</v>
      </c>
      <c r="J6" s="99">
        <f t="shared" ref="J6:J37" si="1">IFERROR(I6/H6,"0%")</f>
        <v>0.61142477316227406</v>
      </c>
      <c r="K6" s="96">
        <f>IFERROR(VLOOKUP($B6,MMWR_TRAD_AGG_ST_DISTRICT_COMP[],K$1,0),"ERROR")</f>
        <v>82554</v>
      </c>
      <c r="L6" s="97">
        <f>IFERROR(VLOOKUP($B6,MMWR_TRAD_AGG_ST_DISTRICT_COMP[],L$1,0),"ERROR")</f>
        <v>64266</v>
      </c>
      <c r="M6" s="99">
        <f t="shared" ref="M6:M37" si="2">IFERROR(L6/K6,"0%")</f>
        <v>0.77847227269423647</v>
      </c>
      <c r="N6" s="96">
        <f>IFERROR(VLOOKUP($B6,MMWR_TRAD_AGG_ST_DISTRICT_COMP[],N$1,0),"ERROR")</f>
        <v>162823</v>
      </c>
      <c r="O6" s="97">
        <f>IFERROR(VLOOKUP($B6,MMWR_TRAD_AGG_ST_DISTRICT_COMP[],O$1,0),"ERROR")</f>
        <v>102934</v>
      </c>
      <c r="P6" s="99">
        <f t="shared" ref="P6:P37" si="3">IFERROR(O6/N6,"0%")</f>
        <v>0.63218341389115784</v>
      </c>
      <c r="Q6" s="100">
        <f>IFERROR(VLOOKUP($B6,MMWR_TRAD_AGG_ST_DISTRICT_COMP[],Q$1,0),"ERROR")</f>
        <v>9188</v>
      </c>
      <c r="R6" s="100">
        <f>IFERROR(VLOOKUP($B6,MMWR_TRAD_AGG_ST_DISTRICT_COMP[],R$1,0),"ERROR")</f>
        <v>4424</v>
      </c>
      <c r="S6" s="100">
        <f>S7+S23+S36+S46+S56+S64</f>
        <v>302627</v>
      </c>
      <c r="T6" s="28"/>
    </row>
    <row r="7" spans="1:20" s="123" customFormat="1" x14ac:dyDescent="0.2">
      <c r="A7" s="92"/>
      <c r="B7" s="126" t="s">
        <v>379</v>
      </c>
      <c r="C7" s="102">
        <f>IF(SUM(C8:C22)&lt;&gt;VLOOKUP($B7,MMWR_TRAD_AGG_ST_DISTRICT_COMP[],C$1,0),"ERROR",
VLOOKUP($B7,MMWR_TRAD_AGG_ST_DISTRICT_COMP[],C$1,0))</f>
        <v>73297</v>
      </c>
      <c r="D7" s="103">
        <f>IFERROR(VLOOKUP($B7,MMWR_TRAD_AGG_ST_DISTRICT_COMP[],D$1,0),"ERROR")</f>
        <v>407.84682865600001</v>
      </c>
      <c r="E7" s="102">
        <f>IF(SUM(E8:E22)&lt;&gt;VLOOKUP($B7,MMWR_TRAD_AGG_ST_DISTRICT_COMP[],E$1,0),"ERROR",
VLOOKUP($B7,MMWR_TRAD_AGG_ST_DISTRICT_COMP[],E$1,0))</f>
        <v>74150</v>
      </c>
      <c r="F7" s="102">
        <f>IFERROR(VLOOKUP($B7,MMWR_TRAD_AGG_ST_DISTRICT_COMP[],F$1,0),"ERROR")</f>
        <v>21773</v>
      </c>
      <c r="G7" s="104">
        <f t="shared" si="0"/>
        <v>0.29363452461227241</v>
      </c>
      <c r="H7" s="102">
        <f>IF(SUM(H8:H22)&lt;&gt;VLOOKUP($B7,MMWR_TRAD_AGG_ST_DISTRICT_COMP[],H$1,0),"ERROR",
VLOOKUP($B7,MMWR_TRAD_AGG_ST_DISTRICT_COMP[],H$1,0))</f>
        <v>102791</v>
      </c>
      <c r="I7" s="102">
        <f>IF(SUM(I8:I22)&lt;&gt;VLOOKUP($B7,MMWR_TRAD_AGG_ST_DISTRICT_COMP[],I$1,0),"ERROR",
VLOOKUP($B7,MMWR_TRAD_AGG_ST_DISTRICT_COMP[],I$1,0))</f>
        <v>63623</v>
      </c>
      <c r="J7" s="105">
        <f t="shared" si="1"/>
        <v>0.61895496687453178</v>
      </c>
      <c r="K7" s="102">
        <f>IF(SUM(K8:K22)&lt;&gt;VLOOKUP($B7,MMWR_TRAD_AGG_ST_DISTRICT_COMP[],K$1,0),"ERROR",
VLOOKUP($B7,MMWR_TRAD_AGG_ST_DISTRICT_COMP[],K$1,0))</f>
        <v>19192</v>
      </c>
      <c r="L7" s="102">
        <f>IF(SUM(L8:L22)&lt;&gt;VLOOKUP($B7,MMWR_TRAD_AGG_ST_DISTRICT_COMP[],L$1,0),"ERROR",
VLOOKUP($B7,MMWR_TRAD_AGG_ST_DISTRICT_COMP[],L$1,0))</f>
        <v>14561</v>
      </c>
      <c r="M7" s="105">
        <f t="shared" si="2"/>
        <v>0.75870154230929554</v>
      </c>
      <c r="N7" s="102">
        <f>IF(SUM(N8:N22)&lt;&gt;VLOOKUP($B7,MMWR_TRAD_AGG_ST_DISTRICT_COMP[],N$1,0),"ERROR",
VLOOKUP($B7,MMWR_TRAD_AGG_ST_DISTRICT_COMP[],N$1,0))</f>
        <v>34585</v>
      </c>
      <c r="O7" s="102">
        <f>IF(SUM(O8:O22)&lt;&gt;VLOOKUP($B7,MMWR_TRAD_AGG_ST_DISTRICT_COMP[],O$1,0),"ERROR",
VLOOKUP($B7,MMWR_TRAD_AGG_ST_DISTRICT_COMP[],O$1,0))</f>
        <v>22014</v>
      </c>
      <c r="P7" s="105">
        <f t="shared" si="3"/>
        <v>0.63651872198930171</v>
      </c>
      <c r="Q7" s="102">
        <f>IF(SUM(Q8:Q22)&lt;&gt;VLOOKUP($B7,MMWR_TRAD_AGG_ST_DISTRICT_COMP[],Q$1,0),"ERROR",
VLOOKUP($B7,MMWR_TRAD_AGG_ST_DISTRICT_COMP[],Q$1,0))</f>
        <v>5772</v>
      </c>
      <c r="R7" s="106">
        <f>IFERROR(VLOOKUP($B7,MMWR_TRAD_AGG_ST_DISTRICT_COMP[],R$1,0),"ERROR")</f>
        <v>165</v>
      </c>
      <c r="S7" s="106">
        <f>SUM(S8:S22)</f>
        <v>55131</v>
      </c>
      <c r="T7" s="28"/>
    </row>
    <row r="8" spans="1:20" s="123" customFormat="1" x14ac:dyDescent="0.2">
      <c r="A8" s="107"/>
      <c r="B8" s="127" t="s">
        <v>383</v>
      </c>
      <c r="C8" s="109">
        <f>IFERROR(VLOOKUP($B8,MMWR_TRAD_AGG_STATE_COMP[],C$1,0),"ERROR")</f>
        <v>2048</v>
      </c>
      <c r="D8" s="110">
        <f>IFERROR(VLOOKUP($B8,MMWR_TRAD_AGG_STATE_COMP[],D$1,0),"ERROR")</f>
        <v>253.15087890629999</v>
      </c>
      <c r="E8" s="111">
        <f>IFERROR(VLOOKUP($B8,MMWR_TRAD_AGG_STATE_COMP[],E$1,0),"ERROR")</f>
        <v>2017</v>
      </c>
      <c r="F8" s="112">
        <f>IFERROR(VLOOKUP($B8,MMWR_TRAD_AGG_STATE_COMP[],F$1,0),"ERROR")</f>
        <v>514</v>
      </c>
      <c r="G8" s="113">
        <f t="shared" si="0"/>
        <v>0.25483391175012393</v>
      </c>
      <c r="H8" s="111">
        <f>IFERROR(VLOOKUP($B8,MMWR_TRAD_AGG_STATE_COMP[],H$1,0),"ERROR")</f>
        <v>3669</v>
      </c>
      <c r="I8" s="112">
        <f>IFERROR(VLOOKUP($B8,MMWR_TRAD_AGG_STATE_COMP[],I$1,0),"ERROR")</f>
        <v>1835</v>
      </c>
      <c r="J8" s="114">
        <f t="shared" si="1"/>
        <v>0.50013627691469065</v>
      </c>
      <c r="K8" s="111">
        <f>IFERROR(VLOOKUP($B8,MMWR_TRAD_AGG_STATE_COMP[],K$1,0),"ERROR")</f>
        <v>399</v>
      </c>
      <c r="L8" s="112">
        <f>IFERROR(VLOOKUP($B8,MMWR_TRAD_AGG_STATE_COMP[],L$1,0),"ERROR")</f>
        <v>300</v>
      </c>
      <c r="M8" s="114">
        <f t="shared" si="2"/>
        <v>0.75187969924812026</v>
      </c>
      <c r="N8" s="111">
        <f>IFERROR(VLOOKUP($B8,MMWR_TRAD_AGG_STATE_COMP[],N$1,0),"ERROR")</f>
        <v>819</v>
      </c>
      <c r="O8" s="112">
        <f>IFERROR(VLOOKUP($B8,MMWR_TRAD_AGG_STATE_COMP[],O$1,0),"ERROR")</f>
        <v>497</v>
      </c>
      <c r="P8" s="114">
        <f t="shared" si="3"/>
        <v>0.60683760683760679</v>
      </c>
      <c r="Q8" s="115">
        <f>IFERROR(VLOOKUP($B8,MMWR_TRAD_AGG_STATE_COMP[],Q$1,0),"ERROR")</f>
        <v>186</v>
      </c>
      <c r="R8" s="115">
        <f>IFERROR(VLOOKUP($B8,MMWR_TRAD_AGG_STATE_COMP[],R$1,0),"ERROR")</f>
        <v>3</v>
      </c>
      <c r="S8" s="115">
        <f>IFERROR(VLOOKUP($B8,MMWR_APP_STATE_COMP[],S$1,0),"ERROR")</f>
        <v>958</v>
      </c>
      <c r="T8" s="28"/>
    </row>
    <row r="9" spans="1:20" s="123" customFormat="1" x14ac:dyDescent="0.2">
      <c r="A9" s="107"/>
      <c r="B9" s="127" t="s">
        <v>433</v>
      </c>
      <c r="C9" s="109">
        <f>IFERROR(VLOOKUP($B9,MMWR_TRAD_AGG_STATE_COMP[],C$1,0),"ERROR")</f>
        <v>1050</v>
      </c>
      <c r="D9" s="110">
        <f>IFERROR(VLOOKUP($B9,MMWR_TRAD_AGG_STATE_COMP[],D$1,0),"ERROR")</f>
        <v>347.04</v>
      </c>
      <c r="E9" s="111">
        <f>IFERROR(VLOOKUP($B9,MMWR_TRAD_AGG_STATE_COMP[],E$1,0),"ERROR")</f>
        <v>1051</v>
      </c>
      <c r="F9" s="112">
        <f>IFERROR(VLOOKUP($B9,MMWR_TRAD_AGG_STATE_COMP[],F$1,0),"ERROR")</f>
        <v>363</v>
      </c>
      <c r="G9" s="113">
        <f t="shared" si="0"/>
        <v>0.34538534728829684</v>
      </c>
      <c r="H9" s="111">
        <f>IFERROR(VLOOKUP($B9,MMWR_TRAD_AGG_STATE_COMP[],H$1,0),"ERROR")</f>
        <v>1271</v>
      </c>
      <c r="I9" s="112">
        <f>IFERROR(VLOOKUP($B9,MMWR_TRAD_AGG_STATE_COMP[],I$1,0),"ERROR")</f>
        <v>702</v>
      </c>
      <c r="J9" s="114">
        <f t="shared" si="1"/>
        <v>0.5523210070810386</v>
      </c>
      <c r="K9" s="111">
        <f>IFERROR(VLOOKUP($B9,MMWR_TRAD_AGG_STATE_COMP[],K$1,0),"ERROR")</f>
        <v>66</v>
      </c>
      <c r="L9" s="112">
        <f>IFERROR(VLOOKUP($B9,MMWR_TRAD_AGG_STATE_COMP[],L$1,0),"ERROR")</f>
        <v>51</v>
      </c>
      <c r="M9" s="114">
        <f t="shared" si="2"/>
        <v>0.77272727272727271</v>
      </c>
      <c r="N9" s="111">
        <f>IFERROR(VLOOKUP($B9,MMWR_TRAD_AGG_STATE_COMP[],N$1,0),"ERROR")</f>
        <v>462</v>
      </c>
      <c r="O9" s="112">
        <f>IFERROR(VLOOKUP($B9,MMWR_TRAD_AGG_STATE_COMP[],O$1,0),"ERROR")</f>
        <v>192</v>
      </c>
      <c r="P9" s="114">
        <f t="shared" si="3"/>
        <v>0.41558441558441561</v>
      </c>
      <c r="Q9" s="115">
        <f>IFERROR(VLOOKUP($B9,MMWR_TRAD_AGG_STATE_COMP[],Q$1,0),"ERROR")</f>
        <v>41</v>
      </c>
      <c r="R9" s="115">
        <f>IFERROR(VLOOKUP($B9,MMWR_TRAD_AGG_STATE_COMP[],R$1,0),"ERROR")</f>
        <v>1</v>
      </c>
      <c r="S9" s="115">
        <f>IFERROR(VLOOKUP($B9,MMWR_APP_STATE_COMP[],S$1,0),"ERROR")</f>
        <v>499</v>
      </c>
      <c r="T9" s="28"/>
    </row>
    <row r="10" spans="1:20" s="123" customFormat="1" x14ac:dyDescent="0.2">
      <c r="A10" s="107"/>
      <c r="B10" s="127" t="s">
        <v>424</v>
      </c>
      <c r="C10" s="109">
        <f>IFERROR(VLOOKUP($B10,MMWR_TRAD_AGG_STATE_COMP[],C$1,0),"ERROR")</f>
        <v>486</v>
      </c>
      <c r="D10" s="110">
        <f>IFERROR(VLOOKUP($B10,MMWR_TRAD_AGG_STATE_COMP[],D$1,0),"ERROR")</f>
        <v>487.9526748971</v>
      </c>
      <c r="E10" s="111">
        <f>IFERROR(VLOOKUP($B10,MMWR_TRAD_AGG_STATE_COMP[],E$1,0),"ERROR")</f>
        <v>524</v>
      </c>
      <c r="F10" s="112">
        <f>IFERROR(VLOOKUP($B10,MMWR_TRAD_AGG_STATE_COMP[],F$1,0),"ERROR")</f>
        <v>185</v>
      </c>
      <c r="G10" s="113">
        <f t="shared" si="0"/>
        <v>0.35305343511450382</v>
      </c>
      <c r="H10" s="111">
        <f>IFERROR(VLOOKUP($B10,MMWR_TRAD_AGG_STATE_COMP[],H$1,0),"ERROR")</f>
        <v>677</v>
      </c>
      <c r="I10" s="112">
        <f>IFERROR(VLOOKUP($B10,MMWR_TRAD_AGG_STATE_COMP[],I$1,0),"ERROR")</f>
        <v>453</v>
      </c>
      <c r="J10" s="114">
        <f t="shared" si="1"/>
        <v>0.66912850812407676</v>
      </c>
      <c r="K10" s="111">
        <f>IFERROR(VLOOKUP($B10,MMWR_TRAD_AGG_STATE_COMP[],K$1,0),"ERROR")</f>
        <v>108</v>
      </c>
      <c r="L10" s="112">
        <f>IFERROR(VLOOKUP($B10,MMWR_TRAD_AGG_STATE_COMP[],L$1,0),"ERROR")</f>
        <v>89</v>
      </c>
      <c r="M10" s="114">
        <f t="shared" si="2"/>
        <v>0.82407407407407407</v>
      </c>
      <c r="N10" s="111">
        <f>IFERROR(VLOOKUP($B10,MMWR_TRAD_AGG_STATE_COMP[],N$1,0),"ERROR")</f>
        <v>330</v>
      </c>
      <c r="O10" s="112">
        <f>IFERROR(VLOOKUP($B10,MMWR_TRAD_AGG_STATE_COMP[],O$1,0),"ERROR")</f>
        <v>235</v>
      </c>
      <c r="P10" s="114">
        <f t="shared" si="3"/>
        <v>0.71212121212121215</v>
      </c>
      <c r="Q10" s="115">
        <f>IFERROR(VLOOKUP($B10,MMWR_TRAD_AGG_STATE_COMP[],Q$1,0),"ERROR")</f>
        <v>21</v>
      </c>
      <c r="R10" s="115">
        <f>IFERROR(VLOOKUP($B10,MMWR_TRAD_AGG_STATE_COMP[],R$1,0),"ERROR")</f>
        <v>1</v>
      </c>
      <c r="S10" s="115">
        <f>IFERROR(VLOOKUP($B10,MMWR_APP_STATE_COMP[],S$1,0),"ERROR")</f>
        <v>562</v>
      </c>
      <c r="T10" s="28"/>
    </row>
    <row r="11" spans="1:20" s="123" customFormat="1" x14ac:dyDescent="0.2">
      <c r="A11" s="107"/>
      <c r="B11" s="127" t="s">
        <v>426</v>
      </c>
      <c r="C11" s="109">
        <f>IFERROR(VLOOKUP($B11,MMWR_TRAD_AGG_STATE_COMP[],C$1,0),"ERROR")</f>
        <v>1587</v>
      </c>
      <c r="D11" s="110">
        <f>IFERROR(VLOOKUP($B11,MMWR_TRAD_AGG_STATE_COMP[],D$1,0),"ERROR")</f>
        <v>259.23881537490001</v>
      </c>
      <c r="E11" s="111">
        <f>IFERROR(VLOOKUP($B11,MMWR_TRAD_AGG_STATE_COMP[],E$1,0),"ERROR")</f>
        <v>1313</v>
      </c>
      <c r="F11" s="112">
        <f>IFERROR(VLOOKUP($B11,MMWR_TRAD_AGG_STATE_COMP[],F$1,0),"ERROR")</f>
        <v>207</v>
      </c>
      <c r="G11" s="113">
        <f t="shared" si="0"/>
        <v>0.15765422696115766</v>
      </c>
      <c r="H11" s="111">
        <f>IFERROR(VLOOKUP($B11,MMWR_TRAD_AGG_STATE_COMP[],H$1,0),"ERROR")</f>
        <v>2184</v>
      </c>
      <c r="I11" s="112">
        <f>IFERROR(VLOOKUP($B11,MMWR_TRAD_AGG_STATE_COMP[],I$1,0),"ERROR")</f>
        <v>1078</v>
      </c>
      <c r="J11" s="114">
        <f t="shared" si="1"/>
        <v>0.49358974358974361</v>
      </c>
      <c r="K11" s="111">
        <f>IFERROR(VLOOKUP($B11,MMWR_TRAD_AGG_STATE_COMP[],K$1,0),"ERROR")</f>
        <v>909</v>
      </c>
      <c r="L11" s="112">
        <f>IFERROR(VLOOKUP($B11,MMWR_TRAD_AGG_STATE_COMP[],L$1,0),"ERROR")</f>
        <v>513</v>
      </c>
      <c r="M11" s="114">
        <f t="shared" si="2"/>
        <v>0.5643564356435643</v>
      </c>
      <c r="N11" s="111">
        <f>IFERROR(VLOOKUP($B11,MMWR_TRAD_AGG_STATE_COMP[],N$1,0),"ERROR")</f>
        <v>316</v>
      </c>
      <c r="O11" s="112">
        <f>IFERROR(VLOOKUP($B11,MMWR_TRAD_AGG_STATE_COMP[],O$1,0),"ERROR")</f>
        <v>175</v>
      </c>
      <c r="P11" s="114">
        <f t="shared" si="3"/>
        <v>0.55379746835443033</v>
      </c>
      <c r="Q11" s="115">
        <f>IFERROR(VLOOKUP($B11,MMWR_TRAD_AGG_STATE_COMP[],Q$1,0),"ERROR")</f>
        <v>254</v>
      </c>
      <c r="R11" s="115">
        <f>IFERROR(VLOOKUP($B11,MMWR_TRAD_AGG_STATE_COMP[],R$1,0),"ERROR")</f>
        <v>2</v>
      </c>
      <c r="S11" s="115">
        <f>IFERROR(VLOOKUP($B11,MMWR_APP_STATE_COMP[],S$1,0),"ERROR")</f>
        <v>428</v>
      </c>
      <c r="T11" s="28"/>
    </row>
    <row r="12" spans="1:20" s="123" customFormat="1" x14ac:dyDescent="0.2">
      <c r="A12" s="107"/>
      <c r="B12" s="127" t="s">
        <v>386</v>
      </c>
      <c r="C12" s="109">
        <f>IFERROR(VLOOKUP($B12,MMWR_TRAD_AGG_STATE_COMP[],C$1,0),"ERROR")</f>
        <v>8669</v>
      </c>
      <c r="D12" s="110">
        <f>IFERROR(VLOOKUP($B12,MMWR_TRAD_AGG_STATE_COMP[],D$1,0),"ERROR")</f>
        <v>575.30349521280004</v>
      </c>
      <c r="E12" s="111">
        <f>IFERROR(VLOOKUP($B12,MMWR_TRAD_AGG_STATE_COMP[],E$1,0),"ERROR")</f>
        <v>5707</v>
      </c>
      <c r="F12" s="112">
        <f>IFERROR(VLOOKUP($B12,MMWR_TRAD_AGG_STATE_COMP[],F$1,0),"ERROR")</f>
        <v>1608</v>
      </c>
      <c r="G12" s="113">
        <f t="shared" si="0"/>
        <v>0.28175924303486943</v>
      </c>
      <c r="H12" s="111">
        <f>IFERROR(VLOOKUP($B12,MMWR_TRAD_AGG_STATE_COMP[],H$1,0),"ERROR")</f>
        <v>10715</v>
      </c>
      <c r="I12" s="112">
        <f>IFERROR(VLOOKUP($B12,MMWR_TRAD_AGG_STATE_COMP[],I$1,0),"ERROR")</f>
        <v>8095</v>
      </c>
      <c r="J12" s="114">
        <f t="shared" si="1"/>
        <v>0.75548296780214652</v>
      </c>
      <c r="K12" s="111">
        <f>IFERROR(VLOOKUP($B12,MMWR_TRAD_AGG_STATE_COMP[],K$1,0),"ERROR")</f>
        <v>1257</v>
      </c>
      <c r="L12" s="112">
        <f>IFERROR(VLOOKUP($B12,MMWR_TRAD_AGG_STATE_COMP[],L$1,0),"ERROR")</f>
        <v>1044</v>
      </c>
      <c r="M12" s="114">
        <f t="shared" si="2"/>
        <v>0.83054892601431984</v>
      </c>
      <c r="N12" s="111">
        <f>IFERROR(VLOOKUP($B12,MMWR_TRAD_AGG_STATE_COMP[],N$1,0),"ERROR")</f>
        <v>6600</v>
      </c>
      <c r="O12" s="112">
        <f>IFERROR(VLOOKUP($B12,MMWR_TRAD_AGG_STATE_COMP[],O$1,0),"ERROR")</f>
        <v>5414</v>
      </c>
      <c r="P12" s="114">
        <f t="shared" si="3"/>
        <v>0.82030303030303031</v>
      </c>
      <c r="Q12" s="115">
        <f>IFERROR(VLOOKUP($B12,MMWR_TRAD_AGG_STATE_COMP[],Q$1,0),"ERROR")</f>
        <v>314</v>
      </c>
      <c r="R12" s="115">
        <f>IFERROR(VLOOKUP($B12,MMWR_TRAD_AGG_STATE_COMP[],R$1,0),"ERROR")</f>
        <v>7</v>
      </c>
      <c r="S12" s="115">
        <f>IFERROR(VLOOKUP($B12,MMWR_APP_STATE_COMP[],S$1,0),"ERROR")</f>
        <v>5277</v>
      </c>
      <c r="T12" s="28"/>
    </row>
    <row r="13" spans="1:20" s="123" customFormat="1" x14ac:dyDescent="0.2">
      <c r="A13" s="107"/>
      <c r="B13" s="127" t="s">
        <v>381</v>
      </c>
      <c r="C13" s="109">
        <f>IFERROR(VLOOKUP($B13,MMWR_TRAD_AGG_STATE_COMP[],C$1,0),"ERROR")</f>
        <v>5196</v>
      </c>
      <c r="D13" s="110">
        <f>IFERROR(VLOOKUP($B13,MMWR_TRAD_AGG_STATE_COMP[],D$1,0),"ERROR")</f>
        <v>468.82525019249999</v>
      </c>
      <c r="E13" s="111">
        <f>IFERROR(VLOOKUP($B13,MMWR_TRAD_AGG_STATE_COMP[],E$1,0),"ERROR")</f>
        <v>4463</v>
      </c>
      <c r="F13" s="112">
        <f>IFERROR(VLOOKUP($B13,MMWR_TRAD_AGG_STATE_COMP[],F$1,0),"ERROR")</f>
        <v>1304</v>
      </c>
      <c r="G13" s="113">
        <f t="shared" si="0"/>
        <v>0.29218014788259017</v>
      </c>
      <c r="H13" s="111">
        <f>IFERROR(VLOOKUP($B13,MMWR_TRAD_AGG_STATE_COMP[],H$1,0),"ERROR")</f>
        <v>7941</v>
      </c>
      <c r="I13" s="112">
        <f>IFERROR(VLOOKUP($B13,MMWR_TRAD_AGG_STATE_COMP[],I$1,0),"ERROR")</f>
        <v>4948</v>
      </c>
      <c r="J13" s="114">
        <f t="shared" si="1"/>
        <v>0.62309532804432688</v>
      </c>
      <c r="K13" s="111">
        <f>IFERROR(VLOOKUP($B13,MMWR_TRAD_AGG_STATE_COMP[],K$1,0),"ERROR")</f>
        <v>2620</v>
      </c>
      <c r="L13" s="112">
        <f>IFERROR(VLOOKUP($B13,MMWR_TRAD_AGG_STATE_COMP[],L$1,0),"ERROR")</f>
        <v>1851</v>
      </c>
      <c r="M13" s="114">
        <f t="shared" si="2"/>
        <v>0.70648854961832064</v>
      </c>
      <c r="N13" s="111">
        <f>IFERROR(VLOOKUP($B13,MMWR_TRAD_AGG_STATE_COMP[],N$1,0),"ERROR")</f>
        <v>1326</v>
      </c>
      <c r="O13" s="112">
        <f>IFERROR(VLOOKUP($B13,MMWR_TRAD_AGG_STATE_COMP[],O$1,0),"ERROR")</f>
        <v>995</v>
      </c>
      <c r="P13" s="114">
        <f t="shared" si="3"/>
        <v>0.75037707390648567</v>
      </c>
      <c r="Q13" s="115">
        <f>IFERROR(VLOOKUP($B13,MMWR_TRAD_AGG_STATE_COMP[],Q$1,0),"ERROR")</f>
        <v>510</v>
      </c>
      <c r="R13" s="115">
        <f>IFERROR(VLOOKUP($B13,MMWR_TRAD_AGG_STATE_COMP[],R$1,0),"ERROR")</f>
        <v>13</v>
      </c>
      <c r="S13" s="115">
        <f>IFERROR(VLOOKUP($B13,MMWR_APP_STATE_COMP[],S$1,0),"ERROR")</f>
        <v>3489</v>
      </c>
      <c r="T13" s="28"/>
    </row>
    <row r="14" spans="1:20" s="123" customFormat="1" x14ac:dyDescent="0.2">
      <c r="A14" s="107"/>
      <c r="B14" s="127" t="s">
        <v>425</v>
      </c>
      <c r="C14" s="109">
        <f>IFERROR(VLOOKUP($B14,MMWR_TRAD_AGG_STATE_COMP[],C$1,0),"ERROR")</f>
        <v>1863</v>
      </c>
      <c r="D14" s="110">
        <f>IFERROR(VLOOKUP($B14,MMWR_TRAD_AGG_STATE_COMP[],D$1,0),"ERROR")</f>
        <v>378.31884057970001</v>
      </c>
      <c r="E14" s="111">
        <f>IFERROR(VLOOKUP($B14,MMWR_TRAD_AGG_STATE_COMP[],E$1,0),"ERROR")</f>
        <v>1198</v>
      </c>
      <c r="F14" s="112">
        <f>IFERROR(VLOOKUP($B14,MMWR_TRAD_AGG_STATE_COMP[],F$1,0),"ERROR")</f>
        <v>284</v>
      </c>
      <c r="G14" s="113">
        <f t="shared" si="0"/>
        <v>0.23706176961602671</v>
      </c>
      <c r="H14" s="111">
        <f>IFERROR(VLOOKUP($B14,MMWR_TRAD_AGG_STATE_COMP[],H$1,0),"ERROR")</f>
        <v>2532</v>
      </c>
      <c r="I14" s="112">
        <f>IFERROR(VLOOKUP($B14,MMWR_TRAD_AGG_STATE_COMP[],I$1,0),"ERROR")</f>
        <v>1571</v>
      </c>
      <c r="J14" s="114">
        <f t="shared" si="1"/>
        <v>0.62045813586097942</v>
      </c>
      <c r="K14" s="111">
        <f>IFERROR(VLOOKUP($B14,MMWR_TRAD_AGG_STATE_COMP[],K$1,0),"ERROR")</f>
        <v>683</v>
      </c>
      <c r="L14" s="112">
        <f>IFERROR(VLOOKUP($B14,MMWR_TRAD_AGG_STATE_COMP[],L$1,0),"ERROR")</f>
        <v>531</v>
      </c>
      <c r="M14" s="114">
        <f t="shared" si="2"/>
        <v>0.7774524158125915</v>
      </c>
      <c r="N14" s="111">
        <f>IFERROR(VLOOKUP($B14,MMWR_TRAD_AGG_STATE_COMP[],N$1,0),"ERROR")</f>
        <v>203</v>
      </c>
      <c r="O14" s="112">
        <f>IFERROR(VLOOKUP($B14,MMWR_TRAD_AGG_STATE_COMP[],O$1,0),"ERROR")</f>
        <v>104</v>
      </c>
      <c r="P14" s="114">
        <f t="shared" si="3"/>
        <v>0.51231527093596063</v>
      </c>
      <c r="Q14" s="115">
        <f>IFERROR(VLOOKUP($B14,MMWR_TRAD_AGG_STATE_COMP[],Q$1,0),"ERROR")</f>
        <v>115</v>
      </c>
      <c r="R14" s="115">
        <f>IFERROR(VLOOKUP($B14,MMWR_TRAD_AGG_STATE_COMP[],R$1,0),"ERROR")</f>
        <v>3</v>
      </c>
      <c r="S14" s="115">
        <f>IFERROR(VLOOKUP($B14,MMWR_APP_STATE_COMP[],S$1,0),"ERROR")</f>
        <v>709</v>
      </c>
      <c r="T14" s="28"/>
    </row>
    <row r="15" spans="1:20" s="123" customFormat="1" x14ac:dyDescent="0.2">
      <c r="A15" s="107"/>
      <c r="B15" s="127" t="s">
        <v>384</v>
      </c>
      <c r="C15" s="109">
        <f>IFERROR(VLOOKUP($B15,MMWR_TRAD_AGG_STATE_COMP[],C$1,0),"ERROR")</f>
        <v>2501</v>
      </c>
      <c r="D15" s="110">
        <f>IFERROR(VLOOKUP($B15,MMWR_TRAD_AGG_STATE_COMP[],D$1,0),"ERROR")</f>
        <v>282.08916433429999</v>
      </c>
      <c r="E15" s="111">
        <f>IFERROR(VLOOKUP($B15,MMWR_TRAD_AGG_STATE_COMP[],E$1,0),"ERROR")</f>
        <v>4186</v>
      </c>
      <c r="F15" s="112">
        <f>IFERROR(VLOOKUP($B15,MMWR_TRAD_AGG_STATE_COMP[],F$1,0),"ERROR")</f>
        <v>1352</v>
      </c>
      <c r="G15" s="113">
        <f t="shared" si="0"/>
        <v>0.32298136645962733</v>
      </c>
      <c r="H15" s="111">
        <f>IFERROR(VLOOKUP($B15,MMWR_TRAD_AGG_STATE_COMP[],H$1,0),"ERROR")</f>
        <v>4054</v>
      </c>
      <c r="I15" s="112">
        <f>IFERROR(VLOOKUP($B15,MMWR_TRAD_AGG_STATE_COMP[],I$1,0),"ERROR")</f>
        <v>1981</v>
      </c>
      <c r="J15" s="114">
        <f t="shared" si="1"/>
        <v>0.48865318204242725</v>
      </c>
      <c r="K15" s="111">
        <f>IFERROR(VLOOKUP($B15,MMWR_TRAD_AGG_STATE_COMP[],K$1,0),"ERROR")</f>
        <v>765</v>
      </c>
      <c r="L15" s="112">
        <f>IFERROR(VLOOKUP($B15,MMWR_TRAD_AGG_STATE_COMP[],L$1,0),"ERROR")</f>
        <v>339</v>
      </c>
      <c r="M15" s="114">
        <f t="shared" si="2"/>
        <v>0.44313725490196076</v>
      </c>
      <c r="N15" s="111">
        <f>IFERROR(VLOOKUP($B15,MMWR_TRAD_AGG_STATE_COMP[],N$1,0),"ERROR")</f>
        <v>2002</v>
      </c>
      <c r="O15" s="112">
        <f>IFERROR(VLOOKUP($B15,MMWR_TRAD_AGG_STATE_COMP[],O$1,0),"ERROR")</f>
        <v>1100</v>
      </c>
      <c r="P15" s="114">
        <f t="shared" si="3"/>
        <v>0.5494505494505495</v>
      </c>
      <c r="Q15" s="115">
        <f>IFERROR(VLOOKUP($B15,MMWR_TRAD_AGG_STATE_COMP[],Q$1,0),"ERROR")</f>
        <v>509</v>
      </c>
      <c r="R15" s="115">
        <f>IFERROR(VLOOKUP($B15,MMWR_TRAD_AGG_STATE_COMP[],R$1,0),"ERROR")</f>
        <v>7</v>
      </c>
      <c r="S15" s="115">
        <f>IFERROR(VLOOKUP($B15,MMWR_APP_STATE_COMP[],S$1,0),"ERROR")</f>
        <v>4060</v>
      </c>
      <c r="T15" s="28"/>
    </row>
    <row r="16" spans="1:20" s="123" customFormat="1" x14ac:dyDescent="0.2">
      <c r="A16" s="107"/>
      <c r="B16" s="127" t="s">
        <v>63</v>
      </c>
      <c r="C16" s="109">
        <f>IFERROR(VLOOKUP($B16,MMWR_TRAD_AGG_STATE_COMP[],C$1,0),"ERROR")</f>
        <v>5576</v>
      </c>
      <c r="D16" s="110">
        <f>IFERROR(VLOOKUP($B16,MMWR_TRAD_AGG_STATE_COMP[],D$1,0),"ERROR")</f>
        <v>264.27313486370002</v>
      </c>
      <c r="E16" s="111">
        <f>IFERROR(VLOOKUP($B16,MMWR_TRAD_AGG_STATE_COMP[],E$1,0),"ERROR")</f>
        <v>9576</v>
      </c>
      <c r="F16" s="112">
        <f>IFERROR(VLOOKUP($B16,MMWR_TRAD_AGG_STATE_COMP[],F$1,0),"ERROR")</f>
        <v>2834</v>
      </c>
      <c r="G16" s="113">
        <f t="shared" si="0"/>
        <v>0.29594820384294068</v>
      </c>
      <c r="H16" s="111">
        <f>IFERROR(VLOOKUP($B16,MMWR_TRAD_AGG_STATE_COMP[],H$1,0),"ERROR")</f>
        <v>8835</v>
      </c>
      <c r="I16" s="112">
        <f>IFERROR(VLOOKUP($B16,MMWR_TRAD_AGG_STATE_COMP[],I$1,0),"ERROR")</f>
        <v>4325</v>
      </c>
      <c r="J16" s="114">
        <f t="shared" si="1"/>
        <v>0.48953027730616866</v>
      </c>
      <c r="K16" s="111">
        <f>IFERROR(VLOOKUP($B16,MMWR_TRAD_AGG_STATE_COMP[],K$1,0),"ERROR")</f>
        <v>2013</v>
      </c>
      <c r="L16" s="112">
        <f>IFERROR(VLOOKUP($B16,MMWR_TRAD_AGG_STATE_COMP[],L$1,0),"ERROR")</f>
        <v>1202</v>
      </c>
      <c r="M16" s="114">
        <f t="shared" si="2"/>
        <v>0.59711872826626922</v>
      </c>
      <c r="N16" s="111">
        <f>IFERROR(VLOOKUP($B16,MMWR_TRAD_AGG_STATE_COMP[],N$1,0),"ERROR")</f>
        <v>1593</v>
      </c>
      <c r="O16" s="112">
        <f>IFERROR(VLOOKUP($B16,MMWR_TRAD_AGG_STATE_COMP[],O$1,0),"ERROR")</f>
        <v>812</v>
      </c>
      <c r="P16" s="114">
        <f t="shared" si="3"/>
        <v>0.50973006905210294</v>
      </c>
      <c r="Q16" s="115">
        <f>IFERROR(VLOOKUP($B16,MMWR_TRAD_AGG_STATE_COMP[],Q$1,0),"ERROR")</f>
        <v>986</v>
      </c>
      <c r="R16" s="115">
        <f>IFERROR(VLOOKUP($B16,MMWR_TRAD_AGG_STATE_COMP[],R$1,0),"ERROR")</f>
        <v>16</v>
      </c>
      <c r="S16" s="115">
        <f>IFERROR(VLOOKUP($B16,MMWR_APP_STATE_COMP[],S$1,0),"ERROR")</f>
        <v>5472</v>
      </c>
      <c r="T16" s="28"/>
    </row>
    <row r="17" spans="1:20" s="123" customFormat="1" x14ac:dyDescent="0.2">
      <c r="A17" s="107"/>
      <c r="B17" s="127" t="s">
        <v>392</v>
      </c>
      <c r="C17" s="109">
        <f>IFERROR(VLOOKUP($B17,MMWR_TRAD_AGG_STATE_COMP[],C$1,0),"ERROR")</f>
        <v>16014</v>
      </c>
      <c r="D17" s="110">
        <f>IFERROR(VLOOKUP($B17,MMWR_TRAD_AGG_STATE_COMP[],D$1,0),"ERROR")</f>
        <v>331.96521793429997</v>
      </c>
      <c r="E17" s="111">
        <f>IFERROR(VLOOKUP($B17,MMWR_TRAD_AGG_STATE_COMP[],E$1,0),"ERROR")</f>
        <v>18356</v>
      </c>
      <c r="F17" s="112">
        <f>IFERROR(VLOOKUP($B17,MMWR_TRAD_AGG_STATE_COMP[],F$1,0),"ERROR")</f>
        <v>5678</v>
      </c>
      <c r="G17" s="113">
        <f t="shared" si="0"/>
        <v>0.30932665068642407</v>
      </c>
      <c r="H17" s="111">
        <f>IFERROR(VLOOKUP($B17,MMWR_TRAD_AGG_STATE_COMP[],H$1,0),"ERROR")</f>
        <v>21997</v>
      </c>
      <c r="I17" s="112">
        <f>IFERROR(VLOOKUP($B17,MMWR_TRAD_AGG_STATE_COMP[],I$1,0),"ERROR")</f>
        <v>13721</v>
      </c>
      <c r="J17" s="114">
        <f t="shared" si="1"/>
        <v>0.6237668773014502</v>
      </c>
      <c r="K17" s="111">
        <f>IFERROR(VLOOKUP($B17,MMWR_TRAD_AGG_STATE_COMP[],K$1,0),"ERROR")</f>
        <v>4153</v>
      </c>
      <c r="L17" s="112">
        <f>IFERROR(VLOOKUP($B17,MMWR_TRAD_AGG_STATE_COMP[],L$1,0),"ERROR")</f>
        <v>3586</v>
      </c>
      <c r="M17" s="114">
        <f t="shared" si="2"/>
        <v>0.86347218877919574</v>
      </c>
      <c r="N17" s="111">
        <f>IFERROR(VLOOKUP($B17,MMWR_TRAD_AGG_STATE_COMP[],N$1,0),"ERROR")</f>
        <v>8079</v>
      </c>
      <c r="O17" s="112">
        <f>IFERROR(VLOOKUP($B17,MMWR_TRAD_AGG_STATE_COMP[],O$1,0),"ERROR")</f>
        <v>4354</v>
      </c>
      <c r="P17" s="114">
        <f t="shared" si="3"/>
        <v>0.53892808515905433</v>
      </c>
      <c r="Q17" s="115">
        <f>IFERROR(VLOOKUP($B17,MMWR_TRAD_AGG_STATE_COMP[],Q$1,0),"ERROR")</f>
        <v>810</v>
      </c>
      <c r="R17" s="115">
        <f>IFERROR(VLOOKUP($B17,MMWR_TRAD_AGG_STATE_COMP[],R$1,0),"ERROR")</f>
        <v>45</v>
      </c>
      <c r="S17" s="115">
        <f>IFERROR(VLOOKUP($B17,MMWR_APP_STATE_COMP[],S$1,0),"ERROR")</f>
        <v>10324</v>
      </c>
      <c r="T17" s="28"/>
    </row>
    <row r="18" spans="1:20" s="123" customFormat="1" x14ac:dyDescent="0.2">
      <c r="A18" s="107"/>
      <c r="B18" s="127" t="s">
        <v>385</v>
      </c>
      <c r="C18" s="109">
        <f>IFERROR(VLOOKUP($B18,MMWR_TRAD_AGG_STATE_COMP[],C$1,0),"ERROR")</f>
        <v>7853</v>
      </c>
      <c r="D18" s="110">
        <f>IFERROR(VLOOKUP($B18,MMWR_TRAD_AGG_STATE_COMP[],D$1,0),"ERROR")</f>
        <v>400.20234305359998</v>
      </c>
      <c r="E18" s="111">
        <f>IFERROR(VLOOKUP($B18,MMWR_TRAD_AGG_STATE_COMP[],E$1,0),"ERROR")</f>
        <v>9577</v>
      </c>
      <c r="F18" s="112">
        <f>IFERROR(VLOOKUP($B18,MMWR_TRAD_AGG_STATE_COMP[],F$1,0),"ERROR")</f>
        <v>3094</v>
      </c>
      <c r="G18" s="113">
        <f t="shared" si="0"/>
        <v>0.32306567818732379</v>
      </c>
      <c r="H18" s="111">
        <f>IFERROR(VLOOKUP($B18,MMWR_TRAD_AGG_STATE_COMP[],H$1,0),"ERROR")</f>
        <v>11612</v>
      </c>
      <c r="I18" s="112">
        <f>IFERROR(VLOOKUP($B18,MMWR_TRAD_AGG_STATE_COMP[],I$1,0),"ERROR")</f>
        <v>7602</v>
      </c>
      <c r="J18" s="114">
        <f t="shared" si="1"/>
        <v>0.65466758525663105</v>
      </c>
      <c r="K18" s="111">
        <f>IFERROR(VLOOKUP($B18,MMWR_TRAD_AGG_STATE_COMP[],K$1,0),"ERROR")</f>
        <v>1019</v>
      </c>
      <c r="L18" s="112">
        <f>IFERROR(VLOOKUP($B18,MMWR_TRAD_AGG_STATE_COMP[],L$1,0),"ERROR")</f>
        <v>723</v>
      </c>
      <c r="M18" s="114">
        <f t="shared" si="2"/>
        <v>0.70951913640824338</v>
      </c>
      <c r="N18" s="111">
        <f>IFERROR(VLOOKUP($B18,MMWR_TRAD_AGG_STATE_COMP[],N$1,0),"ERROR")</f>
        <v>5877</v>
      </c>
      <c r="O18" s="112">
        <f>IFERROR(VLOOKUP($B18,MMWR_TRAD_AGG_STATE_COMP[],O$1,0),"ERROR")</f>
        <v>3117</v>
      </c>
      <c r="P18" s="114">
        <f t="shared" si="3"/>
        <v>0.53037263910158239</v>
      </c>
      <c r="Q18" s="115">
        <f>IFERROR(VLOOKUP($B18,MMWR_TRAD_AGG_STATE_COMP[],Q$1,0),"ERROR")</f>
        <v>977</v>
      </c>
      <c r="R18" s="115">
        <f>IFERROR(VLOOKUP($B18,MMWR_TRAD_AGG_STATE_COMP[],R$1,0),"ERROR")</f>
        <v>10</v>
      </c>
      <c r="S18" s="115">
        <f>IFERROR(VLOOKUP($B18,MMWR_APP_STATE_COMP[],S$1,0),"ERROR")</f>
        <v>6520</v>
      </c>
      <c r="T18" s="28"/>
    </row>
    <row r="19" spans="1:20" s="123" customFormat="1" x14ac:dyDescent="0.2">
      <c r="A19" s="107"/>
      <c r="B19" s="127" t="s">
        <v>382</v>
      </c>
      <c r="C19" s="109">
        <f>IFERROR(VLOOKUP($B19,MMWR_TRAD_AGG_STATE_COMP[],C$1,0),"ERROR")</f>
        <v>456</v>
      </c>
      <c r="D19" s="110">
        <f>IFERROR(VLOOKUP($B19,MMWR_TRAD_AGG_STATE_COMP[],D$1,0),"ERROR")</f>
        <v>240.326754386</v>
      </c>
      <c r="E19" s="111">
        <f>IFERROR(VLOOKUP($B19,MMWR_TRAD_AGG_STATE_COMP[],E$1,0),"ERROR")</f>
        <v>913</v>
      </c>
      <c r="F19" s="112">
        <f>IFERROR(VLOOKUP($B19,MMWR_TRAD_AGG_STATE_COMP[],F$1,0),"ERROR")</f>
        <v>280</v>
      </c>
      <c r="G19" s="113">
        <f t="shared" si="0"/>
        <v>0.3066812705366922</v>
      </c>
      <c r="H19" s="111">
        <f>IFERROR(VLOOKUP($B19,MMWR_TRAD_AGG_STATE_COMP[],H$1,0),"ERROR")</f>
        <v>1094</v>
      </c>
      <c r="I19" s="112">
        <f>IFERROR(VLOOKUP($B19,MMWR_TRAD_AGG_STATE_COMP[],I$1,0),"ERROR")</f>
        <v>392</v>
      </c>
      <c r="J19" s="114">
        <f t="shared" si="1"/>
        <v>0.35831809872029252</v>
      </c>
      <c r="K19" s="111">
        <f>IFERROR(VLOOKUP($B19,MMWR_TRAD_AGG_STATE_COMP[],K$1,0),"ERROR")</f>
        <v>343</v>
      </c>
      <c r="L19" s="112">
        <f>IFERROR(VLOOKUP($B19,MMWR_TRAD_AGG_STATE_COMP[],L$1,0),"ERROR")</f>
        <v>124</v>
      </c>
      <c r="M19" s="114">
        <f t="shared" si="2"/>
        <v>0.36151603498542273</v>
      </c>
      <c r="N19" s="111">
        <f>IFERROR(VLOOKUP($B19,MMWR_TRAD_AGG_STATE_COMP[],N$1,0),"ERROR")</f>
        <v>125</v>
      </c>
      <c r="O19" s="112">
        <f>IFERROR(VLOOKUP($B19,MMWR_TRAD_AGG_STATE_COMP[],O$1,0),"ERROR")</f>
        <v>57</v>
      </c>
      <c r="P19" s="114">
        <f t="shared" si="3"/>
        <v>0.45600000000000002</v>
      </c>
      <c r="Q19" s="115">
        <f>IFERROR(VLOOKUP($B19,MMWR_TRAD_AGG_STATE_COMP[],Q$1,0),"ERROR")</f>
        <v>111</v>
      </c>
      <c r="R19" s="115">
        <f>IFERROR(VLOOKUP($B19,MMWR_TRAD_AGG_STATE_COMP[],R$1,0),"ERROR")</f>
        <v>2</v>
      </c>
      <c r="S19" s="115">
        <f>IFERROR(VLOOKUP($B19,MMWR_APP_STATE_COMP[],S$1,0),"ERROR")</f>
        <v>326</v>
      </c>
      <c r="T19" s="28"/>
    </row>
    <row r="20" spans="1:20" s="123" customFormat="1" x14ac:dyDescent="0.2">
      <c r="A20" s="107"/>
      <c r="B20" s="127" t="s">
        <v>427</v>
      </c>
      <c r="C20" s="109">
        <f>IFERROR(VLOOKUP($B20,MMWR_TRAD_AGG_STATE_COMP[],C$1,0),"ERROR")</f>
        <v>501</v>
      </c>
      <c r="D20" s="110">
        <f>IFERROR(VLOOKUP($B20,MMWR_TRAD_AGG_STATE_COMP[],D$1,0),"ERROR")</f>
        <v>337.60678642710002</v>
      </c>
      <c r="E20" s="111">
        <f>IFERROR(VLOOKUP($B20,MMWR_TRAD_AGG_STATE_COMP[],E$1,0),"ERROR")</f>
        <v>416</v>
      </c>
      <c r="F20" s="112">
        <f>IFERROR(VLOOKUP($B20,MMWR_TRAD_AGG_STATE_COMP[],F$1,0),"ERROR")</f>
        <v>129</v>
      </c>
      <c r="G20" s="113">
        <f t="shared" si="0"/>
        <v>0.31009615384615385</v>
      </c>
      <c r="H20" s="111">
        <f>IFERROR(VLOOKUP($B20,MMWR_TRAD_AGG_STATE_COMP[],H$1,0),"ERROR")</f>
        <v>848</v>
      </c>
      <c r="I20" s="112">
        <f>IFERROR(VLOOKUP($B20,MMWR_TRAD_AGG_STATE_COMP[],I$1,0),"ERROR")</f>
        <v>459</v>
      </c>
      <c r="J20" s="114">
        <f t="shared" si="1"/>
        <v>0.54127358490566035</v>
      </c>
      <c r="K20" s="111">
        <f>IFERROR(VLOOKUP($B20,MMWR_TRAD_AGG_STATE_COMP[],K$1,0),"ERROR")</f>
        <v>171</v>
      </c>
      <c r="L20" s="112">
        <f>IFERROR(VLOOKUP($B20,MMWR_TRAD_AGG_STATE_COMP[],L$1,0),"ERROR")</f>
        <v>97</v>
      </c>
      <c r="M20" s="114">
        <f t="shared" si="2"/>
        <v>0.56725146198830412</v>
      </c>
      <c r="N20" s="111">
        <f>IFERROR(VLOOKUP($B20,MMWR_TRAD_AGG_STATE_COMP[],N$1,0),"ERROR")</f>
        <v>90</v>
      </c>
      <c r="O20" s="112">
        <f>IFERROR(VLOOKUP($B20,MMWR_TRAD_AGG_STATE_COMP[],O$1,0),"ERROR")</f>
        <v>56</v>
      </c>
      <c r="P20" s="114">
        <f t="shared" si="3"/>
        <v>0.62222222222222223</v>
      </c>
      <c r="Q20" s="115">
        <f>IFERROR(VLOOKUP($B20,MMWR_TRAD_AGG_STATE_COMP[],Q$1,0),"ERROR")</f>
        <v>49</v>
      </c>
      <c r="R20" s="115">
        <f>IFERROR(VLOOKUP($B20,MMWR_TRAD_AGG_STATE_COMP[],R$1,0),"ERROR")</f>
        <v>1</v>
      </c>
      <c r="S20" s="115">
        <f>IFERROR(VLOOKUP($B20,MMWR_APP_STATE_COMP[],S$1,0),"ERROR")</f>
        <v>203</v>
      </c>
      <c r="T20" s="28"/>
    </row>
    <row r="21" spans="1:20" s="123" customFormat="1" x14ac:dyDescent="0.2">
      <c r="A21" s="107"/>
      <c r="B21" s="127" t="s">
        <v>388</v>
      </c>
      <c r="C21" s="109">
        <f>IFERROR(VLOOKUP($B21,MMWR_TRAD_AGG_STATE_COMP[],C$1,0),"ERROR")</f>
        <v>17208</v>
      </c>
      <c r="D21" s="110">
        <f>IFERROR(VLOOKUP($B21,MMWR_TRAD_AGG_STATE_COMP[],D$1,0),"ERROR")</f>
        <v>508.0939679219</v>
      </c>
      <c r="E21" s="111">
        <f>IFERROR(VLOOKUP($B21,MMWR_TRAD_AGG_STATE_COMP[],E$1,0),"ERROR")</f>
        <v>12624</v>
      </c>
      <c r="F21" s="112">
        <f>IFERROR(VLOOKUP($B21,MMWR_TRAD_AGG_STATE_COMP[],F$1,0),"ERROR")</f>
        <v>3424</v>
      </c>
      <c r="G21" s="113">
        <f t="shared" si="0"/>
        <v>0.27122940430925224</v>
      </c>
      <c r="H21" s="111">
        <f>IFERROR(VLOOKUP($B21,MMWR_TRAD_AGG_STATE_COMP[],H$1,0),"ERROR")</f>
        <v>21866</v>
      </c>
      <c r="I21" s="112">
        <f>IFERROR(VLOOKUP($B21,MMWR_TRAD_AGG_STATE_COMP[],I$1,0),"ERROR")</f>
        <v>14587</v>
      </c>
      <c r="J21" s="114">
        <f t="shared" si="1"/>
        <v>0.66710875331564989</v>
      </c>
      <c r="K21" s="111">
        <f>IFERROR(VLOOKUP($B21,MMWR_TRAD_AGG_STATE_COMP[],K$1,0),"ERROR")</f>
        <v>4366</v>
      </c>
      <c r="L21" s="112">
        <f>IFERROR(VLOOKUP($B21,MMWR_TRAD_AGG_STATE_COMP[],L$1,0),"ERROR")</f>
        <v>3851</v>
      </c>
      <c r="M21" s="114">
        <f t="shared" si="2"/>
        <v>0.88204306000916166</v>
      </c>
      <c r="N21" s="111">
        <f>IFERROR(VLOOKUP($B21,MMWR_TRAD_AGG_STATE_COMP[],N$1,0),"ERROR")</f>
        <v>5654</v>
      </c>
      <c r="O21" s="112">
        <f>IFERROR(VLOOKUP($B21,MMWR_TRAD_AGG_STATE_COMP[],O$1,0),"ERROR")</f>
        <v>4207</v>
      </c>
      <c r="P21" s="114">
        <f t="shared" si="3"/>
        <v>0.74407499115670317</v>
      </c>
      <c r="Q21" s="115">
        <f>IFERROR(VLOOKUP($B21,MMWR_TRAD_AGG_STATE_COMP[],Q$1,0),"ERROR")</f>
        <v>627</v>
      </c>
      <c r="R21" s="115">
        <f>IFERROR(VLOOKUP($B21,MMWR_TRAD_AGG_STATE_COMP[],R$1,0),"ERROR")</f>
        <v>35</v>
      </c>
      <c r="S21" s="115">
        <f>IFERROR(VLOOKUP($B21,MMWR_APP_STATE_COMP[],S$1,0),"ERROR")</f>
        <v>13940</v>
      </c>
      <c r="T21" s="28"/>
    </row>
    <row r="22" spans="1:20" s="123" customFormat="1" x14ac:dyDescent="0.2">
      <c r="A22" s="107"/>
      <c r="B22" s="127" t="s">
        <v>389</v>
      </c>
      <c r="C22" s="109">
        <f>IFERROR(VLOOKUP($B22,MMWR_TRAD_AGG_STATE_COMP[],C$1,0),"ERROR")</f>
        <v>2289</v>
      </c>
      <c r="D22" s="110">
        <f>IFERROR(VLOOKUP($B22,MMWR_TRAD_AGG_STATE_COMP[],D$1,0),"ERROR")</f>
        <v>250.95412844040001</v>
      </c>
      <c r="E22" s="111">
        <f>IFERROR(VLOOKUP($B22,MMWR_TRAD_AGG_STATE_COMP[],E$1,0),"ERROR")</f>
        <v>2229</v>
      </c>
      <c r="F22" s="112">
        <f>IFERROR(VLOOKUP($B22,MMWR_TRAD_AGG_STATE_COMP[],F$1,0),"ERROR")</f>
        <v>517</v>
      </c>
      <c r="G22" s="113">
        <f t="shared" si="0"/>
        <v>0.2319425751458053</v>
      </c>
      <c r="H22" s="111">
        <f>IFERROR(VLOOKUP($B22,MMWR_TRAD_AGG_STATE_COMP[],H$1,0),"ERROR")</f>
        <v>3496</v>
      </c>
      <c r="I22" s="112">
        <f>IFERROR(VLOOKUP($B22,MMWR_TRAD_AGG_STATE_COMP[],I$1,0),"ERROR")</f>
        <v>1874</v>
      </c>
      <c r="J22" s="114">
        <f t="shared" si="1"/>
        <v>0.53604118993135008</v>
      </c>
      <c r="K22" s="111">
        <f>IFERROR(VLOOKUP($B22,MMWR_TRAD_AGG_STATE_COMP[],K$1,0),"ERROR")</f>
        <v>320</v>
      </c>
      <c r="L22" s="112">
        <f>IFERROR(VLOOKUP($B22,MMWR_TRAD_AGG_STATE_COMP[],L$1,0),"ERROR")</f>
        <v>260</v>
      </c>
      <c r="M22" s="114">
        <f t="shared" si="2"/>
        <v>0.8125</v>
      </c>
      <c r="N22" s="111">
        <f>IFERROR(VLOOKUP($B22,MMWR_TRAD_AGG_STATE_COMP[],N$1,0),"ERROR")</f>
        <v>1109</v>
      </c>
      <c r="O22" s="112">
        <f>IFERROR(VLOOKUP($B22,MMWR_TRAD_AGG_STATE_COMP[],O$1,0),"ERROR")</f>
        <v>699</v>
      </c>
      <c r="P22" s="114">
        <f t="shared" si="3"/>
        <v>0.630297565374211</v>
      </c>
      <c r="Q22" s="115">
        <f>IFERROR(VLOOKUP($B22,MMWR_TRAD_AGG_STATE_COMP[],Q$1,0),"ERROR")</f>
        <v>262</v>
      </c>
      <c r="R22" s="115">
        <f>IFERROR(VLOOKUP($B22,MMWR_TRAD_AGG_STATE_COMP[],R$1,0),"ERROR")</f>
        <v>19</v>
      </c>
      <c r="S22" s="115">
        <f>IFERROR(VLOOKUP($B22,MMWR_APP_STATE_COMP[],S$1,0),"ERROR")</f>
        <v>2364</v>
      </c>
      <c r="T22" s="28"/>
    </row>
    <row r="23" spans="1:20" s="123" customFormat="1" x14ac:dyDescent="0.2">
      <c r="A23" s="107"/>
      <c r="B23" s="126" t="s">
        <v>400</v>
      </c>
      <c r="C23" s="102">
        <f>IF(SUM(C24:C35)&lt;&gt;VLOOKUP($B23,MMWR_TRAD_AGG_ST_DISTRICT_COMP[],C$1,0),"ERROR",
VLOOKUP($B23,MMWR_TRAD_AGG_ST_DISTRICT_COMP[],C$1,0))</f>
        <v>48276</v>
      </c>
      <c r="D23" s="103">
        <f>IFERROR(VLOOKUP($B23,MMWR_TRAD_AGG_ST_DISTRICT_COMP[],D$1,0),"ERROR")</f>
        <v>399.7112643964</v>
      </c>
      <c r="E23" s="102">
        <f>IF(SUM(E24:E35)&lt;&gt;VLOOKUP($B23,MMWR_TRAD_AGG_ST_DISTRICT_COMP[],E$1,0),"ERROR",
VLOOKUP($B23,MMWR_TRAD_AGG_ST_DISTRICT_COMP[],E$1,0))</f>
        <v>52100</v>
      </c>
      <c r="F23" s="102">
        <f>IF(SUM(F24:F35)&lt;&gt;VLOOKUP($B23,MMWR_TRAD_AGG_ST_DISTRICT_COMP[],F$1,0),"ERROR",
VLOOKUP($B23,MMWR_TRAD_AGG_ST_DISTRICT_COMP[],F$1,0))</f>
        <v>13370</v>
      </c>
      <c r="G23" s="104">
        <f t="shared" si="0"/>
        <v>0.25662188099808059</v>
      </c>
      <c r="H23" s="102">
        <f>IF(SUM(H24:H35)&lt;&gt;VLOOKUP($B23,MMWR_TRAD_AGG_ST_DISTRICT_COMP[],H$1,0),"ERROR",
VLOOKUP($B23,MMWR_TRAD_AGG_ST_DISTRICT_COMP[],H$1,0))</f>
        <v>74686</v>
      </c>
      <c r="I23" s="102">
        <f>IF(SUM(I24:I35)&lt;&gt;VLOOKUP($B23,MMWR_TRAD_AGG_ST_DISTRICT_COMP[],I$1,0),"ERROR",
VLOOKUP($B23,MMWR_TRAD_AGG_ST_DISTRICT_COMP[],I$1,0))</f>
        <v>42124</v>
      </c>
      <c r="J23" s="105">
        <f t="shared" si="1"/>
        <v>0.56401467477171086</v>
      </c>
      <c r="K23" s="102">
        <f>IF(SUM(K24:K35)&lt;&gt;VLOOKUP($B23,MMWR_TRAD_AGG_ST_DISTRICT_COMP[],K$1,0),"ERROR",
VLOOKUP($B23,MMWR_TRAD_AGG_ST_DISTRICT_COMP[],K$1,0))</f>
        <v>10034</v>
      </c>
      <c r="L23" s="102">
        <f>IF(SUM(L24:L35)&lt;&gt;VLOOKUP($B23,MMWR_TRAD_AGG_ST_DISTRICT_COMP[],L$1,0),"ERROR",
VLOOKUP($B23,MMWR_TRAD_AGG_ST_DISTRICT_COMP[],L$1,0))</f>
        <v>8196</v>
      </c>
      <c r="M23" s="105">
        <f t="shared" si="2"/>
        <v>0.81682280247159655</v>
      </c>
      <c r="N23" s="102">
        <f>IF(SUM(N24:N35)&lt;&gt;VLOOKUP($B23,MMWR_TRAD_AGG_ST_DISTRICT_COMP[],N$1,0),"ERROR",
VLOOKUP($B23,MMWR_TRAD_AGG_ST_DISTRICT_COMP[],N$1,0))</f>
        <v>22252</v>
      </c>
      <c r="O23" s="102">
        <f>IF(SUM(O24:O35)&lt;&gt;VLOOKUP($B23,MMWR_TRAD_AGG_ST_DISTRICT_COMP[],O$1,0),"ERROR",
VLOOKUP($B23,MMWR_TRAD_AGG_ST_DISTRICT_COMP[],O$1,0))</f>
        <v>14681</v>
      </c>
      <c r="P23" s="105">
        <f t="shared" si="3"/>
        <v>0.65976092036670864</v>
      </c>
      <c r="Q23" s="102">
        <f>IF(SUM(Q24:Q35)&lt;&gt;VLOOKUP($B23,MMWR_TRAD_AGG_ST_DISTRICT_COMP[],Q$1,0),"ERROR",
VLOOKUP($B23,MMWR_TRAD_AGG_ST_DISTRICT_COMP[],Q$1,0))</f>
        <v>139</v>
      </c>
      <c r="R23" s="102">
        <f>IF(SUM(R24:R35)&lt;&gt;VLOOKUP($B23,MMWR_TRAD_AGG_ST_DISTRICT_COMP[],R$1,0),"ERROR",
VLOOKUP($B23,MMWR_TRAD_AGG_ST_DISTRICT_COMP[],R$1,0))</f>
        <v>1183</v>
      </c>
      <c r="S23" s="106">
        <f>SUM(S24:S35)</f>
        <v>53033</v>
      </c>
      <c r="T23" s="28"/>
    </row>
    <row r="24" spans="1:20" s="123" customFormat="1" x14ac:dyDescent="0.2">
      <c r="A24" s="92"/>
      <c r="B24" s="127" t="s">
        <v>404</v>
      </c>
      <c r="C24" s="109">
        <f>IFERROR(VLOOKUP($B24,MMWR_TRAD_AGG_STATE_COMP[],C$1,0),"ERROR")</f>
        <v>8004</v>
      </c>
      <c r="D24" s="110">
        <f>IFERROR(VLOOKUP($B24,MMWR_TRAD_AGG_STATE_COMP[],D$1,0),"ERROR")</f>
        <v>473.3996751624</v>
      </c>
      <c r="E24" s="111">
        <f>IFERROR(VLOOKUP($B24,MMWR_TRAD_AGG_STATE_COMP[],E$1,0),"ERROR")</f>
        <v>7535</v>
      </c>
      <c r="F24" s="112">
        <f>IFERROR(VLOOKUP($B24,MMWR_TRAD_AGG_STATE_COMP[],F$1,0),"ERROR")</f>
        <v>2275</v>
      </c>
      <c r="G24" s="113">
        <f t="shared" si="0"/>
        <v>0.30192435301924353</v>
      </c>
      <c r="H24" s="111">
        <f>IFERROR(VLOOKUP($B24,MMWR_TRAD_AGG_STATE_COMP[],H$1,0),"ERROR")</f>
        <v>10498</v>
      </c>
      <c r="I24" s="112">
        <f>IFERROR(VLOOKUP($B24,MMWR_TRAD_AGG_STATE_COMP[],I$1,0),"ERROR")</f>
        <v>7112</v>
      </c>
      <c r="J24" s="114">
        <f t="shared" si="1"/>
        <v>0.67746237378548291</v>
      </c>
      <c r="K24" s="111">
        <f>IFERROR(VLOOKUP($B24,MMWR_TRAD_AGG_STATE_COMP[],K$1,0),"ERROR")</f>
        <v>1487</v>
      </c>
      <c r="L24" s="112">
        <f>IFERROR(VLOOKUP($B24,MMWR_TRAD_AGG_STATE_COMP[],L$1,0),"ERROR")</f>
        <v>1372</v>
      </c>
      <c r="M24" s="114">
        <f t="shared" si="2"/>
        <v>0.92266308002689978</v>
      </c>
      <c r="N24" s="111">
        <f>IFERROR(VLOOKUP($B24,MMWR_TRAD_AGG_STATE_COMP[],N$1,0),"ERROR")</f>
        <v>2717</v>
      </c>
      <c r="O24" s="112">
        <f>IFERROR(VLOOKUP($B24,MMWR_TRAD_AGG_STATE_COMP[],O$1,0),"ERROR")</f>
        <v>1946</v>
      </c>
      <c r="P24" s="114">
        <f t="shared" si="3"/>
        <v>0.71623113728376886</v>
      </c>
      <c r="Q24" s="115">
        <f>IFERROR(VLOOKUP($B24,MMWR_TRAD_AGG_STATE_COMP[],Q$1,0),"ERROR")</f>
        <v>22</v>
      </c>
      <c r="R24" s="115">
        <f>IFERROR(VLOOKUP($B24,MMWR_TRAD_AGG_STATE_COMP[],R$1,0),"ERROR")</f>
        <v>282</v>
      </c>
      <c r="S24" s="115">
        <f>IFERROR(VLOOKUP($B24,MMWR_APP_STATE_COMP[],S$1,0),"ERROR")</f>
        <v>7729</v>
      </c>
      <c r="T24" s="28"/>
    </row>
    <row r="25" spans="1:20" s="123" customFormat="1" x14ac:dyDescent="0.2">
      <c r="A25" s="107"/>
      <c r="B25" s="127" t="s">
        <v>402</v>
      </c>
      <c r="C25" s="109">
        <f>IFERROR(VLOOKUP($B25,MMWR_TRAD_AGG_STATE_COMP[],C$1,0),"ERROR")</f>
        <v>8259</v>
      </c>
      <c r="D25" s="110">
        <f>IFERROR(VLOOKUP($B25,MMWR_TRAD_AGG_STATE_COMP[],D$1,0),"ERROR")</f>
        <v>660.91572829639995</v>
      </c>
      <c r="E25" s="111">
        <f>IFERROR(VLOOKUP($B25,MMWR_TRAD_AGG_STATE_COMP[],E$1,0),"ERROR")</f>
        <v>5131</v>
      </c>
      <c r="F25" s="112">
        <f>IFERROR(VLOOKUP($B25,MMWR_TRAD_AGG_STATE_COMP[],F$1,0),"ERROR")</f>
        <v>1338</v>
      </c>
      <c r="G25" s="113">
        <f t="shared" si="0"/>
        <v>0.26076788150458002</v>
      </c>
      <c r="H25" s="111">
        <f>IFERROR(VLOOKUP($B25,MMWR_TRAD_AGG_STATE_COMP[],H$1,0),"ERROR")</f>
        <v>11059</v>
      </c>
      <c r="I25" s="112">
        <f>IFERROR(VLOOKUP($B25,MMWR_TRAD_AGG_STATE_COMP[],I$1,0),"ERROR")</f>
        <v>7996</v>
      </c>
      <c r="J25" s="114">
        <f t="shared" si="1"/>
        <v>0.72303101546251924</v>
      </c>
      <c r="K25" s="111">
        <f>IFERROR(VLOOKUP($B25,MMWR_TRAD_AGG_STATE_COMP[],K$1,0),"ERROR")</f>
        <v>1136</v>
      </c>
      <c r="L25" s="112">
        <f>IFERROR(VLOOKUP($B25,MMWR_TRAD_AGG_STATE_COMP[],L$1,0),"ERROR")</f>
        <v>964</v>
      </c>
      <c r="M25" s="114">
        <f t="shared" si="2"/>
        <v>0.84859154929577463</v>
      </c>
      <c r="N25" s="111">
        <f>IFERROR(VLOOKUP($B25,MMWR_TRAD_AGG_STATE_COMP[],N$1,0),"ERROR")</f>
        <v>2218</v>
      </c>
      <c r="O25" s="112">
        <f>IFERROR(VLOOKUP($B25,MMWR_TRAD_AGG_STATE_COMP[],O$1,0),"ERROR")</f>
        <v>1491</v>
      </c>
      <c r="P25" s="114">
        <f t="shared" si="3"/>
        <v>0.67222723174030663</v>
      </c>
      <c r="Q25" s="115">
        <f>IFERROR(VLOOKUP($B25,MMWR_TRAD_AGG_STATE_COMP[],Q$1,0),"ERROR")</f>
        <v>21</v>
      </c>
      <c r="R25" s="115">
        <f>IFERROR(VLOOKUP($B25,MMWR_TRAD_AGG_STATE_COMP[],R$1,0),"ERROR")</f>
        <v>201</v>
      </c>
      <c r="S25" s="115">
        <f>IFERROR(VLOOKUP($B25,MMWR_APP_STATE_COMP[],S$1,0),"ERROR")</f>
        <v>8037</v>
      </c>
      <c r="T25" s="28"/>
    </row>
    <row r="26" spans="1:20" s="123" customFormat="1" x14ac:dyDescent="0.2">
      <c r="A26" s="107"/>
      <c r="B26" s="127" t="s">
        <v>409</v>
      </c>
      <c r="C26" s="109">
        <f>IFERROR(VLOOKUP($B26,MMWR_TRAD_AGG_STATE_COMP[],C$1,0),"ERROR")</f>
        <v>1733</v>
      </c>
      <c r="D26" s="110">
        <f>IFERROR(VLOOKUP($B26,MMWR_TRAD_AGG_STATE_COMP[],D$1,0),"ERROR")</f>
        <v>177.3768032314</v>
      </c>
      <c r="E26" s="111">
        <f>IFERROR(VLOOKUP($B26,MMWR_TRAD_AGG_STATE_COMP[],E$1,0),"ERROR")</f>
        <v>2407</v>
      </c>
      <c r="F26" s="112">
        <f>IFERROR(VLOOKUP($B26,MMWR_TRAD_AGG_STATE_COMP[],F$1,0),"ERROR")</f>
        <v>602</v>
      </c>
      <c r="G26" s="113">
        <f t="shared" si="0"/>
        <v>0.25010386373078519</v>
      </c>
      <c r="H26" s="111">
        <f>IFERROR(VLOOKUP($B26,MMWR_TRAD_AGG_STATE_COMP[],H$1,0),"ERROR")</f>
        <v>3357</v>
      </c>
      <c r="I26" s="112">
        <f>IFERROR(VLOOKUP($B26,MMWR_TRAD_AGG_STATE_COMP[],I$1,0),"ERROR")</f>
        <v>1228</v>
      </c>
      <c r="J26" s="114">
        <f t="shared" si="1"/>
        <v>0.365802800119154</v>
      </c>
      <c r="K26" s="111">
        <f>IFERROR(VLOOKUP($B26,MMWR_TRAD_AGG_STATE_COMP[],K$1,0),"ERROR")</f>
        <v>272</v>
      </c>
      <c r="L26" s="112">
        <f>IFERROR(VLOOKUP($B26,MMWR_TRAD_AGG_STATE_COMP[],L$1,0),"ERROR")</f>
        <v>222</v>
      </c>
      <c r="M26" s="114">
        <f t="shared" si="2"/>
        <v>0.81617647058823528</v>
      </c>
      <c r="N26" s="111">
        <f>IFERROR(VLOOKUP($B26,MMWR_TRAD_AGG_STATE_COMP[],N$1,0),"ERROR")</f>
        <v>1283</v>
      </c>
      <c r="O26" s="112">
        <f>IFERROR(VLOOKUP($B26,MMWR_TRAD_AGG_STATE_COMP[],O$1,0),"ERROR")</f>
        <v>1065</v>
      </c>
      <c r="P26" s="114">
        <f t="shared" si="3"/>
        <v>0.83008573655494933</v>
      </c>
      <c r="Q26" s="115">
        <f>IFERROR(VLOOKUP($B26,MMWR_TRAD_AGG_STATE_COMP[],Q$1,0),"ERROR")</f>
        <v>0</v>
      </c>
      <c r="R26" s="115">
        <f>IFERROR(VLOOKUP($B26,MMWR_TRAD_AGG_STATE_COMP[],R$1,0),"ERROR")</f>
        <v>12</v>
      </c>
      <c r="S26" s="115">
        <f>IFERROR(VLOOKUP($B26,MMWR_APP_STATE_COMP[],S$1,0),"ERROR")</f>
        <v>1230</v>
      </c>
      <c r="T26" s="28"/>
    </row>
    <row r="27" spans="1:20" s="123" customFormat="1" x14ac:dyDescent="0.2">
      <c r="A27" s="107"/>
      <c r="B27" s="127" t="s">
        <v>432</v>
      </c>
      <c r="C27" s="109">
        <f>IFERROR(VLOOKUP($B27,MMWR_TRAD_AGG_STATE_COMP[],C$1,0),"ERROR")</f>
        <v>1944</v>
      </c>
      <c r="D27" s="110">
        <f>IFERROR(VLOOKUP($B27,MMWR_TRAD_AGG_STATE_COMP[],D$1,0),"ERROR")</f>
        <v>241.9819958848</v>
      </c>
      <c r="E27" s="111">
        <f>IFERROR(VLOOKUP($B27,MMWR_TRAD_AGG_STATE_COMP[],E$1,0),"ERROR")</f>
        <v>2665</v>
      </c>
      <c r="F27" s="112">
        <f>IFERROR(VLOOKUP($B27,MMWR_TRAD_AGG_STATE_COMP[],F$1,0),"ERROR")</f>
        <v>619</v>
      </c>
      <c r="G27" s="113">
        <f t="shared" si="0"/>
        <v>0.2322701688555347</v>
      </c>
      <c r="H27" s="111">
        <f>IFERROR(VLOOKUP($B27,MMWR_TRAD_AGG_STATE_COMP[],H$1,0),"ERROR")</f>
        <v>3540</v>
      </c>
      <c r="I27" s="112">
        <f>IFERROR(VLOOKUP($B27,MMWR_TRAD_AGG_STATE_COMP[],I$1,0),"ERROR")</f>
        <v>1414</v>
      </c>
      <c r="J27" s="114">
        <f t="shared" si="1"/>
        <v>0.39943502824858756</v>
      </c>
      <c r="K27" s="111">
        <f>IFERROR(VLOOKUP($B27,MMWR_TRAD_AGG_STATE_COMP[],K$1,0),"ERROR")</f>
        <v>401</v>
      </c>
      <c r="L27" s="112">
        <f>IFERROR(VLOOKUP($B27,MMWR_TRAD_AGG_STATE_COMP[],L$1,0),"ERROR")</f>
        <v>250</v>
      </c>
      <c r="M27" s="114">
        <f t="shared" si="2"/>
        <v>0.62344139650872821</v>
      </c>
      <c r="N27" s="111">
        <f>IFERROR(VLOOKUP($B27,MMWR_TRAD_AGG_STATE_COMP[],N$1,0),"ERROR")</f>
        <v>429</v>
      </c>
      <c r="O27" s="112">
        <f>IFERROR(VLOOKUP($B27,MMWR_TRAD_AGG_STATE_COMP[],O$1,0),"ERROR")</f>
        <v>201</v>
      </c>
      <c r="P27" s="114">
        <f t="shared" si="3"/>
        <v>0.46853146853146854</v>
      </c>
      <c r="Q27" s="115">
        <f>IFERROR(VLOOKUP($B27,MMWR_TRAD_AGG_STATE_COMP[],Q$1,0),"ERROR")</f>
        <v>1</v>
      </c>
      <c r="R27" s="115">
        <f>IFERROR(VLOOKUP($B27,MMWR_TRAD_AGG_STATE_COMP[],R$1,0),"ERROR")</f>
        <v>15</v>
      </c>
      <c r="S27" s="115">
        <f>IFERROR(VLOOKUP($B27,MMWR_APP_STATE_COMP[],S$1,0),"ERROR")</f>
        <v>1398</v>
      </c>
      <c r="T27" s="28"/>
    </row>
    <row r="28" spans="1:20" s="123" customFormat="1" x14ac:dyDescent="0.2">
      <c r="A28" s="107"/>
      <c r="B28" s="127" t="s">
        <v>405</v>
      </c>
      <c r="C28" s="109">
        <f>IFERROR(VLOOKUP($B28,MMWR_TRAD_AGG_STATE_COMP[],C$1,0),"ERROR")</f>
        <v>3955</v>
      </c>
      <c r="D28" s="110">
        <f>IFERROR(VLOOKUP($B28,MMWR_TRAD_AGG_STATE_COMP[],D$1,0),"ERROR")</f>
        <v>252.44905183309999</v>
      </c>
      <c r="E28" s="111">
        <f>IFERROR(VLOOKUP($B28,MMWR_TRAD_AGG_STATE_COMP[],E$1,0),"ERROR")</f>
        <v>7661</v>
      </c>
      <c r="F28" s="112">
        <f>IFERROR(VLOOKUP($B28,MMWR_TRAD_AGG_STATE_COMP[],F$1,0),"ERROR")</f>
        <v>2173</v>
      </c>
      <c r="G28" s="113">
        <f t="shared" si="0"/>
        <v>0.28364443284166557</v>
      </c>
      <c r="H28" s="111">
        <f>IFERROR(VLOOKUP($B28,MMWR_TRAD_AGG_STATE_COMP[],H$1,0),"ERROR")</f>
        <v>7800</v>
      </c>
      <c r="I28" s="112">
        <f>IFERROR(VLOOKUP($B28,MMWR_TRAD_AGG_STATE_COMP[],I$1,0),"ERROR")</f>
        <v>3437</v>
      </c>
      <c r="J28" s="114">
        <f t="shared" si="1"/>
        <v>0.44064102564102564</v>
      </c>
      <c r="K28" s="111">
        <f>IFERROR(VLOOKUP($B28,MMWR_TRAD_AGG_STATE_COMP[],K$1,0),"ERROR")</f>
        <v>975</v>
      </c>
      <c r="L28" s="112">
        <f>IFERROR(VLOOKUP($B28,MMWR_TRAD_AGG_STATE_COMP[],L$1,0),"ERROR")</f>
        <v>792</v>
      </c>
      <c r="M28" s="114">
        <f t="shared" si="2"/>
        <v>0.81230769230769229</v>
      </c>
      <c r="N28" s="111">
        <f>IFERROR(VLOOKUP($B28,MMWR_TRAD_AGG_STATE_COMP[],N$1,0),"ERROR")</f>
        <v>1223</v>
      </c>
      <c r="O28" s="112">
        <f>IFERROR(VLOOKUP($B28,MMWR_TRAD_AGG_STATE_COMP[],O$1,0),"ERROR")</f>
        <v>740</v>
      </c>
      <c r="P28" s="114">
        <f t="shared" si="3"/>
        <v>0.60506950122649228</v>
      </c>
      <c r="Q28" s="115">
        <f>IFERROR(VLOOKUP($B28,MMWR_TRAD_AGG_STATE_COMP[],Q$1,0),"ERROR")</f>
        <v>29</v>
      </c>
      <c r="R28" s="115">
        <f>IFERROR(VLOOKUP($B28,MMWR_TRAD_AGG_STATE_COMP[],R$1,0),"ERROR")</f>
        <v>198</v>
      </c>
      <c r="S28" s="115">
        <f>IFERROR(VLOOKUP($B28,MMWR_APP_STATE_COMP[],S$1,0),"ERROR")</f>
        <v>6365</v>
      </c>
      <c r="T28" s="28"/>
    </row>
    <row r="29" spans="1:20" s="123" customFormat="1" x14ac:dyDescent="0.2">
      <c r="A29" s="107"/>
      <c r="B29" s="127" t="s">
        <v>411</v>
      </c>
      <c r="C29" s="109">
        <f>IFERROR(VLOOKUP($B29,MMWR_TRAD_AGG_STATE_COMP[],C$1,0),"ERROR")</f>
        <v>1528</v>
      </c>
      <c r="D29" s="110">
        <f>IFERROR(VLOOKUP($B29,MMWR_TRAD_AGG_STATE_COMP[],D$1,0),"ERROR")</f>
        <v>196.80497382199999</v>
      </c>
      <c r="E29" s="111">
        <f>IFERROR(VLOOKUP($B29,MMWR_TRAD_AGG_STATE_COMP[],E$1,0),"ERROR")</f>
        <v>5349</v>
      </c>
      <c r="F29" s="112">
        <f>IFERROR(VLOOKUP($B29,MMWR_TRAD_AGG_STATE_COMP[],F$1,0),"ERROR")</f>
        <v>1274</v>
      </c>
      <c r="G29" s="113">
        <f t="shared" si="0"/>
        <v>0.23817535988035146</v>
      </c>
      <c r="H29" s="111">
        <f>IFERROR(VLOOKUP($B29,MMWR_TRAD_AGG_STATE_COMP[],H$1,0),"ERROR")</f>
        <v>4951</v>
      </c>
      <c r="I29" s="112">
        <f>IFERROR(VLOOKUP($B29,MMWR_TRAD_AGG_STATE_COMP[],I$1,0),"ERROR")</f>
        <v>1198</v>
      </c>
      <c r="J29" s="114">
        <f t="shared" si="1"/>
        <v>0.24197131892546961</v>
      </c>
      <c r="K29" s="111">
        <f>IFERROR(VLOOKUP($B29,MMWR_TRAD_AGG_STATE_COMP[],K$1,0),"ERROR")</f>
        <v>330</v>
      </c>
      <c r="L29" s="112">
        <f>IFERROR(VLOOKUP($B29,MMWR_TRAD_AGG_STATE_COMP[],L$1,0),"ERROR")</f>
        <v>241</v>
      </c>
      <c r="M29" s="114">
        <f t="shared" si="2"/>
        <v>0.73030303030303034</v>
      </c>
      <c r="N29" s="111">
        <f>IFERROR(VLOOKUP($B29,MMWR_TRAD_AGG_STATE_COMP[],N$1,0),"ERROR")</f>
        <v>1194</v>
      </c>
      <c r="O29" s="112">
        <f>IFERROR(VLOOKUP($B29,MMWR_TRAD_AGG_STATE_COMP[],O$1,0),"ERROR")</f>
        <v>598</v>
      </c>
      <c r="P29" s="114">
        <f t="shared" si="3"/>
        <v>0.50083752093802347</v>
      </c>
      <c r="Q29" s="115">
        <f>IFERROR(VLOOKUP($B29,MMWR_TRAD_AGG_STATE_COMP[],Q$1,0),"ERROR")</f>
        <v>5</v>
      </c>
      <c r="R29" s="115">
        <f>IFERROR(VLOOKUP($B29,MMWR_TRAD_AGG_STATE_COMP[],R$1,0),"ERROR")</f>
        <v>2</v>
      </c>
      <c r="S29" s="115">
        <f>IFERROR(VLOOKUP($B29,MMWR_APP_STATE_COMP[],S$1,0),"ERROR")</f>
        <v>2165</v>
      </c>
      <c r="T29" s="28"/>
    </row>
    <row r="30" spans="1:20" s="123" customFormat="1" x14ac:dyDescent="0.2">
      <c r="A30" s="107"/>
      <c r="B30" s="127" t="s">
        <v>407</v>
      </c>
      <c r="C30" s="109">
        <f>IFERROR(VLOOKUP($B30,MMWR_TRAD_AGG_STATE_COMP[],C$1,0),"ERROR")</f>
        <v>6051</v>
      </c>
      <c r="D30" s="110">
        <f>IFERROR(VLOOKUP($B30,MMWR_TRAD_AGG_STATE_COMP[],D$1,0),"ERROR")</f>
        <v>280.07668154020001</v>
      </c>
      <c r="E30" s="111">
        <f>IFERROR(VLOOKUP($B30,MMWR_TRAD_AGG_STATE_COMP[],E$1,0),"ERROR")</f>
        <v>5463</v>
      </c>
      <c r="F30" s="112">
        <f>IFERROR(VLOOKUP($B30,MMWR_TRAD_AGG_STATE_COMP[],F$1,0),"ERROR")</f>
        <v>1206</v>
      </c>
      <c r="G30" s="113">
        <f t="shared" si="0"/>
        <v>0.22075782537067545</v>
      </c>
      <c r="H30" s="111">
        <f>IFERROR(VLOOKUP($B30,MMWR_TRAD_AGG_STATE_COMP[],H$1,0),"ERROR")</f>
        <v>9047</v>
      </c>
      <c r="I30" s="112">
        <f>IFERROR(VLOOKUP($B30,MMWR_TRAD_AGG_STATE_COMP[],I$1,0),"ERROR")</f>
        <v>5328</v>
      </c>
      <c r="J30" s="114">
        <f t="shared" si="1"/>
        <v>0.58892450536089314</v>
      </c>
      <c r="K30" s="111">
        <f>IFERROR(VLOOKUP($B30,MMWR_TRAD_AGG_STATE_COMP[],K$1,0),"ERROR")</f>
        <v>2153</v>
      </c>
      <c r="L30" s="112">
        <f>IFERROR(VLOOKUP($B30,MMWR_TRAD_AGG_STATE_COMP[],L$1,0),"ERROR")</f>
        <v>1997</v>
      </c>
      <c r="M30" s="114">
        <f t="shared" si="2"/>
        <v>0.92754296330701347</v>
      </c>
      <c r="N30" s="111">
        <f>IFERROR(VLOOKUP($B30,MMWR_TRAD_AGG_STATE_COMP[],N$1,0),"ERROR")</f>
        <v>5974</v>
      </c>
      <c r="O30" s="112">
        <f>IFERROR(VLOOKUP($B30,MMWR_TRAD_AGG_STATE_COMP[],O$1,0),"ERROR")</f>
        <v>4509</v>
      </c>
      <c r="P30" s="114">
        <f t="shared" si="3"/>
        <v>0.75477067291596922</v>
      </c>
      <c r="Q30" s="115">
        <f>IFERROR(VLOOKUP($B30,MMWR_TRAD_AGG_STATE_COMP[],Q$1,0),"ERROR")</f>
        <v>13</v>
      </c>
      <c r="R30" s="115">
        <f>IFERROR(VLOOKUP($B30,MMWR_TRAD_AGG_STATE_COMP[],R$1,0),"ERROR")</f>
        <v>108</v>
      </c>
      <c r="S30" s="115">
        <f>IFERROR(VLOOKUP($B30,MMWR_APP_STATE_COMP[],S$1,0),"ERROR")</f>
        <v>6811</v>
      </c>
      <c r="T30" s="28"/>
    </row>
    <row r="31" spans="1:20" s="123" customFormat="1" x14ac:dyDescent="0.2">
      <c r="A31" s="107"/>
      <c r="B31" s="127" t="s">
        <v>410</v>
      </c>
      <c r="C31" s="109">
        <f>IFERROR(VLOOKUP($B31,MMWR_TRAD_AGG_STATE_COMP[],C$1,0),"ERROR")</f>
        <v>1314</v>
      </c>
      <c r="D31" s="110">
        <f>IFERROR(VLOOKUP($B31,MMWR_TRAD_AGG_STATE_COMP[],D$1,0),"ERROR")</f>
        <v>205.31659056320001</v>
      </c>
      <c r="E31" s="111">
        <f>IFERROR(VLOOKUP($B31,MMWR_TRAD_AGG_STATE_COMP[],E$1,0),"ERROR")</f>
        <v>1949</v>
      </c>
      <c r="F31" s="112">
        <f>IFERROR(VLOOKUP($B31,MMWR_TRAD_AGG_STATE_COMP[],F$1,0),"ERROR")</f>
        <v>324</v>
      </c>
      <c r="G31" s="113">
        <f t="shared" si="0"/>
        <v>0.16623909697280656</v>
      </c>
      <c r="H31" s="111">
        <f>IFERROR(VLOOKUP($B31,MMWR_TRAD_AGG_STATE_COMP[],H$1,0),"ERROR")</f>
        <v>2613</v>
      </c>
      <c r="I31" s="112">
        <f>IFERROR(VLOOKUP($B31,MMWR_TRAD_AGG_STATE_COMP[],I$1,0),"ERROR")</f>
        <v>771</v>
      </c>
      <c r="J31" s="114">
        <f t="shared" si="1"/>
        <v>0.29506314580941445</v>
      </c>
      <c r="K31" s="111">
        <f>IFERROR(VLOOKUP($B31,MMWR_TRAD_AGG_STATE_COMP[],K$1,0),"ERROR")</f>
        <v>883</v>
      </c>
      <c r="L31" s="112">
        <f>IFERROR(VLOOKUP($B31,MMWR_TRAD_AGG_STATE_COMP[],L$1,0),"ERROR")</f>
        <v>449</v>
      </c>
      <c r="M31" s="114">
        <f t="shared" si="2"/>
        <v>0.50849377123442807</v>
      </c>
      <c r="N31" s="111">
        <f>IFERROR(VLOOKUP($B31,MMWR_TRAD_AGG_STATE_COMP[],N$1,0),"ERROR")</f>
        <v>403</v>
      </c>
      <c r="O31" s="112">
        <f>IFERROR(VLOOKUP($B31,MMWR_TRAD_AGG_STATE_COMP[],O$1,0),"ERROR")</f>
        <v>159</v>
      </c>
      <c r="P31" s="114">
        <f t="shared" si="3"/>
        <v>0.39454094292803971</v>
      </c>
      <c r="Q31" s="115">
        <f>IFERROR(VLOOKUP($B31,MMWR_TRAD_AGG_STATE_COMP[],Q$1,0),"ERROR")</f>
        <v>1</v>
      </c>
      <c r="R31" s="115">
        <f>IFERROR(VLOOKUP($B31,MMWR_TRAD_AGG_STATE_COMP[],R$1,0),"ERROR")</f>
        <v>14</v>
      </c>
      <c r="S31" s="115">
        <f>IFERROR(VLOOKUP($B31,MMWR_APP_STATE_COMP[],S$1,0),"ERROR")</f>
        <v>1571</v>
      </c>
      <c r="T31" s="28"/>
    </row>
    <row r="32" spans="1:20" s="123" customFormat="1" x14ac:dyDescent="0.2">
      <c r="A32" s="107"/>
      <c r="B32" s="127" t="s">
        <v>429</v>
      </c>
      <c r="C32" s="109">
        <f>IFERROR(VLOOKUP($B32,MMWR_TRAD_AGG_STATE_COMP[],C$1,0),"ERROR")</f>
        <v>253</v>
      </c>
      <c r="D32" s="110">
        <f>IFERROR(VLOOKUP($B32,MMWR_TRAD_AGG_STATE_COMP[],D$1,0),"ERROR")</f>
        <v>218</v>
      </c>
      <c r="E32" s="111">
        <f>IFERROR(VLOOKUP($B32,MMWR_TRAD_AGG_STATE_COMP[],E$1,0),"ERROR")</f>
        <v>645</v>
      </c>
      <c r="F32" s="112">
        <f>IFERROR(VLOOKUP($B32,MMWR_TRAD_AGG_STATE_COMP[],F$1,0),"ERROR")</f>
        <v>129</v>
      </c>
      <c r="G32" s="113">
        <f t="shared" si="0"/>
        <v>0.2</v>
      </c>
      <c r="H32" s="111">
        <f>IFERROR(VLOOKUP($B32,MMWR_TRAD_AGG_STATE_COMP[],H$1,0),"ERROR")</f>
        <v>640</v>
      </c>
      <c r="I32" s="112">
        <f>IFERROR(VLOOKUP($B32,MMWR_TRAD_AGG_STATE_COMP[],I$1,0),"ERROR")</f>
        <v>148</v>
      </c>
      <c r="J32" s="114">
        <f t="shared" si="1"/>
        <v>0.23125000000000001</v>
      </c>
      <c r="K32" s="111">
        <f>IFERROR(VLOOKUP($B32,MMWR_TRAD_AGG_STATE_COMP[],K$1,0),"ERROR")</f>
        <v>81</v>
      </c>
      <c r="L32" s="112">
        <f>IFERROR(VLOOKUP($B32,MMWR_TRAD_AGG_STATE_COMP[],L$1,0),"ERROR")</f>
        <v>43</v>
      </c>
      <c r="M32" s="114">
        <f t="shared" si="2"/>
        <v>0.53086419753086422</v>
      </c>
      <c r="N32" s="111">
        <f>IFERROR(VLOOKUP($B32,MMWR_TRAD_AGG_STATE_COMP[],N$1,0),"ERROR")</f>
        <v>111</v>
      </c>
      <c r="O32" s="112">
        <f>IFERROR(VLOOKUP($B32,MMWR_TRAD_AGG_STATE_COMP[],O$1,0),"ERROR")</f>
        <v>46</v>
      </c>
      <c r="P32" s="114">
        <f t="shared" si="3"/>
        <v>0.4144144144144144</v>
      </c>
      <c r="Q32" s="115">
        <f>IFERROR(VLOOKUP($B32,MMWR_TRAD_AGG_STATE_COMP[],Q$1,0),"ERROR")</f>
        <v>0</v>
      </c>
      <c r="R32" s="115">
        <f>IFERROR(VLOOKUP($B32,MMWR_TRAD_AGG_STATE_COMP[],R$1,0),"ERROR")</f>
        <v>0</v>
      </c>
      <c r="S32" s="115">
        <f>IFERROR(VLOOKUP($B32,MMWR_APP_STATE_COMP[],S$1,0),"ERROR")</f>
        <v>394</v>
      </c>
      <c r="T32" s="28"/>
    </row>
    <row r="33" spans="1:20" s="123" customFormat="1" x14ac:dyDescent="0.2">
      <c r="A33" s="107"/>
      <c r="B33" s="127" t="s">
        <v>401</v>
      </c>
      <c r="C33" s="109">
        <f>IFERROR(VLOOKUP($B33,MMWR_TRAD_AGG_STATE_COMP[],C$1,0),"ERROR")</f>
        <v>9513</v>
      </c>
      <c r="D33" s="110">
        <f>IFERROR(VLOOKUP($B33,MMWR_TRAD_AGG_STATE_COMP[],D$1,0),"ERROR")</f>
        <v>488.40765268579997</v>
      </c>
      <c r="E33" s="111">
        <f>IFERROR(VLOOKUP($B33,MMWR_TRAD_AGG_STATE_COMP[],E$1,0),"ERROR")</f>
        <v>8597</v>
      </c>
      <c r="F33" s="112">
        <f>IFERROR(VLOOKUP($B33,MMWR_TRAD_AGG_STATE_COMP[],F$1,0),"ERROR")</f>
        <v>2256</v>
      </c>
      <c r="G33" s="113">
        <f t="shared" si="0"/>
        <v>0.26241712225194835</v>
      </c>
      <c r="H33" s="111">
        <f>IFERROR(VLOOKUP($B33,MMWR_TRAD_AGG_STATE_COMP[],H$1,0),"ERROR")</f>
        <v>13084</v>
      </c>
      <c r="I33" s="112">
        <f>IFERROR(VLOOKUP($B33,MMWR_TRAD_AGG_STATE_COMP[],I$1,0),"ERROR")</f>
        <v>9648</v>
      </c>
      <c r="J33" s="114">
        <f t="shared" si="1"/>
        <v>0.73738917762152245</v>
      </c>
      <c r="K33" s="111">
        <f>IFERROR(VLOOKUP($B33,MMWR_TRAD_AGG_STATE_COMP[],K$1,0),"ERROR")</f>
        <v>1606</v>
      </c>
      <c r="L33" s="112">
        <f>IFERROR(VLOOKUP($B33,MMWR_TRAD_AGG_STATE_COMP[],L$1,0),"ERROR")</f>
        <v>1510</v>
      </c>
      <c r="M33" s="114">
        <f t="shared" si="2"/>
        <v>0.94022415940224158</v>
      </c>
      <c r="N33" s="111">
        <f>IFERROR(VLOOKUP($B33,MMWR_TRAD_AGG_STATE_COMP[],N$1,0),"ERROR")</f>
        <v>5801</v>
      </c>
      <c r="O33" s="112">
        <f>IFERROR(VLOOKUP($B33,MMWR_TRAD_AGG_STATE_COMP[],O$1,0),"ERROR")</f>
        <v>3488</v>
      </c>
      <c r="P33" s="114">
        <f t="shared" si="3"/>
        <v>0.60127564213066709</v>
      </c>
      <c r="Q33" s="115">
        <f>IFERROR(VLOOKUP($B33,MMWR_TRAD_AGG_STATE_COMP[],Q$1,0),"ERROR")</f>
        <v>40</v>
      </c>
      <c r="R33" s="115">
        <f>IFERROR(VLOOKUP($B33,MMWR_TRAD_AGG_STATE_COMP[],R$1,0),"ERROR")</f>
        <v>341</v>
      </c>
      <c r="S33" s="115">
        <f>IFERROR(VLOOKUP($B33,MMWR_APP_STATE_COMP[],S$1,0),"ERROR")</f>
        <v>13929</v>
      </c>
      <c r="T33" s="28"/>
    </row>
    <row r="34" spans="1:20" s="123" customFormat="1" x14ac:dyDescent="0.2">
      <c r="A34" s="107"/>
      <c r="B34" s="127" t="s">
        <v>430</v>
      </c>
      <c r="C34" s="109">
        <f>IFERROR(VLOOKUP($B34,MMWR_TRAD_AGG_STATE_COMP[],C$1,0),"ERROR")</f>
        <v>627</v>
      </c>
      <c r="D34" s="110">
        <f>IFERROR(VLOOKUP($B34,MMWR_TRAD_AGG_STATE_COMP[],D$1,0),"ERROR")</f>
        <v>175.8803827751</v>
      </c>
      <c r="E34" s="111">
        <f>IFERROR(VLOOKUP($B34,MMWR_TRAD_AGG_STATE_COMP[],E$1,0),"ERROR")</f>
        <v>897</v>
      </c>
      <c r="F34" s="112">
        <f>IFERROR(VLOOKUP($B34,MMWR_TRAD_AGG_STATE_COMP[],F$1,0),"ERROR")</f>
        <v>215</v>
      </c>
      <c r="G34" s="113">
        <f t="shared" si="0"/>
        <v>0.23968784838350055</v>
      </c>
      <c r="H34" s="111">
        <f>IFERROR(VLOOKUP($B34,MMWR_TRAD_AGG_STATE_COMP[],H$1,0),"ERROR")</f>
        <v>1157</v>
      </c>
      <c r="I34" s="112">
        <f>IFERROR(VLOOKUP($B34,MMWR_TRAD_AGG_STATE_COMP[],I$1,0),"ERROR")</f>
        <v>258</v>
      </c>
      <c r="J34" s="114">
        <f t="shared" si="1"/>
        <v>0.222990492653414</v>
      </c>
      <c r="K34" s="111">
        <f>IFERROR(VLOOKUP($B34,MMWR_TRAD_AGG_STATE_COMP[],K$1,0),"ERROR")</f>
        <v>386</v>
      </c>
      <c r="L34" s="112">
        <f>IFERROR(VLOOKUP($B34,MMWR_TRAD_AGG_STATE_COMP[],L$1,0),"ERROR")</f>
        <v>100</v>
      </c>
      <c r="M34" s="114">
        <f t="shared" si="2"/>
        <v>0.25906735751295334</v>
      </c>
      <c r="N34" s="111">
        <f>IFERROR(VLOOKUP($B34,MMWR_TRAD_AGG_STATE_COMP[],N$1,0),"ERROR")</f>
        <v>131</v>
      </c>
      <c r="O34" s="112">
        <f>IFERROR(VLOOKUP($B34,MMWR_TRAD_AGG_STATE_COMP[],O$1,0),"ERROR")</f>
        <v>55</v>
      </c>
      <c r="P34" s="114">
        <f t="shared" si="3"/>
        <v>0.41984732824427479</v>
      </c>
      <c r="Q34" s="115">
        <f>IFERROR(VLOOKUP($B34,MMWR_TRAD_AGG_STATE_COMP[],Q$1,0),"ERROR")</f>
        <v>1</v>
      </c>
      <c r="R34" s="115">
        <f>IFERROR(VLOOKUP($B34,MMWR_TRAD_AGG_STATE_COMP[],R$1,0),"ERROR")</f>
        <v>1</v>
      </c>
      <c r="S34" s="115">
        <f>IFERROR(VLOOKUP($B34,MMWR_APP_STATE_COMP[],S$1,0),"ERROR")</f>
        <v>197</v>
      </c>
      <c r="T34" s="28"/>
    </row>
    <row r="35" spans="1:20" s="123" customFormat="1" x14ac:dyDescent="0.2">
      <c r="A35" s="107"/>
      <c r="B35" s="127" t="s">
        <v>406</v>
      </c>
      <c r="C35" s="109">
        <f>IFERROR(VLOOKUP($B35,MMWR_TRAD_AGG_STATE_COMP[],C$1,0),"ERROR")</f>
        <v>5095</v>
      </c>
      <c r="D35" s="110">
        <f>IFERROR(VLOOKUP($B35,MMWR_TRAD_AGG_STATE_COMP[],D$1,0),"ERROR")</f>
        <v>234.6855740922</v>
      </c>
      <c r="E35" s="111">
        <f>IFERROR(VLOOKUP($B35,MMWR_TRAD_AGG_STATE_COMP[],E$1,0),"ERROR")</f>
        <v>3801</v>
      </c>
      <c r="F35" s="112">
        <f>IFERROR(VLOOKUP($B35,MMWR_TRAD_AGG_STATE_COMP[],F$1,0),"ERROR")</f>
        <v>959</v>
      </c>
      <c r="G35" s="113">
        <f t="shared" si="0"/>
        <v>0.25230202578268879</v>
      </c>
      <c r="H35" s="111">
        <f>IFERROR(VLOOKUP($B35,MMWR_TRAD_AGG_STATE_COMP[],H$1,0),"ERROR")</f>
        <v>6940</v>
      </c>
      <c r="I35" s="112">
        <f>IFERROR(VLOOKUP($B35,MMWR_TRAD_AGG_STATE_COMP[],I$1,0),"ERROR")</f>
        <v>3586</v>
      </c>
      <c r="J35" s="114">
        <f t="shared" si="1"/>
        <v>0.51671469740634002</v>
      </c>
      <c r="K35" s="111">
        <f>IFERROR(VLOOKUP($B35,MMWR_TRAD_AGG_STATE_COMP[],K$1,0),"ERROR")</f>
        <v>324</v>
      </c>
      <c r="L35" s="112">
        <f>IFERROR(VLOOKUP($B35,MMWR_TRAD_AGG_STATE_COMP[],L$1,0),"ERROR")</f>
        <v>256</v>
      </c>
      <c r="M35" s="114">
        <f t="shared" si="2"/>
        <v>0.79012345679012341</v>
      </c>
      <c r="N35" s="111">
        <f>IFERROR(VLOOKUP($B35,MMWR_TRAD_AGG_STATE_COMP[],N$1,0),"ERROR")</f>
        <v>768</v>
      </c>
      <c r="O35" s="112">
        <f>IFERROR(VLOOKUP($B35,MMWR_TRAD_AGG_STATE_COMP[],O$1,0),"ERROR")</f>
        <v>383</v>
      </c>
      <c r="P35" s="114">
        <f t="shared" si="3"/>
        <v>0.49869791666666669</v>
      </c>
      <c r="Q35" s="115">
        <f>IFERROR(VLOOKUP($B35,MMWR_TRAD_AGG_STATE_COMP[],Q$1,0),"ERROR")</f>
        <v>6</v>
      </c>
      <c r="R35" s="115">
        <f>IFERROR(VLOOKUP($B35,MMWR_TRAD_AGG_STATE_COMP[],R$1,0),"ERROR")</f>
        <v>9</v>
      </c>
      <c r="S35" s="115">
        <f>IFERROR(VLOOKUP($B35,MMWR_APP_STATE_COMP[],S$1,0),"ERROR")</f>
        <v>3207</v>
      </c>
      <c r="T35" s="28"/>
    </row>
    <row r="36" spans="1:20" s="123" customFormat="1" x14ac:dyDescent="0.2">
      <c r="A36" s="28"/>
      <c r="B36" s="126" t="s">
        <v>395</v>
      </c>
      <c r="C36" s="102">
        <f>IF(SUM(C37:C45)&lt;&gt;VLOOKUP($B36,MMWR_TRAD_AGG_ST_DISTRICT_COMP[],C$1,0),"ERROR",
VLOOKUP($B36,MMWR_TRAD_AGG_ST_DISTRICT_COMP[],C$1,0))</f>
        <v>66306</v>
      </c>
      <c r="D36" s="103">
        <f>IFERROR(VLOOKUP($B36,MMWR_TRAD_AGG_ST_DISTRICT_COMP[],D$1,0),"ERROR")</f>
        <v>344.18227611380001</v>
      </c>
      <c r="E36" s="102">
        <f>IFERROR(VLOOKUP($B36,MMWR_TRAD_AGG_ST_DISTRICT_COMP[],E$1,0),"ERROR")</f>
        <v>69146</v>
      </c>
      <c r="F36" s="102">
        <f>IFERROR(VLOOKUP($B36,MMWR_TRAD_AGG_ST_DISTRICT_COMP[],F$1,0),"ERROR")</f>
        <v>19661</v>
      </c>
      <c r="G36" s="104">
        <f t="shared" si="0"/>
        <v>0.28434038122234112</v>
      </c>
      <c r="H36" s="102">
        <f>IFERROR(VLOOKUP($B36,MMWR_TRAD_AGG_ST_DISTRICT_COMP[],H$1,0),"ERROR")</f>
        <v>95208</v>
      </c>
      <c r="I36" s="102">
        <f>IFERROR(VLOOKUP($B36,MMWR_TRAD_AGG_ST_DISTRICT_COMP[],I$1,0),"ERROR")</f>
        <v>54350</v>
      </c>
      <c r="J36" s="105">
        <f t="shared" si="1"/>
        <v>0.57085539030333587</v>
      </c>
      <c r="K36" s="102">
        <f>IFERROR(VLOOKUP($B36,MMWR_TRAD_AGG_ST_DISTRICT_COMP[],K$1,0),"ERROR")</f>
        <v>13443</v>
      </c>
      <c r="L36" s="102">
        <f>IFERROR(VLOOKUP($B36,MMWR_TRAD_AGG_ST_DISTRICT_COMP[],L$1,0),"ERROR")</f>
        <v>9519</v>
      </c>
      <c r="M36" s="105">
        <f t="shared" si="2"/>
        <v>0.70810087034144165</v>
      </c>
      <c r="N36" s="102">
        <f>IFERROR(VLOOKUP($B36,MMWR_TRAD_AGG_ST_DISTRICT_COMP[],N$1,0),"ERROR")</f>
        <v>24692</v>
      </c>
      <c r="O36" s="102">
        <f>IFERROR(VLOOKUP($B36,MMWR_TRAD_AGG_ST_DISTRICT_COMP[],O$1,0),"ERROR")</f>
        <v>15454</v>
      </c>
      <c r="P36" s="105">
        <f t="shared" si="3"/>
        <v>0.62587072736108862</v>
      </c>
      <c r="Q36" s="102">
        <f>IFERROR(VLOOKUP($B36,MMWR_TRAD_AGG_ST_DISTRICT_COMP[],Q$1,0),"ERROR")</f>
        <v>103</v>
      </c>
      <c r="R36" s="106">
        <f>IFERROR(VLOOKUP($B36,MMWR_TRAD_AGG_ST_DISTRICT_COMP[],R$1,0),"ERROR")</f>
        <v>1207</v>
      </c>
      <c r="S36" s="106">
        <f>SUM(S37:S45)</f>
        <v>66840</v>
      </c>
      <c r="T36" s="28"/>
    </row>
    <row r="37" spans="1:20" s="123" customFormat="1" x14ac:dyDescent="0.2">
      <c r="A37" s="28"/>
      <c r="B37" s="127" t="s">
        <v>421</v>
      </c>
      <c r="C37" s="109">
        <f>IFERROR(VLOOKUP($B37,MMWR_TRAD_AGG_STATE_COMP[],C$1,0),"ERROR")</f>
        <v>5416</v>
      </c>
      <c r="D37" s="110">
        <f>IFERROR(VLOOKUP($B37,MMWR_TRAD_AGG_STATE_COMP[],D$1,0),"ERROR")</f>
        <v>340.75055391429999</v>
      </c>
      <c r="E37" s="111">
        <f>IFERROR(VLOOKUP($B37,MMWR_TRAD_AGG_STATE_COMP[],E$1,0),"ERROR")</f>
        <v>3611</v>
      </c>
      <c r="F37" s="112">
        <f>IFERROR(VLOOKUP($B37,MMWR_TRAD_AGG_STATE_COMP[],F$1,0),"ERROR")</f>
        <v>701</v>
      </c>
      <c r="G37" s="113">
        <f t="shared" si="0"/>
        <v>0.19412905012461923</v>
      </c>
      <c r="H37" s="111">
        <f>IFERROR(VLOOKUP($B37,MMWR_TRAD_AGG_STATE_COMP[],H$1,0),"ERROR")</f>
        <v>7746</v>
      </c>
      <c r="I37" s="112">
        <f>IFERROR(VLOOKUP($B37,MMWR_TRAD_AGG_STATE_COMP[],I$1,0),"ERROR")</f>
        <v>4375</v>
      </c>
      <c r="J37" s="114">
        <f t="shared" si="1"/>
        <v>0.56480764265427319</v>
      </c>
      <c r="K37" s="111">
        <f>IFERROR(VLOOKUP($B37,MMWR_TRAD_AGG_STATE_COMP[],K$1,0),"ERROR")</f>
        <v>2383</v>
      </c>
      <c r="L37" s="112">
        <f>IFERROR(VLOOKUP($B37,MMWR_TRAD_AGG_STATE_COMP[],L$1,0),"ERROR")</f>
        <v>1505</v>
      </c>
      <c r="M37" s="114">
        <f t="shared" si="2"/>
        <v>0.63155686109945441</v>
      </c>
      <c r="N37" s="111">
        <f>IFERROR(VLOOKUP($B37,MMWR_TRAD_AGG_STATE_COMP[],N$1,0),"ERROR")</f>
        <v>4717</v>
      </c>
      <c r="O37" s="112">
        <f>IFERROR(VLOOKUP($B37,MMWR_TRAD_AGG_STATE_COMP[],O$1,0),"ERROR")</f>
        <v>3721</v>
      </c>
      <c r="P37" s="114">
        <f t="shared" si="3"/>
        <v>0.78884884460462157</v>
      </c>
      <c r="Q37" s="115">
        <f>IFERROR(VLOOKUP($B37,MMWR_TRAD_AGG_STATE_COMP[],Q$1,0),"ERROR")</f>
        <v>8</v>
      </c>
      <c r="R37" s="115">
        <f>IFERROR(VLOOKUP($B37,MMWR_TRAD_AGG_STATE_COMP[],R$1,0),"ERROR")</f>
        <v>156</v>
      </c>
      <c r="S37" s="115">
        <f>IFERROR(VLOOKUP($B37,MMWR_APP_STATE_COMP[],S$1,0),"ERROR")</f>
        <v>5311</v>
      </c>
      <c r="T37" s="28"/>
    </row>
    <row r="38" spans="1:20" s="123" customFormat="1" x14ac:dyDescent="0.2">
      <c r="A38" s="28"/>
      <c r="B38" s="127" t="s">
        <v>413</v>
      </c>
      <c r="C38" s="109">
        <f>IFERROR(VLOOKUP($B38,MMWR_TRAD_AGG_STATE_COMP[],C$1,0),"ERROR")</f>
        <v>7749</v>
      </c>
      <c r="D38" s="110">
        <f>IFERROR(VLOOKUP($B38,MMWR_TRAD_AGG_STATE_COMP[],D$1,0),"ERROR")</f>
        <v>398.6138856627</v>
      </c>
      <c r="E38" s="111">
        <f>IFERROR(VLOOKUP($B38,MMWR_TRAD_AGG_STATE_COMP[],E$1,0),"ERROR")</f>
        <v>7486</v>
      </c>
      <c r="F38" s="112">
        <f>IFERROR(VLOOKUP($B38,MMWR_TRAD_AGG_STATE_COMP[],F$1,0),"ERROR")</f>
        <v>2533</v>
      </c>
      <c r="G38" s="113">
        <f t="shared" ref="G38:G64" si="4">IFERROR(F38/E38,"0%")</f>
        <v>0.33836494790275179</v>
      </c>
      <c r="H38" s="111">
        <f>IFERROR(VLOOKUP($B38,MMWR_TRAD_AGG_STATE_COMP[],H$1,0),"ERROR")</f>
        <v>10520</v>
      </c>
      <c r="I38" s="112">
        <f>IFERROR(VLOOKUP($B38,MMWR_TRAD_AGG_STATE_COMP[],I$1,0),"ERROR")</f>
        <v>6772</v>
      </c>
      <c r="J38" s="114">
        <f t="shared" ref="J38:J64" si="5">IFERROR(I38/H38,"0%")</f>
        <v>0.64372623574144483</v>
      </c>
      <c r="K38" s="111">
        <f>IFERROR(VLOOKUP($B38,MMWR_TRAD_AGG_STATE_COMP[],K$1,0),"ERROR")</f>
        <v>2086</v>
      </c>
      <c r="L38" s="112">
        <f>IFERROR(VLOOKUP($B38,MMWR_TRAD_AGG_STATE_COMP[],L$1,0),"ERROR")</f>
        <v>1710</v>
      </c>
      <c r="M38" s="114">
        <f t="shared" ref="M38:M64" si="6">IFERROR(L38/K38,"0%")</f>
        <v>0.81975071907957819</v>
      </c>
      <c r="N38" s="111">
        <f>IFERROR(VLOOKUP($B38,MMWR_TRAD_AGG_STATE_COMP[],N$1,0),"ERROR")</f>
        <v>4823</v>
      </c>
      <c r="O38" s="112">
        <f>IFERROR(VLOOKUP($B38,MMWR_TRAD_AGG_STATE_COMP[],O$1,0),"ERROR")</f>
        <v>3427</v>
      </c>
      <c r="P38" s="114">
        <f t="shared" ref="P38:P64" si="7">IFERROR(O38/N38,"0%")</f>
        <v>0.71055359734605017</v>
      </c>
      <c r="Q38" s="115">
        <f>IFERROR(VLOOKUP($B38,MMWR_TRAD_AGG_STATE_COMP[],Q$1,0),"ERROR")</f>
        <v>11</v>
      </c>
      <c r="R38" s="115">
        <f>IFERROR(VLOOKUP($B38,MMWR_TRAD_AGG_STATE_COMP[],R$1,0),"ERROR")</f>
        <v>69</v>
      </c>
      <c r="S38" s="115">
        <f>IFERROR(VLOOKUP($B38,MMWR_APP_STATE_COMP[],S$1,0),"ERROR")</f>
        <v>5964</v>
      </c>
      <c r="T38" s="28"/>
    </row>
    <row r="39" spans="1:20" s="123" customFormat="1" x14ac:dyDescent="0.2">
      <c r="A39" s="28"/>
      <c r="B39" s="127" t="s">
        <v>397</v>
      </c>
      <c r="C39" s="109">
        <f>IFERROR(VLOOKUP($B39,MMWR_TRAD_AGG_STATE_COMP[],C$1,0),"ERROR")</f>
        <v>6792</v>
      </c>
      <c r="D39" s="110">
        <f>IFERROR(VLOOKUP($B39,MMWR_TRAD_AGG_STATE_COMP[],D$1,0),"ERROR")</f>
        <v>403.20008833920002</v>
      </c>
      <c r="E39" s="111">
        <f>IFERROR(VLOOKUP($B39,MMWR_TRAD_AGG_STATE_COMP[],E$1,0),"ERROR")</f>
        <v>5965</v>
      </c>
      <c r="F39" s="112">
        <f>IFERROR(VLOOKUP($B39,MMWR_TRAD_AGG_STATE_COMP[],F$1,0),"ERROR")</f>
        <v>1558</v>
      </c>
      <c r="G39" s="113">
        <f t="shared" si="4"/>
        <v>0.26119027661357919</v>
      </c>
      <c r="H39" s="111">
        <f>IFERROR(VLOOKUP($B39,MMWR_TRAD_AGG_STATE_COMP[],H$1,0),"ERROR")</f>
        <v>9443</v>
      </c>
      <c r="I39" s="112">
        <f>IFERROR(VLOOKUP($B39,MMWR_TRAD_AGG_STATE_COMP[],I$1,0),"ERROR")</f>
        <v>5861</v>
      </c>
      <c r="J39" s="114">
        <f t="shared" si="5"/>
        <v>0.62067139680186378</v>
      </c>
      <c r="K39" s="111">
        <f>IFERROR(VLOOKUP($B39,MMWR_TRAD_AGG_STATE_COMP[],K$1,0),"ERROR")</f>
        <v>741</v>
      </c>
      <c r="L39" s="112">
        <f>IFERROR(VLOOKUP($B39,MMWR_TRAD_AGG_STATE_COMP[],L$1,0),"ERROR")</f>
        <v>568</v>
      </c>
      <c r="M39" s="114">
        <f t="shared" si="6"/>
        <v>0.76653171390013497</v>
      </c>
      <c r="N39" s="111">
        <f>IFERROR(VLOOKUP($B39,MMWR_TRAD_AGG_STATE_COMP[],N$1,0),"ERROR")</f>
        <v>1374</v>
      </c>
      <c r="O39" s="112">
        <f>IFERROR(VLOOKUP($B39,MMWR_TRAD_AGG_STATE_COMP[],O$1,0),"ERROR")</f>
        <v>610</v>
      </c>
      <c r="P39" s="114">
        <f t="shared" si="7"/>
        <v>0.44395924308588064</v>
      </c>
      <c r="Q39" s="115">
        <f>IFERROR(VLOOKUP($B39,MMWR_TRAD_AGG_STATE_COMP[],Q$1,0),"ERROR")</f>
        <v>7</v>
      </c>
      <c r="R39" s="115">
        <f>IFERROR(VLOOKUP($B39,MMWR_TRAD_AGG_STATE_COMP[],R$1,0),"ERROR")</f>
        <v>310</v>
      </c>
      <c r="S39" s="115">
        <f>IFERROR(VLOOKUP($B39,MMWR_APP_STATE_COMP[],S$1,0),"ERROR")</f>
        <v>5977</v>
      </c>
      <c r="T39" s="28"/>
    </row>
    <row r="40" spans="1:20" s="123" customFormat="1" x14ac:dyDescent="0.2">
      <c r="A40" s="28"/>
      <c r="B40" s="127" t="s">
        <v>399</v>
      </c>
      <c r="C40" s="109">
        <f>IFERROR(VLOOKUP($B40,MMWR_TRAD_AGG_STATE_COMP[],C$1,0),"ERROR")</f>
        <v>5098</v>
      </c>
      <c r="D40" s="110">
        <f>IFERROR(VLOOKUP($B40,MMWR_TRAD_AGG_STATE_COMP[],D$1,0),"ERROR")</f>
        <v>372.72910945469999</v>
      </c>
      <c r="E40" s="111">
        <f>IFERROR(VLOOKUP($B40,MMWR_TRAD_AGG_STATE_COMP[],E$1,0),"ERROR")</f>
        <v>3774</v>
      </c>
      <c r="F40" s="112">
        <f>IFERROR(VLOOKUP($B40,MMWR_TRAD_AGG_STATE_COMP[],F$1,0),"ERROR")</f>
        <v>1218</v>
      </c>
      <c r="G40" s="113">
        <f t="shared" si="4"/>
        <v>0.32273449920508746</v>
      </c>
      <c r="H40" s="111">
        <f>IFERROR(VLOOKUP($B40,MMWR_TRAD_AGG_STATE_COMP[],H$1,0),"ERROR")</f>
        <v>7115</v>
      </c>
      <c r="I40" s="112">
        <f>IFERROR(VLOOKUP($B40,MMWR_TRAD_AGG_STATE_COMP[],I$1,0),"ERROR")</f>
        <v>4830</v>
      </c>
      <c r="J40" s="114">
        <f t="shared" si="5"/>
        <v>0.67884750527055515</v>
      </c>
      <c r="K40" s="111">
        <f>IFERROR(VLOOKUP($B40,MMWR_TRAD_AGG_STATE_COMP[],K$1,0),"ERROR")</f>
        <v>949</v>
      </c>
      <c r="L40" s="112">
        <f>IFERROR(VLOOKUP($B40,MMWR_TRAD_AGG_STATE_COMP[],L$1,0),"ERROR")</f>
        <v>793</v>
      </c>
      <c r="M40" s="114">
        <f t="shared" si="6"/>
        <v>0.83561643835616439</v>
      </c>
      <c r="N40" s="111">
        <f>IFERROR(VLOOKUP($B40,MMWR_TRAD_AGG_STATE_COMP[],N$1,0),"ERROR")</f>
        <v>2420</v>
      </c>
      <c r="O40" s="112">
        <f>IFERROR(VLOOKUP($B40,MMWR_TRAD_AGG_STATE_COMP[],O$1,0),"ERROR")</f>
        <v>1495</v>
      </c>
      <c r="P40" s="114">
        <f t="shared" si="7"/>
        <v>0.61776859504132231</v>
      </c>
      <c r="Q40" s="115">
        <f>IFERROR(VLOOKUP($B40,MMWR_TRAD_AGG_STATE_COMP[],Q$1,0),"ERROR")</f>
        <v>12</v>
      </c>
      <c r="R40" s="115">
        <f>IFERROR(VLOOKUP($B40,MMWR_TRAD_AGG_STATE_COMP[],R$1,0),"ERROR")</f>
        <v>145</v>
      </c>
      <c r="S40" s="115">
        <f>IFERROR(VLOOKUP($B40,MMWR_APP_STATE_COMP[],S$1,0),"ERROR")</f>
        <v>4557</v>
      </c>
      <c r="T40" s="28"/>
    </row>
    <row r="41" spans="1:20" s="123" customFormat="1" x14ac:dyDescent="0.2">
      <c r="A41" s="28"/>
      <c r="B41" s="127" t="s">
        <v>428</v>
      </c>
      <c r="C41" s="109">
        <f>IFERROR(VLOOKUP($B41,MMWR_TRAD_AGG_STATE_COMP[],C$1,0),"ERROR")</f>
        <v>1069</v>
      </c>
      <c r="D41" s="110">
        <f>IFERROR(VLOOKUP($B41,MMWR_TRAD_AGG_STATE_COMP[],D$1,0),"ERROR")</f>
        <v>254.37043966319999</v>
      </c>
      <c r="E41" s="111">
        <f>IFERROR(VLOOKUP($B41,MMWR_TRAD_AGG_STATE_COMP[],E$1,0),"ERROR")</f>
        <v>923</v>
      </c>
      <c r="F41" s="112">
        <f>IFERROR(VLOOKUP($B41,MMWR_TRAD_AGG_STATE_COMP[],F$1,0),"ERROR")</f>
        <v>116</v>
      </c>
      <c r="G41" s="113">
        <f t="shared" si="4"/>
        <v>0.12567713976164679</v>
      </c>
      <c r="H41" s="111">
        <f>IFERROR(VLOOKUP($B41,MMWR_TRAD_AGG_STATE_COMP[],H$1,0),"ERROR")</f>
        <v>1788</v>
      </c>
      <c r="I41" s="112">
        <f>IFERROR(VLOOKUP($B41,MMWR_TRAD_AGG_STATE_COMP[],I$1,0),"ERROR")</f>
        <v>766</v>
      </c>
      <c r="J41" s="114">
        <f t="shared" si="5"/>
        <v>0.42841163310961966</v>
      </c>
      <c r="K41" s="111">
        <f>IFERROR(VLOOKUP($B41,MMWR_TRAD_AGG_STATE_COMP[],K$1,0),"ERROR")</f>
        <v>425</v>
      </c>
      <c r="L41" s="112">
        <f>IFERROR(VLOOKUP($B41,MMWR_TRAD_AGG_STATE_COMP[],L$1,0),"ERROR")</f>
        <v>232</v>
      </c>
      <c r="M41" s="114">
        <f t="shared" si="6"/>
        <v>0.54588235294117649</v>
      </c>
      <c r="N41" s="111">
        <f>IFERROR(VLOOKUP($B41,MMWR_TRAD_AGG_STATE_COMP[],N$1,0),"ERROR")</f>
        <v>196</v>
      </c>
      <c r="O41" s="112">
        <f>IFERROR(VLOOKUP($B41,MMWR_TRAD_AGG_STATE_COMP[],O$1,0),"ERROR")</f>
        <v>89</v>
      </c>
      <c r="P41" s="114">
        <f t="shared" si="7"/>
        <v>0.45408163265306123</v>
      </c>
      <c r="Q41" s="115">
        <f>IFERROR(VLOOKUP($B41,MMWR_TRAD_AGG_STATE_COMP[],Q$1,0),"ERROR")</f>
        <v>3</v>
      </c>
      <c r="R41" s="115">
        <f>IFERROR(VLOOKUP($B41,MMWR_TRAD_AGG_STATE_COMP[],R$1,0),"ERROR")</f>
        <v>5</v>
      </c>
      <c r="S41" s="115">
        <f>IFERROR(VLOOKUP($B41,MMWR_APP_STATE_COMP[],S$1,0),"ERROR")</f>
        <v>321</v>
      </c>
      <c r="T41" s="28"/>
    </row>
    <row r="42" spans="1:20" s="123" customFormat="1" x14ac:dyDescent="0.2">
      <c r="A42" s="28"/>
      <c r="B42" s="127" t="s">
        <v>422</v>
      </c>
      <c r="C42" s="109">
        <f>IFERROR(VLOOKUP($B42,MMWR_TRAD_AGG_STATE_COMP[],C$1,0),"ERROR")</f>
        <v>4590</v>
      </c>
      <c r="D42" s="110">
        <f>IFERROR(VLOOKUP($B42,MMWR_TRAD_AGG_STATE_COMP[],D$1,0),"ERROR")</f>
        <v>277.3725490196</v>
      </c>
      <c r="E42" s="111">
        <f>IFERROR(VLOOKUP($B42,MMWR_TRAD_AGG_STATE_COMP[],E$1,0),"ERROR")</f>
        <v>7193</v>
      </c>
      <c r="F42" s="112">
        <f>IFERROR(VLOOKUP($B42,MMWR_TRAD_AGG_STATE_COMP[],F$1,0),"ERROR")</f>
        <v>1666</v>
      </c>
      <c r="G42" s="113">
        <f t="shared" si="4"/>
        <v>0.23161406923397748</v>
      </c>
      <c r="H42" s="111">
        <f>IFERROR(VLOOKUP($B42,MMWR_TRAD_AGG_STATE_COMP[],H$1,0),"ERROR")</f>
        <v>7430</v>
      </c>
      <c r="I42" s="112">
        <f>IFERROR(VLOOKUP($B42,MMWR_TRAD_AGG_STATE_COMP[],I$1,0),"ERROR")</f>
        <v>3106</v>
      </c>
      <c r="J42" s="114">
        <f t="shared" si="5"/>
        <v>0.4180349932705249</v>
      </c>
      <c r="K42" s="111">
        <f>IFERROR(VLOOKUP($B42,MMWR_TRAD_AGG_STATE_COMP[],K$1,0),"ERROR")</f>
        <v>1214</v>
      </c>
      <c r="L42" s="112">
        <f>IFERROR(VLOOKUP($B42,MMWR_TRAD_AGG_STATE_COMP[],L$1,0),"ERROR")</f>
        <v>605</v>
      </c>
      <c r="M42" s="114">
        <f t="shared" si="6"/>
        <v>0.49835255354200986</v>
      </c>
      <c r="N42" s="111">
        <f>IFERROR(VLOOKUP($B42,MMWR_TRAD_AGG_STATE_COMP[],N$1,0),"ERROR")</f>
        <v>1262</v>
      </c>
      <c r="O42" s="112">
        <f>IFERROR(VLOOKUP($B42,MMWR_TRAD_AGG_STATE_COMP[],O$1,0),"ERROR")</f>
        <v>456</v>
      </c>
      <c r="P42" s="114">
        <f t="shared" si="7"/>
        <v>0.36133122028526149</v>
      </c>
      <c r="Q42" s="115">
        <f>IFERROR(VLOOKUP($B42,MMWR_TRAD_AGG_STATE_COMP[],Q$1,0),"ERROR")</f>
        <v>7</v>
      </c>
      <c r="R42" s="115">
        <f>IFERROR(VLOOKUP($B42,MMWR_TRAD_AGG_STATE_COMP[],R$1,0),"ERROR")</f>
        <v>64</v>
      </c>
      <c r="S42" s="115">
        <f>IFERROR(VLOOKUP($B42,MMWR_APP_STATE_COMP[],S$1,0),"ERROR")</f>
        <v>4315</v>
      </c>
      <c r="T42" s="28"/>
    </row>
    <row r="43" spans="1:20" s="123" customFormat="1" x14ac:dyDescent="0.2">
      <c r="A43" s="28"/>
      <c r="B43" s="127" t="s">
        <v>420</v>
      </c>
      <c r="C43" s="109">
        <f>IFERROR(VLOOKUP($B43,MMWR_TRAD_AGG_STATE_COMP[],C$1,0),"ERROR")</f>
        <v>32628</v>
      </c>
      <c r="D43" s="110">
        <f>IFERROR(VLOOKUP($B43,MMWR_TRAD_AGG_STATE_COMP[],D$1,0),"ERROR")</f>
        <v>330.46334436680002</v>
      </c>
      <c r="E43" s="111">
        <f>IFERROR(VLOOKUP($B43,MMWR_TRAD_AGG_STATE_COMP[],E$1,0),"ERROR")</f>
        <v>37331</v>
      </c>
      <c r="F43" s="112">
        <f>IFERROR(VLOOKUP($B43,MMWR_TRAD_AGG_STATE_COMP[],F$1,0),"ERROR")</f>
        <v>11149</v>
      </c>
      <c r="G43" s="113">
        <f t="shared" si="4"/>
        <v>0.298652594358576</v>
      </c>
      <c r="H43" s="111">
        <f>IFERROR(VLOOKUP($B43,MMWR_TRAD_AGG_STATE_COMP[],H$1,0),"ERROR")</f>
        <v>46304</v>
      </c>
      <c r="I43" s="112">
        <f>IFERROR(VLOOKUP($B43,MMWR_TRAD_AGG_STATE_COMP[],I$1,0),"ERROR")</f>
        <v>26254</v>
      </c>
      <c r="J43" s="114">
        <f t="shared" si="5"/>
        <v>0.56699205252246021</v>
      </c>
      <c r="K43" s="111">
        <f>IFERROR(VLOOKUP($B43,MMWR_TRAD_AGG_STATE_COMP[],K$1,0),"ERROR")</f>
        <v>4883</v>
      </c>
      <c r="L43" s="112">
        <f>IFERROR(VLOOKUP($B43,MMWR_TRAD_AGG_STATE_COMP[],L$1,0),"ERROR")</f>
        <v>3550</v>
      </c>
      <c r="M43" s="114">
        <f t="shared" si="6"/>
        <v>0.72701208273602291</v>
      </c>
      <c r="N43" s="111">
        <f>IFERROR(VLOOKUP($B43,MMWR_TRAD_AGG_STATE_COMP[],N$1,0),"ERROR")</f>
        <v>9492</v>
      </c>
      <c r="O43" s="112">
        <f>IFERROR(VLOOKUP($B43,MMWR_TRAD_AGG_STATE_COMP[],O$1,0),"ERROR")</f>
        <v>5454</v>
      </c>
      <c r="P43" s="114">
        <f t="shared" si="7"/>
        <v>0.57458912768647286</v>
      </c>
      <c r="Q43" s="115">
        <f>IFERROR(VLOOKUP($B43,MMWR_TRAD_AGG_STATE_COMP[],Q$1,0),"ERROR")</f>
        <v>29</v>
      </c>
      <c r="R43" s="115">
        <f>IFERROR(VLOOKUP($B43,MMWR_TRAD_AGG_STATE_COMP[],R$1,0),"ERROR")</f>
        <v>447</v>
      </c>
      <c r="S43" s="115">
        <f>IFERROR(VLOOKUP($B43,MMWR_APP_STATE_COMP[],S$1,0),"ERROR")</f>
        <v>39521</v>
      </c>
      <c r="T43" s="28"/>
    </row>
    <row r="44" spans="1:20" s="123" customFormat="1" x14ac:dyDescent="0.2">
      <c r="A44" s="28"/>
      <c r="B44" s="127" t="s">
        <v>416</v>
      </c>
      <c r="C44" s="109">
        <f>IFERROR(VLOOKUP($B44,MMWR_TRAD_AGG_STATE_COMP[],C$1,0),"ERROR")</f>
        <v>2224</v>
      </c>
      <c r="D44" s="110">
        <f>IFERROR(VLOOKUP($B44,MMWR_TRAD_AGG_STATE_COMP[],D$1,0),"ERROR")</f>
        <v>320.23021582730001</v>
      </c>
      <c r="E44" s="111">
        <f>IFERROR(VLOOKUP($B44,MMWR_TRAD_AGG_STATE_COMP[],E$1,0),"ERROR")</f>
        <v>1933</v>
      </c>
      <c r="F44" s="112">
        <f>IFERROR(VLOOKUP($B44,MMWR_TRAD_AGG_STATE_COMP[],F$1,0),"ERROR")</f>
        <v>475</v>
      </c>
      <c r="G44" s="113">
        <f t="shared" si="4"/>
        <v>0.24573202276254527</v>
      </c>
      <c r="H44" s="111">
        <f>IFERROR(VLOOKUP($B44,MMWR_TRAD_AGG_STATE_COMP[],H$1,0),"ERROR")</f>
        <v>3675</v>
      </c>
      <c r="I44" s="112">
        <f>IFERROR(VLOOKUP($B44,MMWR_TRAD_AGG_STATE_COMP[],I$1,0),"ERROR")</f>
        <v>1841</v>
      </c>
      <c r="J44" s="114">
        <f t="shared" si="5"/>
        <v>0.50095238095238093</v>
      </c>
      <c r="K44" s="111">
        <f>IFERROR(VLOOKUP($B44,MMWR_TRAD_AGG_STATE_COMP[],K$1,0),"ERROR")</f>
        <v>552</v>
      </c>
      <c r="L44" s="112">
        <f>IFERROR(VLOOKUP($B44,MMWR_TRAD_AGG_STATE_COMP[],L$1,0),"ERROR")</f>
        <v>428</v>
      </c>
      <c r="M44" s="114">
        <f t="shared" si="6"/>
        <v>0.77536231884057971</v>
      </c>
      <c r="N44" s="111">
        <f>IFERROR(VLOOKUP($B44,MMWR_TRAD_AGG_STATE_COMP[],N$1,0),"ERROR")</f>
        <v>234</v>
      </c>
      <c r="O44" s="112">
        <f>IFERROR(VLOOKUP($B44,MMWR_TRAD_AGG_STATE_COMP[],O$1,0),"ERROR")</f>
        <v>129</v>
      </c>
      <c r="P44" s="114">
        <f t="shared" si="7"/>
        <v>0.55128205128205132</v>
      </c>
      <c r="Q44" s="115">
        <f>IFERROR(VLOOKUP($B44,MMWR_TRAD_AGG_STATE_COMP[],Q$1,0),"ERROR")</f>
        <v>0</v>
      </c>
      <c r="R44" s="115">
        <f>IFERROR(VLOOKUP($B44,MMWR_TRAD_AGG_STATE_COMP[],R$1,0),"ERROR")</f>
        <v>4</v>
      </c>
      <c r="S44" s="115">
        <f>IFERROR(VLOOKUP($B44,MMWR_APP_STATE_COMP[],S$1,0),"ERROR")</f>
        <v>514</v>
      </c>
      <c r="T44" s="28"/>
    </row>
    <row r="45" spans="1:20" s="123" customFormat="1" x14ac:dyDescent="0.2">
      <c r="A45" s="28"/>
      <c r="B45" s="127" t="s">
        <v>431</v>
      </c>
      <c r="C45" s="109">
        <f>IFERROR(VLOOKUP($B45,MMWR_TRAD_AGG_STATE_COMP[],C$1,0),"ERROR")</f>
        <v>740</v>
      </c>
      <c r="D45" s="110">
        <f>IFERROR(VLOOKUP($B45,MMWR_TRAD_AGG_STATE_COMP[],D$1,0),"ERROR")</f>
        <v>281.9810810811</v>
      </c>
      <c r="E45" s="111">
        <f>IFERROR(VLOOKUP($B45,MMWR_TRAD_AGG_STATE_COMP[],E$1,0),"ERROR")</f>
        <v>930</v>
      </c>
      <c r="F45" s="112">
        <f>IFERROR(VLOOKUP($B45,MMWR_TRAD_AGG_STATE_COMP[],F$1,0),"ERROR")</f>
        <v>245</v>
      </c>
      <c r="G45" s="113">
        <f t="shared" si="4"/>
        <v>0.26344086021505375</v>
      </c>
      <c r="H45" s="111">
        <f>IFERROR(VLOOKUP($B45,MMWR_TRAD_AGG_STATE_COMP[],H$1,0),"ERROR")</f>
        <v>1187</v>
      </c>
      <c r="I45" s="112">
        <f>IFERROR(VLOOKUP($B45,MMWR_TRAD_AGG_STATE_COMP[],I$1,0),"ERROR")</f>
        <v>545</v>
      </c>
      <c r="J45" s="114">
        <f t="shared" si="5"/>
        <v>0.45914069081718617</v>
      </c>
      <c r="K45" s="111">
        <f>IFERROR(VLOOKUP($B45,MMWR_TRAD_AGG_STATE_COMP[],K$1,0),"ERROR")</f>
        <v>210</v>
      </c>
      <c r="L45" s="112">
        <f>IFERROR(VLOOKUP($B45,MMWR_TRAD_AGG_STATE_COMP[],L$1,0),"ERROR")</f>
        <v>128</v>
      </c>
      <c r="M45" s="114">
        <f t="shared" si="6"/>
        <v>0.60952380952380958</v>
      </c>
      <c r="N45" s="111">
        <f>IFERROR(VLOOKUP($B45,MMWR_TRAD_AGG_STATE_COMP[],N$1,0),"ERROR")</f>
        <v>174</v>
      </c>
      <c r="O45" s="112">
        <f>IFERROR(VLOOKUP($B45,MMWR_TRAD_AGG_STATE_COMP[],O$1,0),"ERROR")</f>
        <v>73</v>
      </c>
      <c r="P45" s="114">
        <f t="shared" si="7"/>
        <v>0.41954022988505746</v>
      </c>
      <c r="Q45" s="115">
        <f>IFERROR(VLOOKUP($B45,MMWR_TRAD_AGG_STATE_COMP[],Q$1,0),"ERROR")</f>
        <v>26</v>
      </c>
      <c r="R45" s="115">
        <f>IFERROR(VLOOKUP($B45,MMWR_TRAD_AGG_STATE_COMP[],R$1,0),"ERROR")</f>
        <v>7</v>
      </c>
      <c r="S45" s="115">
        <f>IFERROR(VLOOKUP($B45,MMWR_APP_STATE_COMP[],S$1,0),"ERROR")</f>
        <v>360</v>
      </c>
      <c r="T45" s="28"/>
    </row>
    <row r="46" spans="1:20" s="123" customFormat="1" x14ac:dyDescent="0.2">
      <c r="A46" s="28"/>
      <c r="B46" s="126" t="s">
        <v>414</v>
      </c>
      <c r="C46" s="102">
        <f>IFERROR(VLOOKUP($B46,MMWR_TRAD_AGG_ST_DISTRICT_COMP[],C$1,0),"ERROR")</f>
        <v>74904</v>
      </c>
      <c r="D46" s="103">
        <f>IFERROR(VLOOKUP($B46,MMWR_TRAD_AGG_ST_DISTRICT_COMP[],D$1,0),"ERROR")</f>
        <v>366.79341557190003</v>
      </c>
      <c r="E46" s="102">
        <f>IFERROR(VLOOKUP($B46,MMWR_TRAD_AGG_ST_DISTRICT_COMP[],E$1,0),"ERROR")</f>
        <v>62665</v>
      </c>
      <c r="F46" s="102">
        <f>IFERROR(VLOOKUP($B46,MMWR_TRAD_AGG_ST_DISTRICT_COMP[],F$1,0),"ERROR")</f>
        <v>17486</v>
      </c>
      <c r="G46" s="104">
        <f t="shared" si="4"/>
        <v>0.27903933615255727</v>
      </c>
      <c r="H46" s="102">
        <f>IFERROR(VLOOKUP($B46,MMWR_TRAD_AGG_ST_DISTRICT_COMP[],H$1,0),"ERROR")</f>
        <v>103959</v>
      </c>
      <c r="I46" s="102">
        <f>IFERROR(VLOOKUP($B46,MMWR_TRAD_AGG_ST_DISTRICT_COMP[],I$1,0),"ERROR")</f>
        <v>65024</v>
      </c>
      <c r="J46" s="105">
        <f t="shared" si="5"/>
        <v>0.62547735164824592</v>
      </c>
      <c r="K46" s="102">
        <f>IFERROR(VLOOKUP($B46,MMWR_TRAD_AGG_ST_DISTRICT_COMP[],K$1,0),"ERROR")</f>
        <v>18253</v>
      </c>
      <c r="L46" s="102">
        <f>IFERROR(VLOOKUP($B46,MMWR_TRAD_AGG_ST_DISTRICT_COMP[],L$1,0),"ERROR")</f>
        <v>14833</v>
      </c>
      <c r="M46" s="105">
        <f t="shared" si="6"/>
        <v>0.81263353969210539</v>
      </c>
      <c r="N46" s="102">
        <f>IFERROR(VLOOKUP($B46,MMWR_TRAD_AGG_ST_DISTRICT_COMP[],N$1,0),"ERROR")</f>
        <v>25133</v>
      </c>
      <c r="O46" s="102">
        <f>IFERROR(VLOOKUP($B46,MMWR_TRAD_AGG_ST_DISTRICT_COMP[],O$1,0),"ERROR")</f>
        <v>16835</v>
      </c>
      <c r="P46" s="105">
        <f t="shared" si="7"/>
        <v>0.66983646997970792</v>
      </c>
      <c r="Q46" s="102">
        <f>IFERROR(VLOOKUP($B46,MMWR_TRAD_AGG_ST_DISTRICT_COMP[],Q$1,0),"ERROR")</f>
        <v>88</v>
      </c>
      <c r="R46" s="106">
        <f>IFERROR(VLOOKUP($B46,MMWR_TRAD_AGG_ST_DISTRICT_COMP[],R$1,0),"ERROR")</f>
        <v>611</v>
      </c>
      <c r="S46" s="106">
        <f>SUM(S47:S55)</f>
        <v>42714</v>
      </c>
      <c r="T46" s="28"/>
    </row>
    <row r="47" spans="1:20" s="123" customFormat="1" x14ac:dyDescent="0.2">
      <c r="A47" s="28"/>
      <c r="B47" s="127" t="s">
        <v>434</v>
      </c>
      <c r="C47" s="109">
        <f>IFERROR(VLOOKUP($B47,MMWR_TRAD_AGG_STATE_COMP[],C$1,0),"ERROR")</f>
        <v>2196</v>
      </c>
      <c r="D47" s="110">
        <f>IFERROR(VLOOKUP($B47,MMWR_TRAD_AGG_STATE_COMP[],D$1,0),"ERROR")</f>
        <v>469.98269581059998</v>
      </c>
      <c r="E47" s="111">
        <f>IFERROR(VLOOKUP($B47,MMWR_TRAD_AGG_STATE_COMP[],E$1,0),"ERROR")</f>
        <v>995</v>
      </c>
      <c r="F47" s="112">
        <f>IFERROR(VLOOKUP($B47,MMWR_TRAD_AGG_STATE_COMP[],F$1,0),"ERROR")</f>
        <v>160</v>
      </c>
      <c r="G47" s="113">
        <f t="shared" si="4"/>
        <v>0.16080402010050251</v>
      </c>
      <c r="H47" s="111">
        <f>IFERROR(VLOOKUP($B47,MMWR_TRAD_AGG_STATE_COMP[],H$1,0),"ERROR")</f>
        <v>2954</v>
      </c>
      <c r="I47" s="112">
        <f>IFERROR(VLOOKUP($B47,MMWR_TRAD_AGG_STATE_COMP[],I$1,0),"ERROR")</f>
        <v>2052</v>
      </c>
      <c r="J47" s="114">
        <f t="shared" si="5"/>
        <v>0.69465132024373732</v>
      </c>
      <c r="K47" s="111">
        <f>IFERROR(VLOOKUP($B47,MMWR_TRAD_AGG_STATE_COMP[],K$1,0),"ERROR")</f>
        <v>1578</v>
      </c>
      <c r="L47" s="112">
        <f>IFERROR(VLOOKUP($B47,MMWR_TRAD_AGG_STATE_COMP[],L$1,0),"ERROR")</f>
        <v>1427</v>
      </c>
      <c r="M47" s="114">
        <f t="shared" si="6"/>
        <v>0.90430925221799752</v>
      </c>
      <c r="N47" s="111">
        <f>IFERROR(VLOOKUP($B47,MMWR_TRAD_AGG_STATE_COMP[],N$1,0),"ERROR")</f>
        <v>311</v>
      </c>
      <c r="O47" s="112">
        <f>IFERROR(VLOOKUP($B47,MMWR_TRAD_AGG_STATE_COMP[],O$1,0),"ERROR")</f>
        <v>186</v>
      </c>
      <c r="P47" s="114">
        <f t="shared" si="7"/>
        <v>0.59807073954983925</v>
      </c>
      <c r="Q47" s="115">
        <f>IFERROR(VLOOKUP($B47,MMWR_TRAD_AGG_STATE_COMP[],Q$1,0),"ERROR")</f>
        <v>0</v>
      </c>
      <c r="R47" s="115">
        <f>IFERROR(VLOOKUP($B47,MMWR_TRAD_AGG_STATE_COMP[],R$1,0),"ERROR")</f>
        <v>3</v>
      </c>
      <c r="S47" s="115">
        <f>IFERROR(VLOOKUP($B47,MMWR_APP_STATE_COMP[],S$1,0),"ERROR")</f>
        <v>313</v>
      </c>
      <c r="T47" s="28"/>
    </row>
    <row r="48" spans="1:20" s="123" customFormat="1" x14ac:dyDescent="0.2">
      <c r="A48" s="28"/>
      <c r="B48" s="127" t="s">
        <v>436</v>
      </c>
      <c r="C48" s="109">
        <f>IFERROR(VLOOKUP($B48,MMWR_TRAD_AGG_STATE_COMP[],C$1,0),"ERROR")</f>
        <v>7477</v>
      </c>
      <c r="D48" s="110">
        <f>IFERROR(VLOOKUP($B48,MMWR_TRAD_AGG_STATE_COMP[],D$1,0),"ERROR")</f>
        <v>296.35776380900001</v>
      </c>
      <c r="E48" s="111">
        <f>IFERROR(VLOOKUP($B48,MMWR_TRAD_AGG_STATE_COMP[],E$1,0),"ERROR")</f>
        <v>6353</v>
      </c>
      <c r="F48" s="112">
        <f>IFERROR(VLOOKUP($B48,MMWR_TRAD_AGG_STATE_COMP[],F$1,0),"ERROR")</f>
        <v>1660</v>
      </c>
      <c r="G48" s="113">
        <f t="shared" si="4"/>
        <v>0.26129387690854716</v>
      </c>
      <c r="H48" s="111">
        <f>IFERROR(VLOOKUP($B48,MMWR_TRAD_AGG_STATE_COMP[],H$1,0),"ERROR")</f>
        <v>9734</v>
      </c>
      <c r="I48" s="112">
        <f>IFERROR(VLOOKUP($B48,MMWR_TRAD_AGG_STATE_COMP[],I$1,0),"ERROR")</f>
        <v>5677</v>
      </c>
      <c r="J48" s="114">
        <f t="shared" si="5"/>
        <v>0.58321347852886785</v>
      </c>
      <c r="K48" s="111">
        <f>IFERROR(VLOOKUP($B48,MMWR_TRAD_AGG_STATE_COMP[],K$1,0),"ERROR")</f>
        <v>627</v>
      </c>
      <c r="L48" s="112">
        <f>IFERROR(VLOOKUP($B48,MMWR_TRAD_AGG_STATE_COMP[],L$1,0),"ERROR")</f>
        <v>479</v>
      </c>
      <c r="M48" s="114">
        <f t="shared" si="6"/>
        <v>0.76395534290271128</v>
      </c>
      <c r="N48" s="111">
        <f>IFERROR(VLOOKUP($B48,MMWR_TRAD_AGG_STATE_COMP[],N$1,0),"ERROR")</f>
        <v>3276</v>
      </c>
      <c r="O48" s="112">
        <f>IFERROR(VLOOKUP($B48,MMWR_TRAD_AGG_STATE_COMP[],O$1,0),"ERROR")</f>
        <v>2395</v>
      </c>
      <c r="P48" s="114">
        <f t="shared" si="7"/>
        <v>0.73107448107448103</v>
      </c>
      <c r="Q48" s="115">
        <f>IFERROR(VLOOKUP($B48,MMWR_TRAD_AGG_STATE_COMP[],Q$1,0),"ERROR")</f>
        <v>5</v>
      </c>
      <c r="R48" s="115">
        <f>IFERROR(VLOOKUP($B48,MMWR_TRAD_AGG_STATE_COMP[],R$1,0),"ERROR")</f>
        <v>80</v>
      </c>
      <c r="S48" s="115">
        <f>IFERROR(VLOOKUP($B48,MMWR_APP_STATE_COMP[],S$1,0),"ERROR")</f>
        <v>7090</v>
      </c>
      <c r="T48" s="28"/>
    </row>
    <row r="49" spans="1:20" s="123" customFormat="1" x14ac:dyDescent="0.2">
      <c r="A49" s="28"/>
      <c r="B49" s="127" t="s">
        <v>417</v>
      </c>
      <c r="C49" s="109">
        <f>IFERROR(VLOOKUP($B49,MMWR_TRAD_AGG_STATE_COMP[],C$1,0),"ERROR")</f>
        <v>32229</v>
      </c>
      <c r="D49" s="110">
        <f>IFERROR(VLOOKUP($B49,MMWR_TRAD_AGG_STATE_COMP[],D$1,0),"ERROR")</f>
        <v>363.12010921839999</v>
      </c>
      <c r="E49" s="111">
        <f>IFERROR(VLOOKUP($B49,MMWR_TRAD_AGG_STATE_COMP[],E$1,0),"ERROR")</f>
        <v>32095</v>
      </c>
      <c r="F49" s="112">
        <f>IFERROR(VLOOKUP($B49,MMWR_TRAD_AGG_STATE_COMP[],F$1,0),"ERROR")</f>
        <v>8746</v>
      </c>
      <c r="G49" s="113">
        <f t="shared" si="4"/>
        <v>0.27250350521888145</v>
      </c>
      <c r="H49" s="111">
        <f>IFERROR(VLOOKUP($B49,MMWR_TRAD_AGG_STATE_COMP[],H$1,0),"ERROR")</f>
        <v>45670</v>
      </c>
      <c r="I49" s="112">
        <f>IFERROR(VLOOKUP($B49,MMWR_TRAD_AGG_STATE_COMP[],I$1,0),"ERROR")</f>
        <v>28588</v>
      </c>
      <c r="J49" s="114">
        <f t="shared" si="5"/>
        <v>0.62596890737902344</v>
      </c>
      <c r="K49" s="111">
        <f>IFERROR(VLOOKUP($B49,MMWR_TRAD_AGG_STATE_COMP[],K$1,0),"ERROR")</f>
        <v>7425</v>
      </c>
      <c r="L49" s="112">
        <f>IFERROR(VLOOKUP($B49,MMWR_TRAD_AGG_STATE_COMP[],L$1,0),"ERROR")</f>
        <v>5653</v>
      </c>
      <c r="M49" s="114">
        <f t="shared" si="6"/>
        <v>0.76134680134680133</v>
      </c>
      <c r="N49" s="111">
        <f>IFERROR(VLOOKUP($B49,MMWR_TRAD_AGG_STATE_COMP[],N$1,0),"ERROR")</f>
        <v>11660</v>
      </c>
      <c r="O49" s="112">
        <f>IFERROR(VLOOKUP($B49,MMWR_TRAD_AGG_STATE_COMP[],O$1,0),"ERROR")</f>
        <v>7682</v>
      </c>
      <c r="P49" s="114">
        <f t="shared" si="7"/>
        <v>0.65883361921097772</v>
      </c>
      <c r="Q49" s="115">
        <f>IFERROR(VLOOKUP($B49,MMWR_TRAD_AGG_STATE_COMP[],Q$1,0),"ERROR")</f>
        <v>52</v>
      </c>
      <c r="R49" s="115">
        <f>IFERROR(VLOOKUP($B49,MMWR_TRAD_AGG_STATE_COMP[],R$1,0),"ERROR")</f>
        <v>166</v>
      </c>
      <c r="S49" s="115">
        <f>IFERROR(VLOOKUP($B49,MMWR_APP_STATE_COMP[],S$1,0),"ERROR")</f>
        <v>18078</v>
      </c>
      <c r="T49" s="28"/>
    </row>
    <row r="50" spans="1:20" s="123" customFormat="1" x14ac:dyDescent="0.2">
      <c r="A50" s="28"/>
      <c r="B50" s="127" t="s">
        <v>438</v>
      </c>
      <c r="C50" s="109">
        <f>IFERROR(VLOOKUP($B50,MMWR_TRAD_AGG_STATE_COMP[],C$1,0),"ERROR")</f>
        <v>1937</v>
      </c>
      <c r="D50" s="110">
        <f>IFERROR(VLOOKUP($B50,MMWR_TRAD_AGG_STATE_COMP[],D$1,0),"ERROR")</f>
        <v>267.62777490970001</v>
      </c>
      <c r="E50" s="111">
        <f>IFERROR(VLOOKUP($B50,MMWR_TRAD_AGG_STATE_COMP[],E$1,0),"ERROR")</f>
        <v>2057</v>
      </c>
      <c r="F50" s="112">
        <f>IFERROR(VLOOKUP($B50,MMWR_TRAD_AGG_STATE_COMP[],F$1,0),"ERROR")</f>
        <v>487</v>
      </c>
      <c r="G50" s="113">
        <f t="shared" si="4"/>
        <v>0.23675255226057365</v>
      </c>
      <c r="H50" s="111">
        <f>IFERROR(VLOOKUP($B50,MMWR_TRAD_AGG_STATE_COMP[],H$1,0),"ERROR")</f>
        <v>2664</v>
      </c>
      <c r="I50" s="112">
        <f>IFERROR(VLOOKUP($B50,MMWR_TRAD_AGG_STATE_COMP[],I$1,0),"ERROR")</f>
        <v>1484</v>
      </c>
      <c r="J50" s="114">
        <f t="shared" si="5"/>
        <v>0.5570570570570571</v>
      </c>
      <c r="K50" s="111">
        <f>IFERROR(VLOOKUP($B50,MMWR_TRAD_AGG_STATE_COMP[],K$1,0),"ERROR")</f>
        <v>380</v>
      </c>
      <c r="L50" s="112">
        <f>IFERROR(VLOOKUP($B50,MMWR_TRAD_AGG_STATE_COMP[],L$1,0),"ERROR")</f>
        <v>314</v>
      </c>
      <c r="M50" s="114">
        <f t="shared" si="6"/>
        <v>0.82631578947368423</v>
      </c>
      <c r="N50" s="111">
        <f>IFERROR(VLOOKUP($B50,MMWR_TRAD_AGG_STATE_COMP[],N$1,0),"ERROR")</f>
        <v>366</v>
      </c>
      <c r="O50" s="112">
        <f>IFERROR(VLOOKUP($B50,MMWR_TRAD_AGG_STATE_COMP[],O$1,0),"ERROR")</f>
        <v>242</v>
      </c>
      <c r="P50" s="114">
        <f t="shared" si="7"/>
        <v>0.66120218579234968</v>
      </c>
      <c r="Q50" s="115">
        <f>IFERROR(VLOOKUP($B50,MMWR_TRAD_AGG_STATE_COMP[],Q$1,0),"ERROR")</f>
        <v>6</v>
      </c>
      <c r="R50" s="115">
        <f>IFERROR(VLOOKUP($B50,MMWR_TRAD_AGG_STATE_COMP[],R$1,0),"ERROR")</f>
        <v>2</v>
      </c>
      <c r="S50" s="115">
        <f>IFERROR(VLOOKUP($B50,MMWR_APP_STATE_COMP[],S$1,0),"ERROR")</f>
        <v>1021</v>
      </c>
      <c r="T50" s="28"/>
    </row>
    <row r="51" spans="1:20" s="123" customFormat="1" x14ac:dyDescent="0.2">
      <c r="A51" s="28"/>
      <c r="B51" s="127" t="s">
        <v>418</v>
      </c>
      <c r="C51" s="109">
        <f>IFERROR(VLOOKUP($B51,MMWR_TRAD_AGG_STATE_COMP[],C$1,0),"ERROR")</f>
        <v>954</v>
      </c>
      <c r="D51" s="110">
        <f>IFERROR(VLOOKUP($B51,MMWR_TRAD_AGG_STATE_COMP[],D$1,0),"ERROR")</f>
        <v>259.86582809219999</v>
      </c>
      <c r="E51" s="111">
        <f>IFERROR(VLOOKUP($B51,MMWR_TRAD_AGG_STATE_COMP[],E$1,0),"ERROR")</f>
        <v>1666</v>
      </c>
      <c r="F51" s="112">
        <f>IFERROR(VLOOKUP($B51,MMWR_TRAD_AGG_STATE_COMP[],F$1,0),"ERROR")</f>
        <v>448</v>
      </c>
      <c r="G51" s="113">
        <f t="shared" si="4"/>
        <v>0.26890756302521007</v>
      </c>
      <c r="H51" s="111">
        <f>IFERROR(VLOOKUP($B51,MMWR_TRAD_AGG_STATE_COMP[],H$1,0),"ERROR")</f>
        <v>1702</v>
      </c>
      <c r="I51" s="112">
        <f>IFERROR(VLOOKUP($B51,MMWR_TRAD_AGG_STATE_COMP[],I$1,0),"ERROR")</f>
        <v>632</v>
      </c>
      <c r="J51" s="114">
        <f t="shared" si="5"/>
        <v>0.37132784958871917</v>
      </c>
      <c r="K51" s="111">
        <f>IFERROR(VLOOKUP($B51,MMWR_TRAD_AGG_STATE_COMP[],K$1,0),"ERROR")</f>
        <v>182</v>
      </c>
      <c r="L51" s="112">
        <f>IFERROR(VLOOKUP($B51,MMWR_TRAD_AGG_STATE_COMP[],L$1,0),"ERROR")</f>
        <v>103</v>
      </c>
      <c r="M51" s="114">
        <f t="shared" si="6"/>
        <v>0.56593406593406592</v>
      </c>
      <c r="N51" s="111">
        <f>IFERROR(VLOOKUP($B51,MMWR_TRAD_AGG_STATE_COMP[],N$1,0),"ERROR")</f>
        <v>294</v>
      </c>
      <c r="O51" s="112">
        <f>IFERROR(VLOOKUP($B51,MMWR_TRAD_AGG_STATE_COMP[],O$1,0),"ERROR")</f>
        <v>144</v>
      </c>
      <c r="P51" s="114">
        <f t="shared" si="7"/>
        <v>0.48979591836734693</v>
      </c>
      <c r="Q51" s="115">
        <f>IFERROR(VLOOKUP($B51,MMWR_TRAD_AGG_STATE_COMP[],Q$1,0),"ERROR")</f>
        <v>1</v>
      </c>
      <c r="R51" s="115">
        <f>IFERROR(VLOOKUP($B51,MMWR_TRAD_AGG_STATE_COMP[],R$1,0),"ERROR")</f>
        <v>12</v>
      </c>
      <c r="S51" s="115">
        <f>IFERROR(VLOOKUP($B51,MMWR_APP_STATE_COMP[],S$1,0),"ERROR")</f>
        <v>1045</v>
      </c>
      <c r="T51" s="28"/>
    </row>
    <row r="52" spans="1:20" s="123" customFormat="1" x14ac:dyDescent="0.2">
      <c r="A52" s="28"/>
      <c r="B52" s="127" t="s">
        <v>423</v>
      </c>
      <c r="C52" s="109">
        <f>IFERROR(VLOOKUP($B52,MMWR_TRAD_AGG_STATE_COMP[],C$1,0),"ERROR")</f>
        <v>4343</v>
      </c>
      <c r="D52" s="110">
        <f>IFERROR(VLOOKUP($B52,MMWR_TRAD_AGG_STATE_COMP[],D$1,0),"ERROR")</f>
        <v>440.9762836749</v>
      </c>
      <c r="E52" s="111">
        <f>IFERROR(VLOOKUP($B52,MMWR_TRAD_AGG_STATE_COMP[],E$1,0),"ERROR")</f>
        <v>4024</v>
      </c>
      <c r="F52" s="112">
        <f>IFERROR(VLOOKUP($B52,MMWR_TRAD_AGG_STATE_COMP[],F$1,0),"ERROR")</f>
        <v>1267</v>
      </c>
      <c r="G52" s="113">
        <f t="shared" si="4"/>
        <v>0.31486083499005962</v>
      </c>
      <c r="H52" s="111">
        <f>IFERROR(VLOOKUP($B52,MMWR_TRAD_AGG_STATE_COMP[],H$1,0),"ERROR")</f>
        <v>5514</v>
      </c>
      <c r="I52" s="112">
        <f>IFERROR(VLOOKUP($B52,MMWR_TRAD_AGG_STATE_COMP[],I$1,0),"ERROR")</f>
        <v>3649</v>
      </c>
      <c r="J52" s="114">
        <f t="shared" si="5"/>
        <v>0.6617700398984403</v>
      </c>
      <c r="K52" s="111">
        <f>IFERROR(VLOOKUP($B52,MMWR_TRAD_AGG_STATE_COMP[],K$1,0),"ERROR")</f>
        <v>539</v>
      </c>
      <c r="L52" s="112">
        <f>IFERROR(VLOOKUP($B52,MMWR_TRAD_AGG_STATE_COMP[],L$1,0),"ERROR")</f>
        <v>471</v>
      </c>
      <c r="M52" s="114">
        <f t="shared" si="6"/>
        <v>0.87384044526901672</v>
      </c>
      <c r="N52" s="111">
        <f>IFERROR(VLOOKUP($B52,MMWR_TRAD_AGG_STATE_COMP[],N$1,0),"ERROR")</f>
        <v>1535</v>
      </c>
      <c r="O52" s="112">
        <f>IFERROR(VLOOKUP($B52,MMWR_TRAD_AGG_STATE_COMP[],O$1,0),"ERROR")</f>
        <v>899</v>
      </c>
      <c r="P52" s="114">
        <f t="shared" si="7"/>
        <v>0.58566775244299674</v>
      </c>
      <c r="Q52" s="115">
        <f>IFERROR(VLOOKUP($B52,MMWR_TRAD_AGG_STATE_COMP[],Q$1,0),"ERROR")</f>
        <v>9</v>
      </c>
      <c r="R52" s="115">
        <f>IFERROR(VLOOKUP($B52,MMWR_TRAD_AGG_STATE_COMP[],R$1,0),"ERROR")</f>
        <v>111</v>
      </c>
      <c r="S52" s="115">
        <f>IFERROR(VLOOKUP($B52,MMWR_APP_STATE_COMP[],S$1,0),"ERROR")</f>
        <v>2843</v>
      </c>
      <c r="T52" s="28"/>
    </row>
    <row r="53" spans="1:20" s="123" customFormat="1" x14ac:dyDescent="0.2">
      <c r="A53" s="28"/>
      <c r="B53" s="127" t="s">
        <v>415</v>
      </c>
      <c r="C53" s="109">
        <f>IFERROR(VLOOKUP($B53,MMWR_TRAD_AGG_STATE_COMP[],C$1,0),"ERROR")</f>
        <v>1847</v>
      </c>
      <c r="D53" s="110">
        <f>IFERROR(VLOOKUP($B53,MMWR_TRAD_AGG_STATE_COMP[],D$1,0),"ERROR")</f>
        <v>207.01678397399999</v>
      </c>
      <c r="E53" s="111">
        <f>IFERROR(VLOOKUP($B53,MMWR_TRAD_AGG_STATE_COMP[],E$1,0),"ERROR")</f>
        <v>2998</v>
      </c>
      <c r="F53" s="112">
        <f>IFERROR(VLOOKUP($B53,MMWR_TRAD_AGG_STATE_COMP[],F$1,0),"ERROR")</f>
        <v>905</v>
      </c>
      <c r="G53" s="113">
        <f t="shared" si="4"/>
        <v>0.3018679119412942</v>
      </c>
      <c r="H53" s="111">
        <f>IFERROR(VLOOKUP($B53,MMWR_TRAD_AGG_STATE_COMP[],H$1,0),"ERROR")</f>
        <v>2624</v>
      </c>
      <c r="I53" s="112">
        <f>IFERROR(VLOOKUP($B53,MMWR_TRAD_AGG_STATE_COMP[],I$1,0),"ERROR")</f>
        <v>1070</v>
      </c>
      <c r="J53" s="114">
        <f t="shared" si="5"/>
        <v>0.40777439024390244</v>
      </c>
      <c r="K53" s="111">
        <f>IFERROR(VLOOKUP($B53,MMWR_TRAD_AGG_STATE_COMP[],K$1,0),"ERROR")</f>
        <v>254</v>
      </c>
      <c r="L53" s="112">
        <f>IFERROR(VLOOKUP($B53,MMWR_TRAD_AGG_STATE_COMP[],L$1,0),"ERROR")</f>
        <v>160</v>
      </c>
      <c r="M53" s="114">
        <f t="shared" si="6"/>
        <v>0.62992125984251968</v>
      </c>
      <c r="N53" s="111">
        <f>IFERROR(VLOOKUP($B53,MMWR_TRAD_AGG_STATE_COMP[],N$1,0),"ERROR")</f>
        <v>582</v>
      </c>
      <c r="O53" s="112">
        <f>IFERROR(VLOOKUP($B53,MMWR_TRAD_AGG_STATE_COMP[],O$1,0),"ERROR")</f>
        <v>270</v>
      </c>
      <c r="P53" s="114">
        <f t="shared" si="7"/>
        <v>0.46391752577319589</v>
      </c>
      <c r="Q53" s="115">
        <f>IFERROR(VLOOKUP($B53,MMWR_TRAD_AGG_STATE_COMP[],Q$1,0),"ERROR")</f>
        <v>4</v>
      </c>
      <c r="R53" s="115">
        <f>IFERROR(VLOOKUP($B53,MMWR_TRAD_AGG_STATE_COMP[],R$1,0),"ERROR")</f>
        <v>19</v>
      </c>
      <c r="S53" s="115">
        <f>IFERROR(VLOOKUP($B53,MMWR_APP_STATE_COMP[],S$1,0),"ERROR")</f>
        <v>1966</v>
      </c>
      <c r="T53" s="28"/>
    </row>
    <row r="54" spans="1:20" s="123" customFormat="1" x14ac:dyDescent="0.2">
      <c r="A54" s="28"/>
      <c r="B54" s="127" t="s">
        <v>419</v>
      </c>
      <c r="C54" s="109">
        <f>IFERROR(VLOOKUP($B54,MMWR_TRAD_AGG_STATE_COMP[],C$1,0),"ERROR")</f>
        <v>9482</v>
      </c>
      <c r="D54" s="110">
        <f>IFERROR(VLOOKUP($B54,MMWR_TRAD_AGG_STATE_COMP[],D$1,0),"ERROR")</f>
        <v>395.8967517401</v>
      </c>
      <c r="E54" s="111">
        <f>IFERROR(VLOOKUP($B54,MMWR_TRAD_AGG_STATE_COMP[],E$1,0),"ERROR")</f>
        <v>5325</v>
      </c>
      <c r="F54" s="112">
        <f>IFERROR(VLOOKUP($B54,MMWR_TRAD_AGG_STATE_COMP[],F$1,0),"ERROR")</f>
        <v>1923</v>
      </c>
      <c r="G54" s="113">
        <f t="shared" si="4"/>
        <v>0.36112676056338028</v>
      </c>
      <c r="H54" s="111">
        <f>IFERROR(VLOOKUP($B54,MMWR_TRAD_AGG_STATE_COMP[],H$1,0),"ERROR")</f>
        <v>12507</v>
      </c>
      <c r="I54" s="112">
        <f>IFERROR(VLOOKUP($B54,MMWR_TRAD_AGG_STATE_COMP[],I$1,0),"ERROR")</f>
        <v>8276</v>
      </c>
      <c r="J54" s="114">
        <f t="shared" si="5"/>
        <v>0.66170944271208121</v>
      </c>
      <c r="K54" s="111">
        <f>IFERROR(VLOOKUP($B54,MMWR_TRAD_AGG_STATE_COMP[],K$1,0),"ERROR")</f>
        <v>3647</v>
      </c>
      <c r="L54" s="112">
        <f>IFERROR(VLOOKUP($B54,MMWR_TRAD_AGG_STATE_COMP[],L$1,0),"ERROR")</f>
        <v>2985</v>
      </c>
      <c r="M54" s="114">
        <f t="shared" si="6"/>
        <v>0.81848094324102005</v>
      </c>
      <c r="N54" s="111">
        <f>IFERROR(VLOOKUP($B54,MMWR_TRAD_AGG_STATE_COMP[],N$1,0),"ERROR")</f>
        <v>1727</v>
      </c>
      <c r="O54" s="112">
        <f>IFERROR(VLOOKUP($B54,MMWR_TRAD_AGG_STATE_COMP[],O$1,0),"ERROR")</f>
        <v>665</v>
      </c>
      <c r="P54" s="114">
        <f t="shared" si="7"/>
        <v>0.38506079907353791</v>
      </c>
      <c r="Q54" s="115">
        <f>IFERROR(VLOOKUP($B54,MMWR_TRAD_AGG_STATE_COMP[],Q$1,0),"ERROR")</f>
        <v>3</v>
      </c>
      <c r="R54" s="115">
        <f>IFERROR(VLOOKUP($B54,MMWR_TRAD_AGG_STATE_COMP[],R$1,0),"ERROR")</f>
        <v>77</v>
      </c>
      <c r="S54" s="115">
        <f>IFERROR(VLOOKUP($B54,MMWR_APP_STATE_COMP[],S$1,0),"ERROR")</f>
        <v>5462</v>
      </c>
      <c r="T54" s="28"/>
    </row>
    <row r="55" spans="1:20" s="123" customFormat="1" x14ac:dyDescent="0.2">
      <c r="A55" s="28"/>
      <c r="B55" s="127" t="s">
        <v>83</v>
      </c>
      <c r="C55" s="109">
        <f>IFERROR(VLOOKUP($B55,MMWR_TRAD_AGG_STATE_COMP[],C$1,0),"ERROR")</f>
        <v>14439</v>
      </c>
      <c r="D55" s="110">
        <f>IFERROR(VLOOKUP($B55,MMWR_TRAD_AGG_STATE_COMP[],D$1,0),"ERROR")</f>
        <v>395.1538887735</v>
      </c>
      <c r="E55" s="111">
        <f>IFERROR(VLOOKUP($B55,MMWR_TRAD_AGG_STATE_COMP[],E$1,0),"ERROR")</f>
        <v>7152</v>
      </c>
      <c r="F55" s="112">
        <f>IFERROR(VLOOKUP($B55,MMWR_TRAD_AGG_STATE_COMP[],F$1,0),"ERROR")</f>
        <v>1890</v>
      </c>
      <c r="G55" s="113">
        <f t="shared" si="4"/>
        <v>0.26426174496644295</v>
      </c>
      <c r="H55" s="111">
        <f>IFERROR(VLOOKUP($B55,MMWR_TRAD_AGG_STATE_COMP[],H$1,0),"ERROR")</f>
        <v>20590</v>
      </c>
      <c r="I55" s="112">
        <f>IFERROR(VLOOKUP($B55,MMWR_TRAD_AGG_STATE_COMP[],I$1,0),"ERROR")</f>
        <v>13596</v>
      </c>
      <c r="J55" s="114">
        <f t="shared" si="5"/>
        <v>0.66032054395337547</v>
      </c>
      <c r="K55" s="111">
        <f>IFERROR(VLOOKUP($B55,MMWR_TRAD_AGG_STATE_COMP[],K$1,0),"ERROR")</f>
        <v>3621</v>
      </c>
      <c r="L55" s="112">
        <f>IFERROR(VLOOKUP($B55,MMWR_TRAD_AGG_STATE_COMP[],L$1,0),"ERROR")</f>
        <v>3241</v>
      </c>
      <c r="M55" s="114">
        <f t="shared" si="6"/>
        <v>0.89505661419497373</v>
      </c>
      <c r="N55" s="111">
        <f>IFERROR(VLOOKUP($B55,MMWR_TRAD_AGG_STATE_COMP[],N$1,0),"ERROR")</f>
        <v>5382</v>
      </c>
      <c r="O55" s="112">
        <f>IFERROR(VLOOKUP($B55,MMWR_TRAD_AGG_STATE_COMP[],O$1,0),"ERROR")</f>
        <v>4352</v>
      </c>
      <c r="P55" s="114">
        <f t="shared" si="7"/>
        <v>0.8086213303604608</v>
      </c>
      <c r="Q55" s="115">
        <f>IFERROR(VLOOKUP($B55,MMWR_TRAD_AGG_STATE_COMP[],Q$1,0),"ERROR")</f>
        <v>8</v>
      </c>
      <c r="R55" s="115">
        <f>IFERROR(VLOOKUP($B55,MMWR_TRAD_AGG_STATE_COMP[],R$1,0),"ERROR")</f>
        <v>141</v>
      </c>
      <c r="S55" s="115">
        <f>IFERROR(VLOOKUP($B55,MMWR_APP_STATE_COMP[],S$1,0),"ERROR")</f>
        <v>4896</v>
      </c>
      <c r="T55" s="28"/>
    </row>
    <row r="56" spans="1:20" s="123" customFormat="1" x14ac:dyDescent="0.2">
      <c r="A56" s="28"/>
      <c r="B56" s="126" t="s">
        <v>390</v>
      </c>
      <c r="C56" s="102">
        <f>IFERROR(VLOOKUP($B56,MMWR_TRAD_AGG_ST_DISTRICT_COMP[],C$1,0),"ERROR")</f>
        <v>80747</v>
      </c>
      <c r="D56" s="103">
        <f>IFERROR(VLOOKUP($B56,MMWR_TRAD_AGG_ST_DISTRICT_COMP[],D$1,0),"ERROR")</f>
        <v>354.23543908750003</v>
      </c>
      <c r="E56" s="102">
        <f>IFERROR(VLOOKUP($B56,MMWR_TRAD_AGG_ST_DISTRICT_COMP[],E$1,0),"ERROR")</f>
        <v>75383</v>
      </c>
      <c r="F56" s="102">
        <f>IFERROR(VLOOKUP($B56,MMWR_TRAD_AGG_ST_DISTRICT_COMP[],F$1,0),"ERROR")</f>
        <v>22821</v>
      </c>
      <c r="G56" s="104">
        <f t="shared" si="4"/>
        <v>0.30273403817836914</v>
      </c>
      <c r="H56" s="102">
        <f>IFERROR(VLOOKUP($B56,MMWR_TRAD_AGG_ST_DISTRICT_COMP[],H$1,0),"ERROR")</f>
        <v>112073</v>
      </c>
      <c r="I56" s="102">
        <f>IFERROR(VLOOKUP($B56,MMWR_TRAD_AGG_ST_DISTRICT_COMP[],I$1,0),"ERROR")</f>
        <v>72072</v>
      </c>
      <c r="J56" s="105">
        <f t="shared" si="5"/>
        <v>0.64308084908943275</v>
      </c>
      <c r="K56" s="102">
        <f>IFERROR(VLOOKUP($B56,MMWR_TRAD_AGG_ST_DISTRICT_COMP[],K$1,0),"ERROR")</f>
        <v>20269</v>
      </c>
      <c r="L56" s="102">
        <f>IFERROR(VLOOKUP($B56,MMWR_TRAD_AGG_ST_DISTRICT_COMP[],L$1,0),"ERROR")</f>
        <v>15984</v>
      </c>
      <c r="M56" s="105">
        <f t="shared" si="6"/>
        <v>0.78859341852089393</v>
      </c>
      <c r="N56" s="102">
        <f>IFERROR(VLOOKUP($B56,MMWR_TRAD_AGG_ST_DISTRICT_COMP[],N$1,0),"ERROR")</f>
        <v>40558</v>
      </c>
      <c r="O56" s="102">
        <f>IFERROR(VLOOKUP($B56,MMWR_TRAD_AGG_ST_DISTRICT_COMP[],O$1,0),"ERROR")</f>
        <v>22049</v>
      </c>
      <c r="P56" s="105">
        <f t="shared" si="7"/>
        <v>0.54364120518763248</v>
      </c>
      <c r="Q56" s="102">
        <f>IFERROR(VLOOKUP($B56,MMWR_TRAD_AGG_ST_DISTRICT_COMP[],Q$1,0),"ERROR")</f>
        <v>2708</v>
      </c>
      <c r="R56" s="106">
        <f>IFERROR(VLOOKUP($B56,MMWR_TRAD_AGG_ST_DISTRICT_COMP[],R$1,0),"ERROR")</f>
        <v>1106</v>
      </c>
      <c r="S56" s="106">
        <f>SUM(S57:S63)</f>
        <v>84523</v>
      </c>
      <c r="T56" s="28"/>
    </row>
    <row r="57" spans="1:20" s="123" customFormat="1" x14ac:dyDescent="0.2">
      <c r="A57" s="28"/>
      <c r="B57" s="127" t="s">
        <v>398</v>
      </c>
      <c r="C57" s="109">
        <f>IFERROR(VLOOKUP($B57,MMWR_TRAD_AGG_STATE_COMP[],C$1,0),"ERROR")</f>
        <v>14462</v>
      </c>
      <c r="D57" s="110">
        <f>IFERROR(VLOOKUP($B57,MMWR_TRAD_AGG_STATE_COMP[],D$1,0),"ERROR")</f>
        <v>365.14984096249998</v>
      </c>
      <c r="E57" s="111">
        <f>IFERROR(VLOOKUP($B57,MMWR_TRAD_AGG_STATE_COMP[],E$1,0),"ERROR")</f>
        <v>8254</v>
      </c>
      <c r="F57" s="112">
        <f>IFERROR(VLOOKUP($B57,MMWR_TRAD_AGG_STATE_COMP[],F$1,0),"ERROR")</f>
        <v>2182</v>
      </c>
      <c r="G57" s="113">
        <f t="shared" si="4"/>
        <v>0.26435667555124787</v>
      </c>
      <c r="H57" s="111">
        <f>IFERROR(VLOOKUP($B57,MMWR_TRAD_AGG_STATE_COMP[],H$1,0),"ERROR")</f>
        <v>16976</v>
      </c>
      <c r="I57" s="112">
        <f>IFERROR(VLOOKUP($B57,MMWR_TRAD_AGG_STATE_COMP[],I$1,0),"ERROR")</f>
        <v>11976</v>
      </c>
      <c r="J57" s="114">
        <f t="shared" si="5"/>
        <v>0.70546654099905748</v>
      </c>
      <c r="K57" s="111">
        <f>IFERROR(VLOOKUP($B57,MMWR_TRAD_AGG_STATE_COMP[],K$1,0),"ERROR")</f>
        <v>4315</v>
      </c>
      <c r="L57" s="112">
        <f>IFERROR(VLOOKUP($B57,MMWR_TRAD_AGG_STATE_COMP[],L$1,0),"ERROR")</f>
        <v>3920</v>
      </c>
      <c r="M57" s="114">
        <f t="shared" si="6"/>
        <v>0.90845886442641943</v>
      </c>
      <c r="N57" s="111">
        <f>IFERROR(VLOOKUP($B57,MMWR_TRAD_AGG_STATE_COMP[],N$1,0),"ERROR")</f>
        <v>3315</v>
      </c>
      <c r="O57" s="112">
        <f>IFERROR(VLOOKUP($B57,MMWR_TRAD_AGG_STATE_COMP[],O$1,0),"ERROR")</f>
        <v>2076</v>
      </c>
      <c r="P57" s="114">
        <f t="shared" si="7"/>
        <v>0.62624434389140271</v>
      </c>
      <c r="Q57" s="115">
        <f>IFERROR(VLOOKUP($B57,MMWR_TRAD_AGG_STATE_COMP[],Q$1,0),"ERROR")</f>
        <v>18</v>
      </c>
      <c r="R57" s="115">
        <f>IFERROR(VLOOKUP($B57,MMWR_TRAD_AGG_STATE_COMP[],R$1,0),"ERROR")</f>
        <v>359</v>
      </c>
      <c r="S57" s="115">
        <f>IFERROR(VLOOKUP($B57,MMWR_APP_STATE_COMP[],S$1,0),"ERROR")</f>
        <v>10794</v>
      </c>
      <c r="T57" s="28"/>
    </row>
    <row r="58" spans="1:20" s="123" customFormat="1" x14ac:dyDescent="0.2">
      <c r="A58" s="28"/>
      <c r="B58" s="127" t="s">
        <v>435</v>
      </c>
      <c r="C58" s="109">
        <f>IFERROR(VLOOKUP($B58,MMWR_TRAD_AGG_STATE_COMP[],C$1,0),"ERROR")</f>
        <v>20287</v>
      </c>
      <c r="D58" s="110">
        <f>IFERROR(VLOOKUP($B58,MMWR_TRAD_AGG_STATE_COMP[],D$1,0),"ERROR")</f>
        <v>325.56134470350003</v>
      </c>
      <c r="E58" s="111">
        <f>IFERROR(VLOOKUP($B58,MMWR_TRAD_AGG_STATE_COMP[],E$1,0),"ERROR")</f>
        <v>24715</v>
      </c>
      <c r="F58" s="112">
        <f>IFERROR(VLOOKUP($B58,MMWR_TRAD_AGG_STATE_COMP[],F$1,0),"ERROR")</f>
        <v>8422</v>
      </c>
      <c r="G58" s="113">
        <f t="shared" si="4"/>
        <v>0.34076471778272305</v>
      </c>
      <c r="H58" s="111">
        <f>IFERROR(VLOOKUP($B58,MMWR_TRAD_AGG_STATE_COMP[],H$1,0),"ERROR")</f>
        <v>28425</v>
      </c>
      <c r="I58" s="112">
        <f>IFERROR(VLOOKUP($B58,MMWR_TRAD_AGG_STATE_COMP[],I$1,0),"ERROR")</f>
        <v>17127</v>
      </c>
      <c r="J58" s="114">
        <f t="shared" si="5"/>
        <v>0.60253298153034296</v>
      </c>
      <c r="K58" s="111">
        <f>IFERROR(VLOOKUP($B58,MMWR_TRAD_AGG_STATE_COMP[],K$1,0),"ERROR")</f>
        <v>3767</v>
      </c>
      <c r="L58" s="112">
        <f>IFERROR(VLOOKUP($B58,MMWR_TRAD_AGG_STATE_COMP[],L$1,0),"ERROR")</f>
        <v>2672</v>
      </c>
      <c r="M58" s="114">
        <f t="shared" si="6"/>
        <v>0.70931775949031062</v>
      </c>
      <c r="N58" s="111">
        <f>IFERROR(VLOOKUP($B58,MMWR_TRAD_AGG_STATE_COMP[],N$1,0),"ERROR")</f>
        <v>11598</v>
      </c>
      <c r="O58" s="112">
        <f>IFERROR(VLOOKUP($B58,MMWR_TRAD_AGG_STATE_COMP[],O$1,0),"ERROR")</f>
        <v>6795</v>
      </c>
      <c r="P58" s="114">
        <f t="shared" si="7"/>
        <v>0.58587687532333166</v>
      </c>
      <c r="Q58" s="115">
        <f>IFERROR(VLOOKUP($B58,MMWR_TRAD_AGG_STATE_COMP[],Q$1,0),"ERROR")</f>
        <v>1338</v>
      </c>
      <c r="R58" s="115">
        <f>IFERROR(VLOOKUP($B58,MMWR_TRAD_AGG_STATE_COMP[],R$1,0),"ERROR")</f>
        <v>254</v>
      </c>
      <c r="S58" s="115">
        <f>IFERROR(VLOOKUP($B58,MMWR_APP_STATE_COMP[],S$1,0),"ERROR")</f>
        <v>28489</v>
      </c>
      <c r="T58" s="28"/>
    </row>
    <row r="59" spans="1:20" s="123" customFormat="1" x14ac:dyDescent="0.2">
      <c r="A59" s="28"/>
      <c r="B59" s="127" t="s">
        <v>391</v>
      </c>
      <c r="C59" s="109">
        <f>IFERROR(VLOOKUP($B59,MMWR_TRAD_AGG_STATE_COMP[],C$1,0),"ERROR")</f>
        <v>16023</v>
      </c>
      <c r="D59" s="110">
        <f>IFERROR(VLOOKUP($B59,MMWR_TRAD_AGG_STATE_COMP[],D$1,0),"ERROR")</f>
        <v>358.24901703799998</v>
      </c>
      <c r="E59" s="111">
        <f>IFERROR(VLOOKUP($B59,MMWR_TRAD_AGG_STATE_COMP[],E$1,0),"ERROR")</f>
        <v>15808</v>
      </c>
      <c r="F59" s="112">
        <f>IFERROR(VLOOKUP($B59,MMWR_TRAD_AGG_STATE_COMP[],F$1,0),"ERROR")</f>
        <v>4855</v>
      </c>
      <c r="G59" s="113">
        <f t="shared" si="4"/>
        <v>0.307122975708502</v>
      </c>
      <c r="H59" s="111">
        <f>IFERROR(VLOOKUP($B59,MMWR_TRAD_AGG_STATE_COMP[],H$1,0),"ERROR")</f>
        <v>24038</v>
      </c>
      <c r="I59" s="112">
        <f>IFERROR(VLOOKUP($B59,MMWR_TRAD_AGG_STATE_COMP[],I$1,0),"ERROR")</f>
        <v>15148</v>
      </c>
      <c r="J59" s="114">
        <f t="shared" si="5"/>
        <v>0.63016889924286545</v>
      </c>
      <c r="K59" s="111">
        <f>IFERROR(VLOOKUP($B59,MMWR_TRAD_AGG_STATE_COMP[],K$1,0),"ERROR")</f>
        <v>5450</v>
      </c>
      <c r="L59" s="112">
        <f>IFERROR(VLOOKUP($B59,MMWR_TRAD_AGG_STATE_COMP[],L$1,0),"ERROR")</f>
        <v>4457</v>
      </c>
      <c r="M59" s="114">
        <f t="shared" si="6"/>
        <v>0.81779816513761472</v>
      </c>
      <c r="N59" s="111">
        <f>IFERROR(VLOOKUP($B59,MMWR_TRAD_AGG_STATE_COMP[],N$1,0),"ERROR")</f>
        <v>18134</v>
      </c>
      <c r="O59" s="112">
        <f>IFERROR(VLOOKUP($B59,MMWR_TRAD_AGG_STATE_COMP[],O$1,0),"ERROR")</f>
        <v>8950</v>
      </c>
      <c r="P59" s="114">
        <f t="shared" si="7"/>
        <v>0.49354803132237784</v>
      </c>
      <c r="Q59" s="115">
        <f>IFERROR(VLOOKUP($B59,MMWR_TRAD_AGG_STATE_COMP[],Q$1,0),"ERROR")</f>
        <v>654</v>
      </c>
      <c r="R59" s="115">
        <f>IFERROR(VLOOKUP($B59,MMWR_TRAD_AGG_STATE_COMP[],R$1,0),"ERROR")</f>
        <v>42</v>
      </c>
      <c r="S59" s="115">
        <f>IFERROR(VLOOKUP($B59,MMWR_APP_STATE_COMP[],S$1,0),"ERROR")</f>
        <v>16587</v>
      </c>
      <c r="T59" s="28"/>
    </row>
    <row r="60" spans="1:20" s="123" customFormat="1" x14ac:dyDescent="0.2">
      <c r="A60" s="28"/>
      <c r="B60" s="127" t="s">
        <v>403</v>
      </c>
      <c r="C60" s="109">
        <f>IFERROR(VLOOKUP($B60,MMWR_TRAD_AGG_STATE_COMP[],C$1,0),"ERROR")</f>
        <v>7913</v>
      </c>
      <c r="D60" s="110">
        <f>IFERROR(VLOOKUP($B60,MMWR_TRAD_AGG_STATE_COMP[],D$1,0),"ERROR")</f>
        <v>520.32869960820005</v>
      </c>
      <c r="E60" s="111">
        <f>IFERROR(VLOOKUP($B60,MMWR_TRAD_AGG_STATE_COMP[],E$1,0),"ERROR")</f>
        <v>4465</v>
      </c>
      <c r="F60" s="112">
        <f>IFERROR(VLOOKUP($B60,MMWR_TRAD_AGG_STATE_COMP[],F$1,0),"ERROR")</f>
        <v>1311</v>
      </c>
      <c r="G60" s="113">
        <f t="shared" si="4"/>
        <v>0.29361702127659572</v>
      </c>
      <c r="H60" s="111">
        <f>IFERROR(VLOOKUP($B60,MMWR_TRAD_AGG_STATE_COMP[],H$1,0),"ERROR")</f>
        <v>10810</v>
      </c>
      <c r="I60" s="112">
        <f>IFERROR(VLOOKUP($B60,MMWR_TRAD_AGG_STATE_COMP[],I$1,0),"ERROR")</f>
        <v>7405</v>
      </c>
      <c r="J60" s="114">
        <f t="shared" si="5"/>
        <v>0.68501387604070307</v>
      </c>
      <c r="K60" s="111">
        <f>IFERROR(VLOOKUP($B60,MMWR_TRAD_AGG_STATE_COMP[],K$1,0),"ERROR")</f>
        <v>2564</v>
      </c>
      <c r="L60" s="112">
        <f>IFERROR(VLOOKUP($B60,MMWR_TRAD_AGG_STATE_COMP[],L$1,0),"ERROR")</f>
        <v>2054</v>
      </c>
      <c r="M60" s="114">
        <f t="shared" si="6"/>
        <v>0.80109204368174725</v>
      </c>
      <c r="N60" s="111">
        <f>IFERROR(VLOOKUP($B60,MMWR_TRAD_AGG_STATE_COMP[],N$1,0),"ERROR")</f>
        <v>984</v>
      </c>
      <c r="O60" s="112">
        <f>IFERROR(VLOOKUP($B60,MMWR_TRAD_AGG_STATE_COMP[],O$1,0),"ERROR")</f>
        <v>577</v>
      </c>
      <c r="P60" s="114">
        <f t="shared" si="7"/>
        <v>0.58638211382113825</v>
      </c>
      <c r="Q60" s="115">
        <f>IFERROR(VLOOKUP($B60,MMWR_TRAD_AGG_STATE_COMP[],Q$1,0),"ERROR")</f>
        <v>44</v>
      </c>
      <c r="R60" s="115">
        <f>IFERROR(VLOOKUP($B60,MMWR_TRAD_AGG_STATE_COMP[],R$1,0),"ERROR")</f>
        <v>157</v>
      </c>
      <c r="S60" s="115">
        <f>IFERROR(VLOOKUP($B60,MMWR_APP_STATE_COMP[],S$1,0),"ERROR")</f>
        <v>3310</v>
      </c>
      <c r="T60" s="28"/>
    </row>
    <row r="61" spans="1:20" s="123" customFormat="1" x14ac:dyDescent="0.2">
      <c r="A61" s="28"/>
      <c r="B61" s="127" t="s">
        <v>437</v>
      </c>
      <c r="C61" s="109">
        <f>IFERROR(VLOOKUP($B61,MMWR_TRAD_AGG_STATE_COMP[],C$1,0),"ERROR")</f>
        <v>2849</v>
      </c>
      <c r="D61" s="110">
        <f>IFERROR(VLOOKUP($B61,MMWR_TRAD_AGG_STATE_COMP[],D$1,0),"ERROR")</f>
        <v>301.04457704459998</v>
      </c>
      <c r="E61" s="111">
        <f>IFERROR(VLOOKUP($B61,MMWR_TRAD_AGG_STATE_COMP[],E$1,0),"ERROR")</f>
        <v>2677</v>
      </c>
      <c r="F61" s="112">
        <f>IFERROR(VLOOKUP($B61,MMWR_TRAD_AGG_STATE_COMP[],F$1,0),"ERROR")</f>
        <v>923</v>
      </c>
      <c r="G61" s="113">
        <f t="shared" si="4"/>
        <v>0.34478894284646994</v>
      </c>
      <c r="H61" s="111">
        <f>IFERROR(VLOOKUP($B61,MMWR_TRAD_AGG_STATE_COMP[],H$1,0),"ERROR")</f>
        <v>4815</v>
      </c>
      <c r="I61" s="112">
        <f>IFERROR(VLOOKUP($B61,MMWR_TRAD_AGG_STATE_COMP[],I$1,0),"ERROR")</f>
        <v>3179</v>
      </c>
      <c r="J61" s="114">
        <f t="shared" si="5"/>
        <v>0.66022845275181719</v>
      </c>
      <c r="K61" s="111">
        <f>IFERROR(VLOOKUP($B61,MMWR_TRAD_AGG_STATE_COMP[],K$1,0),"ERROR")</f>
        <v>754</v>
      </c>
      <c r="L61" s="112">
        <f>IFERROR(VLOOKUP($B61,MMWR_TRAD_AGG_STATE_COMP[],L$1,0),"ERROR")</f>
        <v>636</v>
      </c>
      <c r="M61" s="114">
        <f t="shared" si="6"/>
        <v>0.843501326259947</v>
      </c>
      <c r="N61" s="111">
        <f>IFERROR(VLOOKUP($B61,MMWR_TRAD_AGG_STATE_COMP[],N$1,0),"ERROR")</f>
        <v>1784</v>
      </c>
      <c r="O61" s="112">
        <f>IFERROR(VLOOKUP($B61,MMWR_TRAD_AGG_STATE_COMP[],O$1,0),"ERROR")</f>
        <v>974</v>
      </c>
      <c r="P61" s="114">
        <f t="shared" si="7"/>
        <v>0.54596412556053808</v>
      </c>
      <c r="Q61" s="115">
        <f>IFERROR(VLOOKUP($B61,MMWR_TRAD_AGG_STATE_COMP[],Q$1,0),"ERROR")</f>
        <v>204</v>
      </c>
      <c r="R61" s="115">
        <f>IFERROR(VLOOKUP($B61,MMWR_TRAD_AGG_STATE_COMP[],R$1,0),"ERROR")</f>
        <v>4</v>
      </c>
      <c r="S61" s="115">
        <f>IFERROR(VLOOKUP($B61,MMWR_APP_STATE_COMP[],S$1,0),"ERROR")</f>
        <v>6137</v>
      </c>
      <c r="T61" s="28"/>
    </row>
    <row r="62" spans="1:20" s="123" customFormat="1" x14ac:dyDescent="0.2">
      <c r="A62" s="28"/>
      <c r="B62" s="127" t="s">
        <v>393</v>
      </c>
      <c r="C62" s="109">
        <f>IFERROR(VLOOKUP($B62,MMWR_TRAD_AGG_STATE_COMP[],C$1,0),"ERROR")</f>
        <v>11753</v>
      </c>
      <c r="D62" s="110">
        <f>IFERROR(VLOOKUP($B62,MMWR_TRAD_AGG_STATE_COMP[],D$1,0),"ERROR")</f>
        <v>340.35761082279998</v>
      </c>
      <c r="E62" s="111">
        <f>IFERROR(VLOOKUP($B62,MMWR_TRAD_AGG_STATE_COMP[],E$1,0),"ERROR")</f>
        <v>9796</v>
      </c>
      <c r="F62" s="112">
        <f>IFERROR(VLOOKUP($B62,MMWR_TRAD_AGG_STATE_COMP[],F$1,0),"ERROR")</f>
        <v>2732</v>
      </c>
      <c r="G62" s="113">
        <f t="shared" si="4"/>
        <v>0.27888934258881176</v>
      </c>
      <c r="H62" s="111">
        <f>IFERROR(VLOOKUP($B62,MMWR_TRAD_AGG_STATE_COMP[],H$1,0),"ERROR")</f>
        <v>16568</v>
      </c>
      <c r="I62" s="112">
        <f>IFERROR(VLOOKUP($B62,MMWR_TRAD_AGG_STATE_COMP[],I$1,0),"ERROR")</f>
        <v>11407</v>
      </c>
      <c r="J62" s="114">
        <f t="shared" si="5"/>
        <v>0.6884958957025592</v>
      </c>
      <c r="K62" s="111">
        <f>IFERROR(VLOOKUP($B62,MMWR_TRAD_AGG_STATE_COMP[],K$1,0),"ERROR")</f>
        <v>1995</v>
      </c>
      <c r="L62" s="112">
        <f>IFERROR(VLOOKUP($B62,MMWR_TRAD_AGG_STATE_COMP[],L$1,0),"ERROR")</f>
        <v>1091</v>
      </c>
      <c r="M62" s="114">
        <f t="shared" si="6"/>
        <v>0.5468671679197995</v>
      </c>
      <c r="N62" s="111">
        <f>IFERROR(VLOOKUP($B62,MMWR_TRAD_AGG_STATE_COMP[],N$1,0),"ERROR")</f>
        <v>2855</v>
      </c>
      <c r="O62" s="112">
        <f>IFERROR(VLOOKUP($B62,MMWR_TRAD_AGG_STATE_COMP[],O$1,0),"ERROR")</f>
        <v>1582</v>
      </c>
      <c r="P62" s="114">
        <f t="shared" si="7"/>
        <v>0.55411558669001748</v>
      </c>
      <c r="Q62" s="115">
        <f>IFERROR(VLOOKUP($B62,MMWR_TRAD_AGG_STATE_COMP[],Q$1,0),"ERROR")</f>
        <v>418</v>
      </c>
      <c r="R62" s="115">
        <f>IFERROR(VLOOKUP($B62,MMWR_TRAD_AGG_STATE_COMP[],R$1,0),"ERROR")</f>
        <v>61</v>
      </c>
      <c r="S62" s="115">
        <f>IFERROR(VLOOKUP($B62,MMWR_APP_STATE_COMP[],S$1,0),"ERROR")</f>
        <v>12133</v>
      </c>
      <c r="T62" s="28"/>
    </row>
    <row r="63" spans="1:20" s="123" customFormat="1" x14ac:dyDescent="0.2">
      <c r="A63" s="28"/>
      <c r="B63" s="127" t="s">
        <v>394</v>
      </c>
      <c r="C63" s="109">
        <f>IFERROR(VLOOKUP($B63,MMWR_TRAD_AGG_STATE_COMP[],C$1,0),"ERROR")</f>
        <v>7460</v>
      </c>
      <c r="D63" s="110">
        <f>IFERROR(VLOOKUP($B63,MMWR_TRAD_AGG_STATE_COMP[],D$1,0),"ERROR")</f>
        <v>268.43230562999997</v>
      </c>
      <c r="E63" s="111">
        <f>IFERROR(VLOOKUP($B63,MMWR_TRAD_AGG_STATE_COMP[],E$1,0),"ERROR")</f>
        <v>9668</v>
      </c>
      <c r="F63" s="112">
        <f>IFERROR(VLOOKUP($B63,MMWR_TRAD_AGG_STATE_COMP[],F$1,0),"ERROR")</f>
        <v>2396</v>
      </c>
      <c r="G63" s="113">
        <f t="shared" si="4"/>
        <v>0.24782788580885395</v>
      </c>
      <c r="H63" s="111">
        <f>IFERROR(VLOOKUP($B63,MMWR_TRAD_AGG_STATE_COMP[],H$1,0),"ERROR")</f>
        <v>10441</v>
      </c>
      <c r="I63" s="112">
        <f>IFERROR(VLOOKUP($B63,MMWR_TRAD_AGG_STATE_COMP[],I$1,0),"ERROR")</f>
        <v>5830</v>
      </c>
      <c r="J63" s="114">
        <f t="shared" si="5"/>
        <v>0.55837563451776651</v>
      </c>
      <c r="K63" s="111">
        <f>IFERROR(VLOOKUP($B63,MMWR_TRAD_AGG_STATE_COMP[],K$1,0),"ERROR")</f>
        <v>1424</v>
      </c>
      <c r="L63" s="112">
        <f>IFERROR(VLOOKUP($B63,MMWR_TRAD_AGG_STATE_COMP[],L$1,0),"ERROR")</f>
        <v>1154</v>
      </c>
      <c r="M63" s="114">
        <f t="shared" si="6"/>
        <v>0.8103932584269663</v>
      </c>
      <c r="N63" s="111">
        <f>IFERROR(VLOOKUP($B63,MMWR_TRAD_AGG_STATE_COMP[],N$1,0),"ERROR")</f>
        <v>1888</v>
      </c>
      <c r="O63" s="112">
        <f>IFERROR(VLOOKUP($B63,MMWR_TRAD_AGG_STATE_COMP[],O$1,0),"ERROR")</f>
        <v>1095</v>
      </c>
      <c r="P63" s="114">
        <f t="shared" si="7"/>
        <v>0.57997881355932202</v>
      </c>
      <c r="Q63" s="115">
        <f>IFERROR(VLOOKUP($B63,MMWR_TRAD_AGG_STATE_COMP[],Q$1,0),"ERROR")</f>
        <v>32</v>
      </c>
      <c r="R63" s="115">
        <f>IFERROR(VLOOKUP($B63,MMWR_TRAD_AGG_STATE_COMP[],R$1,0),"ERROR")</f>
        <v>229</v>
      </c>
      <c r="S63" s="115">
        <f>IFERROR(VLOOKUP($B63,MMWR_APP_STATE_COMP[],S$1,0),"ERROR")</f>
        <v>7073</v>
      </c>
      <c r="T63" s="28"/>
    </row>
    <row r="64" spans="1:20" s="123" customFormat="1" x14ac:dyDescent="0.2">
      <c r="A64" s="28"/>
      <c r="B64" s="128" t="s">
        <v>8</v>
      </c>
      <c r="C64" s="102">
        <f>IFERROR(VLOOKUP($B64,MMWR_TRAD_AGG_ST_DISTRICT_COMP[],C$1,0),"ERROR")</f>
        <v>8866</v>
      </c>
      <c r="D64" s="103">
        <f>IFERROR(VLOOKUP($B64,MMWR_TRAD_AGG_ST_DISTRICT_COMP[],D$1,0),"ERROR")</f>
        <v>417.05707196029999</v>
      </c>
      <c r="E64" s="102">
        <f>IFERROR(VLOOKUP($B64,MMWR_TRAD_AGG_ST_DISTRICT_COMP[],E$1,0),"ERROR")</f>
        <v>4142</v>
      </c>
      <c r="F64" s="102">
        <f>IFERROR(VLOOKUP($B64,MMWR_TRAD_AGG_ST_DISTRICT_COMP[],F$1,0),"ERROR")</f>
        <v>1819</v>
      </c>
      <c r="G64" s="104">
        <f t="shared" si="4"/>
        <v>0.43915982617093191</v>
      </c>
      <c r="H64" s="102">
        <f>IFERROR(VLOOKUP($B64,MMWR_TRAD_AGG_ST_DISTRICT_COMP[],H$1,0),"ERROR")</f>
        <v>10759</v>
      </c>
      <c r="I64" s="102">
        <f>IFERROR(VLOOKUP($B64,MMWR_TRAD_AGG_ST_DISTRICT_COMP[],I$1,0),"ERROR")</f>
        <v>8199</v>
      </c>
      <c r="J64" s="105">
        <f t="shared" si="5"/>
        <v>0.76205967097313876</v>
      </c>
      <c r="K64" s="102">
        <f>IFERROR(VLOOKUP($B64,MMWR_TRAD_AGG_ST_DISTRICT_COMP[],K$1,0),"ERROR")</f>
        <v>1363</v>
      </c>
      <c r="L64" s="102">
        <f>IFERROR(VLOOKUP($B64,MMWR_TRAD_AGG_ST_DISTRICT_COMP[],L$1,0),"ERROR")</f>
        <v>1173</v>
      </c>
      <c r="M64" s="105">
        <f t="shared" si="6"/>
        <v>0.86060161408657376</v>
      </c>
      <c r="N64" s="102">
        <f>IFERROR(VLOOKUP($B64,MMWR_TRAD_AGG_ST_DISTRICT_COMP[],N$1,0),"ERROR")</f>
        <v>15603</v>
      </c>
      <c r="O64" s="102">
        <f>IFERROR(VLOOKUP($B64,MMWR_TRAD_AGG_ST_DISTRICT_COMP[],O$1,0),"ERROR")</f>
        <v>11901</v>
      </c>
      <c r="P64" s="105">
        <f t="shared" si="7"/>
        <v>0.76273793501249765</v>
      </c>
      <c r="Q64" s="102">
        <f>IFERROR(VLOOKUP($B64,MMWR_TRAD_AGG_ST_DISTRICT_COMP[],Q$1,0),"ERROR")</f>
        <v>378</v>
      </c>
      <c r="R64" s="106">
        <f>IFERROR(VLOOKUP($B64,MMWR_TRAD_AGG_ST_DISTRICT_COMP[],R$1,0),"ERROR")</f>
        <v>152</v>
      </c>
      <c r="S64" s="106">
        <f>IFERROR(VLOOKUP($B64,MMWR_APP_STATE_COMP[],S$1,0),"ERROR")</f>
        <v>386</v>
      </c>
      <c r="T64" s="28"/>
    </row>
    <row r="65" spans="1:20" s="123" customFormat="1" x14ac:dyDescent="0.2">
      <c r="A65" s="28"/>
      <c r="B65" s="28"/>
      <c r="C65" s="28"/>
      <c r="D65" s="28"/>
      <c r="E65" s="28"/>
      <c r="F65" s="28"/>
      <c r="G65" s="28"/>
      <c r="H65" s="28"/>
      <c r="I65" s="28"/>
      <c r="J65" s="28"/>
      <c r="K65" s="28"/>
      <c r="L65" s="28"/>
      <c r="M65" s="28"/>
      <c r="N65" s="28"/>
      <c r="O65" s="28"/>
      <c r="P65" s="28"/>
      <c r="Q65" s="28"/>
      <c r="R65" s="28"/>
      <c r="S65" s="28"/>
      <c r="T65" s="28"/>
    </row>
    <row r="66" spans="1:20" s="123" customFormat="1" ht="26.25" x14ac:dyDescent="0.4">
      <c r="A66" s="28"/>
      <c r="B66" s="26"/>
      <c r="C66" s="451" t="s">
        <v>497</v>
      </c>
      <c r="D66" s="452"/>
      <c r="E66" s="452"/>
      <c r="F66" s="452"/>
      <c r="G66" s="452"/>
      <c r="H66" s="452"/>
      <c r="I66" s="452"/>
      <c r="J66" s="452"/>
      <c r="K66" s="452"/>
      <c r="L66" s="452"/>
      <c r="M66" s="452"/>
      <c r="N66" s="452"/>
      <c r="O66" s="452"/>
      <c r="P66" s="452"/>
      <c r="Q66" s="452"/>
      <c r="R66" s="452"/>
      <c r="S66" s="453"/>
      <c r="T66" s="28"/>
    </row>
    <row r="67" spans="1:20" s="123" customFormat="1" x14ac:dyDescent="0.2">
      <c r="A67" s="28"/>
      <c r="B67" s="26"/>
      <c r="C67" s="459" t="s">
        <v>233</v>
      </c>
      <c r="D67" s="459"/>
      <c r="E67" s="456" t="s">
        <v>213</v>
      </c>
      <c r="F67" s="457"/>
      <c r="G67" s="458"/>
      <c r="H67" s="456" t="s">
        <v>7</v>
      </c>
      <c r="I67" s="457"/>
      <c r="J67" s="458"/>
      <c r="K67" s="456" t="s">
        <v>33</v>
      </c>
      <c r="L67" s="457"/>
      <c r="M67" s="458"/>
      <c r="N67" s="456" t="s">
        <v>8</v>
      </c>
      <c r="O67" s="457"/>
      <c r="P67" s="458"/>
      <c r="Q67" s="81" t="s">
        <v>9</v>
      </c>
      <c r="R67" s="82" t="s">
        <v>10</v>
      </c>
      <c r="S67" s="82" t="s">
        <v>11</v>
      </c>
      <c r="T67" s="28"/>
    </row>
    <row r="68" spans="1:20" s="123" customFormat="1" ht="38.25" x14ac:dyDescent="0.2">
      <c r="A68" s="28"/>
      <c r="B68" s="54"/>
      <c r="C68" s="84" t="s">
        <v>12</v>
      </c>
      <c r="D68" s="85" t="s">
        <v>140</v>
      </c>
      <c r="E68" s="86" t="s">
        <v>12</v>
      </c>
      <c r="F68" s="87" t="s">
        <v>3</v>
      </c>
      <c r="G68" s="88" t="s">
        <v>4</v>
      </c>
      <c r="H68" s="86" t="s">
        <v>12</v>
      </c>
      <c r="I68" s="87" t="s">
        <v>3</v>
      </c>
      <c r="J68" s="88" t="s">
        <v>4</v>
      </c>
      <c r="K68" s="86" t="s">
        <v>12</v>
      </c>
      <c r="L68" s="87" t="s">
        <v>3</v>
      </c>
      <c r="M68" s="88" t="s">
        <v>4</v>
      </c>
      <c r="N68" s="86" t="s">
        <v>12</v>
      </c>
      <c r="O68" s="87" t="s">
        <v>3</v>
      </c>
      <c r="P68" s="88" t="s">
        <v>4</v>
      </c>
      <c r="Q68" s="89" t="s">
        <v>12</v>
      </c>
      <c r="R68" s="89" t="s">
        <v>12</v>
      </c>
      <c r="S68" s="89" t="s">
        <v>498</v>
      </c>
      <c r="T68" s="28"/>
    </row>
    <row r="69" spans="1:20" s="123" customFormat="1" x14ac:dyDescent="0.2">
      <c r="A69" s="28"/>
      <c r="B69" s="129" t="s">
        <v>472</v>
      </c>
      <c r="C69" s="119">
        <f>IFERROR(VLOOKUP($B69,MMWR_TRAD_AGG_RO_PEN[],C$1,0),"ERROR")</f>
        <v>17947</v>
      </c>
      <c r="D69" s="120">
        <f>IFERROR(VLOOKUP($B69,MMWR_TRAD_AGG_RO_PEN[],D$1,0),"ERROR")</f>
        <v>84.471722293400006</v>
      </c>
      <c r="E69" s="119">
        <f>IFERROR(VLOOKUP($B69,MMWR_TRAD_AGG_RO_PEN[],E$1,0),"ERROR")</f>
        <v>24999</v>
      </c>
      <c r="F69" s="119">
        <f>IFERROR(VLOOKUP($B69,MMWR_TRAD_AGG_RO_PEN[],F$1,0),"ERROR")</f>
        <v>3363</v>
      </c>
      <c r="G69" s="98">
        <f t="shared" ref="G69:G100" si="8">IFERROR(F69/E69,"0%")</f>
        <v>0.13452538101524061</v>
      </c>
      <c r="H69" s="119">
        <f>IFERROR(VLOOKUP($B69,MMWR_TRAD_AGG_RO_PEN[],H$1,0),"ERROR")</f>
        <v>29981</v>
      </c>
      <c r="I69" s="119">
        <f>IFERROR(VLOOKUP($B69,MMWR_TRAD_AGG_RO_PEN[],I$1,0),"ERROR")</f>
        <v>6487</v>
      </c>
      <c r="J69" s="98">
        <f t="shared" ref="J69:J100" si="9">IFERROR(I69/H69,"0%")</f>
        <v>0.21637036789966979</v>
      </c>
      <c r="K69" s="119">
        <f>IFERROR(VLOOKUP($B69,MMWR_TRAD_AGG_RO_PEN[],K$1,0),"ERROR")</f>
        <v>825</v>
      </c>
      <c r="L69" s="119">
        <f>IFERROR(VLOOKUP($B69,MMWR_TRAD_AGG_RO_PEN[],L$1,0),"ERROR")</f>
        <v>798</v>
      </c>
      <c r="M69" s="98">
        <f t="shared" ref="M69:M100" si="10">IFERROR(L69/K69,"0%")</f>
        <v>0.96727272727272728</v>
      </c>
      <c r="N69" s="119">
        <f>IFERROR(VLOOKUP($B69,MMWR_TRAD_AGG_RO_PEN[],N$1,0),"ERROR")</f>
        <v>5044</v>
      </c>
      <c r="O69" s="119">
        <f>IFERROR(VLOOKUP($B69,MMWR_TRAD_AGG_RO_PEN[],O$1,0),"ERROR")</f>
        <v>899</v>
      </c>
      <c r="P69" s="98">
        <f t="shared" ref="P69:P100" si="11">IFERROR(O69/N69,"0%")</f>
        <v>0.17823156225218081</v>
      </c>
      <c r="Q69" s="119">
        <f>IFERROR(VLOOKUP($B69,MMWR_TRAD_AGG_RO_PEN[],Q$1,0),"ERROR")</f>
        <v>11305</v>
      </c>
      <c r="R69" s="121">
        <f>IFERROR(VLOOKUP($B69,MMWR_TRAD_AGG_RO_PEN[],R$1,0),"ERROR")</f>
        <v>5116</v>
      </c>
      <c r="S69" s="121">
        <f>S70+S86+S99+S109+S119+S127</f>
        <v>5634</v>
      </c>
      <c r="T69" s="28"/>
    </row>
    <row r="70" spans="1:20" s="123" customFormat="1" x14ac:dyDescent="0.2">
      <c r="A70" s="28"/>
      <c r="B70" s="126" t="s">
        <v>379</v>
      </c>
      <c r="C70" s="102">
        <f>IFERROR(VLOOKUP($B70,MMWR_TRAD_AGG_ST_DISTRICT_PEN[],C$1,0),"ERROR")</f>
        <v>6392</v>
      </c>
      <c r="D70" s="103">
        <f>IFERROR(VLOOKUP($B70,MMWR_TRAD_AGG_ST_DISTRICT_PEN[],D$1,0),"ERROR")</f>
        <v>94.551001251599999</v>
      </c>
      <c r="E70" s="102">
        <f>IFERROR(VLOOKUP($B70,MMWR_TRAD_AGG_ST_DISTRICT_PEN[],E$1,0),"ERROR")</f>
        <v>6896</v>
      </c>
      <c r="F70" s="102">
        <f>IFERROR(VLOOKUP($B70,MMWR_TRAD_AGG_ST_DISTRICT_PEN[],F$1,0),"ERROR")</f>
        <v>1567</v>
      </c>
      <c r="G70" s="104">
        <f t="shared" si="8"/>
        <v>0.22723317865429235</v>
      </c>
      <c r="H70" s="102">
        <f>IFERROR(VLOOKUP($B70,MMWR_TRAD_AGG_ST_DISTRICT_PEN[],H$1,0),"ERROR")</f>
        <v>10044</v>
      </c>
      <c r="I70" s="102">
        <f>IFERROR(VLOOKUP($B70,MMWR_TRAD_AGG_ST_DISTRICT_PEN[],I$1,0),"ERROR")</f>
        <v>2848</v>
      </c>
      <c r="J70" s="104">
        <f t="shared" si="9"/>
        <v>0.28355236957387497</v>
      </c>
      <c r="K70" s="102">
        <f>IFERROR(VLOOKUP($B70,MMWR_TRAD_AGG_ST_DISTRICT_PEN[],K$1,0),"ERROR")</f>
        <v>427</v>
      </c>
      <c r="L70" s="102">
        <f>IFERROR(VLOOKUP($B70,MMWR_TRAD_AGG_ST_DISTRICT_PEN[],L$1,0),"ERROR")</f>
        <v>420</v>
      </c>
      <c r="M70" s="104">
        <f t="shared" si="10"/>
        <v>0.98360655737704916</v>
      </c>
      <c r="N70" s="102">
        <f>IFERROR(VLOOKUP($B70,MMWR_TRAD_AGG_ST_DISTRICT_PEN[],N$1,0),"ERROR")</f>
        <v>2571</v>
      </c>
      <c r="O70" s="102">
        <f>IFERROR(VLOOKUP($B70,MMWR_TRAD_AGG_ST_DISTRICT_PEN[],O$1,0),"ERROR")</f>
        <v>355</v>
      </c>
      <c r="P70" s="104">
        <f t="shared" si="11"/>
        <v>0.13807856865033061</v>
      </c>
      <c r="Q70" s="102">
        <f>IFERROR(VLOOKUP($B70,MMWR_TRAD_AGG_ST_DISTRICT_PEN[],Q$1,0),"ERROR")</f>
        <v>859</v>
      </c>
      <c r="R70" s="106">
        <f>IFERROR(VLOOKUP($B70,MMWR_TRAD_AGG_ST_DISTRICT_PEN[],R$1,0),"ERROR")</f>
        <v>2058</v>
      </c>
      <c r="S70" s="106">
        <f>IFERROR(VLOOKUP($B70,MMWR_APP_STATE_PEN[],S$1,0),"ERROR")</f>
        <v>1504</v>
      </c>
      <c r="T70" s="28"/>
    </row>
    <row r="71" spans="1:20" s="123" customFormat="1" x14ac:dyDescent="0.2">
      <c r="A71" s="28"/>
      <c r="B71" s="127" t="s">
        <v>383</v>
      </c>
      <c r="C71" s="109">
        <f>IFERROR(VLOOKUP($B71,MMWR_TRAD_AGG_STATE_PEN[],C$1,0),"ERROR")</f>
        <v>152</v>
      </c>
      <c r="D71" s="110">
        <f>IFERROR(VLOOKUP($B71,MMWR_TRAD_AGG_STATE_PEN[],D$1,0),"ERROR")</f>
        <v>80.085526315799996</v>
      </c>
      <c r="E71" s="111">
        <f>IFERROR(VLOOKUP($B71,MMWR_TRAD_AGG_STATE_PEN[],E$1,0),"ERROR")</f>
        <v>245</v>
      </c>
      <c r="F71" s="112">
        <f>IFERROR(VLOOKUP($B71,MMWR_TRAD_AGG_STATE_PEN[],F$1,0),"ERROR")</f>
        <v>53</v>
      </c>
      <c r="G71" s="113">
        <f t="shared" si="8"/>
        <v>0.21632653061224491</v>
      </c>
      <c r="H71" s="111">
        <f>IFERROR(VLOOKUP($B71,MMWR_TRAD_AGG_STATE_PEN[],H$1,0),"ERROR")</f>
        <v>229</v>
      </c>
      <c r="I71" s="112">
        <f>IFERROR(VLOOKUP($B71,MMWR_TRAD_AGG_STATE_PEN[],I$1,0),"ERROR")</f>
        <v>50</v>
      </c>
      <c r="J71" s="114">
        <f t="shared" si="9"/>
        <v>0.2183406113537118</v>
      </c>
      <c r="K71" s="111">
        <f>IFERROR(VLOOKUP($B71,MMWR_TRAD_AGG_STATE_PEN[],K$1,0),"ERROR")</f>
        <v>6</v>
      </c>
      <c r="L71" s="112">
        <f>IFERROR(VLOOKUP($B71,MMWR_TRAD_AGG_STATE_PEN[],L$1,0),"ERROR")</f>
        <v>6</v>
      </c>
      <c r="M71" s="114">
        <f t="shared" si="10"/>
        <v>1</v>
      </c>
      <c r="N71" s="111">
        <f>IFERROR(VLOOKUP($B71,MMWR_TRAD_AGG_STATE_PEN[],N$1,0),"ERROR")</f>
        <v>80</v>
      </c>
      <c r="O71" s="112">
        <f>IFERROR(VLOOKUP($B71,MMWR_TRAD_AGG_STATE_PEN[],O$1,0),"ERROR")</f>
        <v>11</v>
      </c>
      <c r="P71" s="114">
        <f t="shared" si="11"/>
        <v>0.13750000000000001</v>
      </c>
      <c r="Q71" s="115">
        <f>IFERROR(VLOOKUP($B71,MMWR_TRAD_AGG_STATE_PEN[],Q$1,0),"ERROR")</f>
        <v>15</v>
      </c>
      <c r="R71" s="115">
        <f>IFERROR(VLOOKUP($B71,MMWR_TRAD_AGG_STATE_PEN[],R$1,0),"ERROR")</f>
        <v>68</v>
      </c>
      <c r="S71" s="115">
        <f>IFERROR(VLOOKUP($B71,MMWR_APP_STATE_PEN[],S$1,0),"ERROR")</f>
        <v>57</v>
      </c>
      <c r="T71" s="28"/>
    </row>
    <row r="72" spans="1:20" s="123" customFormat="1" x14ac:dyDescent="0.2">
      <c r="A72" s="28"/>
      <c r="B72" s="127" t="s">
        <v>433</v>
      </c>
      <c r="C72" s="109">
        <f>IFERROR(VLOOKUP($B72,MMWR_TRAD_AGG_STATE_PEN[],C$1,0),"ERROR")</f>
        <v>53</v>
      </c>
      <c r="D72" s="110">
        <f>IFERROR(VLOOKUP($B72,MMWR_TRAD_AGG_STATE_PEN[],D$1,0),"ERROR")</f>
        <v>90.679245283</v>
      </c>
      <c r="E72" s="111">
        <f>IFERROR(VLOOKUP($B72,MMWR_TRAD_AGG_STATE_PEN[],E$1,0),"ERROR")</f>
        <v>60</v>
      </c>
      <c r="F72" s="112">
        <f>IFERROR(VLOOKUP($B72,MMWR_TRAD_AGG_STATE_PEN[],F$1,0),"ERROR")</f>
        <v>15</v>
      </c>
      <c r="G72" s="113">
        <f t="shared" si="8"/>
        <v>0.25</v>
      </c>
      <c r="H72" s="111">
        <f>IFERROR(VLOOKUP($B72,MMWR_TRAD_AGG_STATE_PEN[],H$1,0),"ERROR")</f>
        <v>80</v>
      </c>
      <c r="I72" s="112">
        <f>IFERROR(VLOOKUP($B72,MMWR_TRAD_AGG_STATE_PEN[],I$1,0),"ERROR")</f>
        <v>22</v>
      </c>
      <c r="J72" s="114">
        <f t="shared" si="9"/>
        <v>0.27500000000000002</v>
      </c>
      <c r="K72" s="111">
        <f>IFERROR(VLOOKUP($B72,MMWR_TRAD_AGG_STATE_PEN[],K$1,0),"ERROR")</f>
        <v>7</v>
      </c>
      <c r="L72" s="112">
        <f>IFERROR(VLOOKUP($B72,MMWR_TRAD_AGG_STATE_PEN[],L$1,0),"ERROR")</f>
        <v>6</v>
      </c>
      <c r="M72" s="114">
        <f t="shared" si="10"/>
        <v>0.8571428571428571</v>
      </c>
      <c r="N72" s="111">
        <f>IFERROR(VLOOKUP($B72,MMWR_TRAD_AGG_STATE_PEN[],N$1,0),"ERROR")</f>
        <v>45</v>
      </c>
      <c r="O72" s="112">
        <f>IFERROR(VLOOKUP($B72,MMWR_TRAD_AGG_STATE_PEN[],O$1,0),"ERROR")</f>
        <v>8</v>
      </c>
      <c r="P72" s="114">
        <f t="shared" si="11"/>
        <v>0.17777777777777778</v>
      </c>
      <c r="Q72" s="115">
        <f>IFERROR(VLOOKUP($B72,MMWR_TRAD_AGG_STATE_PEN[],Q$1,0),"ERROR")</f>
        <v>6</v>
      </c>
      <c r="R72" s="115">
        <f>IFERROR(VLOOKUP($B72,MMWR_TRAD_AGG_STATE_PEN[],R$1,0),"ERROR")</f>
        <v>24</v>
      </c>
      <c r="S72" s="115">
        <f>IFERROR(VLOOKUP($B72,MMWR_APP_STATE_PEN[],S$1,0),"ERROR")</f>
        <v>19</v>
      </c>
      <c r="T72" s="28"/>
    </row>
    <row r="73" spans="1:20" s="123" customFormat="1" x14ac:dyDescent="0.2">
      <c r="A73" s="28"/>
      <c r="B73" s="127" t="s">
        <v>424</v>
      </c>
      <c r="C73" s="109">
        <f>IFERROR(VLOOKUP($B73,MMWR_TRAD_AGG_STATE_PEN[],C$1,0),"ERROR")</f>
        <v>34</v>
      </c>
      <c r="D73" s="110">
        <f>IFERROR(VLOOKUP($B73,MMWR_TRAD_AGG_STATE_PEN[],D$1,0),"ERROR")</f>
        <v>83.352941176499996</v>
      </c>
      <c r="E73" s="111">
        <f>IFERROR(VLOOKUP($B73,MMWR_TRAD_AGG_STATE_PEN[],E$1,0),"ERROR")</f>
        <v>40</v>
      </c>
      <c r="F73" s="112">
        <f>IFERROR(VLOOKUP($B73,MMWR_TRAD_AGG_STATE_PEN[],F$1,0),"ERROR")</f>
        <v>3</v>
      </c>
      <c r="G73" s="113">
        <f t="shared" si="8"/>
        <v>7.4999999999999997E-2</v>
      </c>
      <c r="H73" s="111">
        <f>IFERROR(VLOOKUP($B73,MMWR_TRAD_AGG_STATE_PEN[],H$1,0),"ERROR")</f>
        <v>53</v>
      </c>
      <c r="I73" s="112">
        <f>IFERROR(VLOOKUP($B73,MMWR_TRAD_AGG_STATE_PEN[],I$1,0),"ERROR")</f>
        <v>13</v>
      </c>
      <c r="J73" s="114">
        <f t="shared" si="9"/>
        <v>0.24528301886792453</v>
      </c>
      <c r="K73" s="111">
        <f>IFERROR(VLOOKUP($B73,MMWR_TRAD_AGG_STATE_PEN[],K$1,0),"ERROR")</f>
        <v>4</v>
      </c>
      <c r="L73" s="112">
        <f>IFERROR(VLOOKUP($B73,MMWR_TRAD_AGG_STATE_PEN[],L$1,0),"ERROR")</f>
        <v>4</v>
      </c>
      <c r="M73" s="114">
        <f t="shared" si="10"/>
        <v>1</v>
      </c>
      <c r="N73" s="111">
        <f>IFERROR(VLOOKUP($B73,MMWR_TRAD_AGG_STATE_PEN[],N$1,0),"ERROR")</f>
        <v>20</v>
      </c>
      <c r="O73" s="112">
        <f>IFERROR(VLOOKUP($B73,MMWR_TRAD_AGG_STATE_PEN[],O$1,0),"ERROR")</f>
        <v>3</v>
      </c>
      <c r="P73" s="114">
        <f t="shared" si="11"/>
        <v>0.15</v>
      </c>
      <c r="Q73" s="115">
        <f>IFERROR(VLOOKUP($B73,MMWR_TRAD_AGG_STATE_PEN[],Q$1,0),"ERROR")</f>
        <v>8</v>
      </c>
      <c r="R73" s="115">
        <f>IFERROR(VLOOKUP($B73,MMWR_TRAD_AGG_STATE_PEN[],R$1,0),"ERROR")</f>
        <v>10</v>
      </c>
      <c r="S73" s="115">
        <f>IFERROR(VLOOKUP($B73,MMWR_APP_STATE_PEN[],S$1,0),"ERROR")</f>
        <v>10</v>
      </c>
      <c r="T73" s="28"/>
    </row>
    <row r="74" spans="1:20" s="123" customFormat="1" x14ac:dyDescent="0.2">
      <c r="A74" s="28"/>
      <c r="B74" s="127" t="s">
        <v>426</v>
      </c>
      <c r="C74" s="109">
        <f>IFERROR(VLOOKUP($B74,MMWR_TRAD_AGG_STATE_PEN[],C$1,0),"ERROR")</f>
        <v>113</v>
      </c>
      <c r="D74" s="110">
        <f>IFERROR(VLOOKUP($B74,MMWR_TRAD_AGG_STATE_PEN[],D$1,0),"ERROR")</f>
        <v>93.8407079646</v>
      </c>
      <c r="E74" s="111">
        <f>IFERROR(VLOOKUP($B74,MMWR_TRAD_AGG_STATE_PEN[],E$1,0),"ERROR")</f>
        <v>76</v>
      </c>
      <c r="F74" s="112">
        <f>IFERROR(VLOOKUP($B74,MMWR_TRAD_AGG_STATE_PEN[],F$1,0),"ERROR")</f>
        <v>12</v>
      </c>
      <c r="G74" s="113">
        <f t="shared" si="8"/>
        <v>0.15789473684210525</v>
      </c>
      <c r="H74" s="111">
        <f>IFERROR(VLOOKUP($B74,MMWR_TRAD_AGG_STATE_PEN[],H$1,0),"ERROR")</f>
        <v>182</v>
      </c>
      <c r="I74" s="112">
        <f>IFERROR(VLOOKUP($B74,MMWR_TRAD_AGG_STATE_PEN[],I$1,0),"ERROR")</f>
        <v>51</v>
      </c>
      <c r="J74" s="114">
        <f t="shared" si="9"/>
        <v>0.28021978021978022</v>
      </c>
      <c r="K74" s="111">
        <f>IFERROR(VLOOKUP($B74,MMWR_TRAD_AGG_STATE_PEN[],K$1,0),"ERROR")</f>
        <v>6</v>
      </c>
      <c r="L74" s="112">
        <f>IFERROR(VLOOKUP($B74,MMWR_TRAD_AGG_STATE_PEN[],L$1,0),"ERROR")</f>
        <v>5</v>
      </c>
      <c r="M74" s="114">
        <f t="shared" si="10"/>
        <v>0.83333333333333337</v>
      </c>
      <c r="N74" s="111">
        <f>IFERROR(VLOOKUP($B74,MMWR_TRAD_AGG_STATE_PEN[],N$1,0),"ERROR")</f>
        <v>41</v>
      </c>
      <c r="O74" s="112">
        <f>IFERROR(VLOOKUP($B74,MMWR_TRAD_AGG_STATE_PEN[],O$1,0),"ERROR")</f>
        <v>7</v>
      </c>
      <c r="P74" s="114">
        <f t="shared" si="11"/>
        <v>0.17073170731707318</v>
      </c>
      <c r="Q74" s="115">
        <f>IFERROR(VLOOKUP($B74,MMWR_TRAD_AGG_STATE_PEN[],Q$1,0),"ERROR")</f>
        <v>16</v>
      </c>
      <c r="R74" s="115">
        <f>IFERROR(VLOOKUP($B74,MMWR_TRAD_AGG_STATE_PEN[],R$1,0),"ERROR")</f>
        <v>27</v>
      </c>
      <c r="S74" s="115">
        <f>IFERROR(VLOOKUP($B74,MMWR_APP_STATE_PEN[],S$1,0),"ERROR")</f>
        <v>24</v>
      </c>
      <c r="T74" s="28"/>
    </row>
    <row r="75" spans="1:20" s="123" customFormat="1" x14ac:dyDescent="0.2">
      <c r="A75" s="28"/>
      <c r="B75" s="127" t="s">
        <v>386</v>
      </c>
      <c r="C75" s="109">
        <f>IFERROR(VLOOKUP($B75,MMWR_TRAD_AGG_STATE_PEN[],C$1,0),"ERROR")</f>
        <v>343</v>
      </c>
      <c r="D75" s="110">
        <f>IFERROR(VLOOKUP($B75,MMWR_TRAD_AGG_STATE_PEN[],D$1,0),"ERROR")</f>
        <v>99.915451895000004</v>
      </c>
      <c r="E75" s="111">
        <f>IFERROR(VLOOKUP($B75,MMWR_TRAD_AGG_STATE_PEN[],E$1,0),"ERROR")</f>
        <v>406</v>
      </c>
      <c r="F75" s="112">
        <f>IFERROR(VLOOKUP($B75,MMWR_TRAD_AGG_STATE_PEN[],F$1,0),"ERROR")</f>
        <v>88</v>
      </c>
      <c r="G75" s="113">
        <f t="shared" si="8"/>
        <v>0.21674876847290642</v>
      </c>
      <c r="H75" s="111">
        <f>IFERROR(VLOOKUP($B75,MMWR_TRAD_AGG_STATE_PEN[],H$1,0),"ERROR")</f>
        <v>521</v>
      </c>
      <c r="I75" s="112">
        <f>IFERROR(VLOOKUP($B75,MMWR_TRAD_AGG_STATE_PEN[],I$1,0),"ERROR")</f>
        <v>165</v>
      </c>
      <c r="J75" s="114">
        <f t="shared" si="9"/>
        <v>0.31669865642994244</v>
      </c>
      <c r="K75" s="111">
        <f>IFERROR(VLOOKUP($B75,MMWR_TRAD_AGG_STATE_PEN[],K$1,0),"ERROR")</f>
        <v>19</v>
      </c>
      <c r="L75" s="112">
        <f>IFERROR(VLOOKUP($B75,MMWR_TRAD_AGG_STATE_PEN[],L$1,0),"ERROR")</f>
        <v>18</v>
      </c>
      <c r="M75" s="114">
        <f t="shared" si="10"/>
        <v>0.94736842105263153</v>
      </c>
      <c r="N75" s="111">
        <f>IFERROR(VLOOKUP($B75,MMWR_TRAD_AGG_STATE_PEN[],N$1,0),"ERROR")</f>
        <v>156</v>
      </c>
      <c r="O75" s="112">
        <f>IFERROR(VLOOKUP($B75,MMWR_TRAD_AGG_STATE_PEN[],O$1,0),"ERROR")</f>
        <v>21</v>
      </c>
      <c r="P75" s="114">
        <f t="shared" si="11"/>
        <v>0.13461538461538461</v>
      </c>
      <c r="Q75" s="115">
        <f>IFERROR(VLOOKUP($B75,MMWR_TRAD_AGG_STATE_PEN[],Q$1,0),"ERROR")</f>
        <v>61</v>
      </c>
      <c r="R75" s="115">
        <f>IFERROR(VLOOKUP($B75,MMWR_TRAD_AGG_STATE_PEN[],R$1,0),"ERROR")</f>
        <v>150</v>
      </c>
      <c r="S75" s="115">
        <f>IFERROR(VLOOKUP($B75,MMWR_APP_STATE_PEN[],S$1,0),"ERROR")</f>
        <v>80</v>
      </c>
      <c r="T75" s="28"/>
    </row>
    <row r="76" spans="1:20" s="123" customFormat="1" x14ac:dyDescent="0.2">
      <c r="A76" s="28"/>
      <c r="B76" s="127" t="s">
        <v>381</v>
      </c>
      <c r="C76" s="109">
        <f>IFERROR(VLOOKUP($B76,MMWR_TRAD_AGG_STATE_PEN[],C$1,0),"ERROR")</f>
        <v>339</v>
      </c>
      <c r="D76" s="110">
        <f>IFERROR(VLOOKUP($B76,MMWR_TRAD_AGG_STATE_PEN[],D$1,0),"ERROR")</f>
        <v>92.141592920400001</v>
      </c>
      <c r="E76" s="111">
        <f>IFERROR(VLOOKUP($B76,MMWR_TRAD_AGG_STATE_PEN[],E$1,0),"ERROR")</f>
        <v>377</v>
      </c>
      <c r="F76" s="112">
        <f>IFERROR(VLOOKUP($B76,MMWR_TRAD_AGG_STATE_PEN[],F$1,0),"ERROR")</f>
        <v>80</v>
      </c>
      <c r="G76" s="113">
        <f t="shared" si="8"/>
        <v>0.21220159151193635</v>
      </c>
      <c r="H76" s="111">
        <f>IFERROR(VLOOKUP($B76,MMWR_TRAD_AGG_STATE_PEN[],H$1,0),"ERROR")</f>
        <v>550</v>
      </c>
      <c r="I76" s="112">
        <f>IFERROR(VLOOKUP($B76,MMWR_TRAD_AGG_STATE_PEN[],I$1,0),"ERROR")</f>
        <v>162</v>
      </c>
      <c r="J76" s="114">
        <f t="shared" si="9"/>
        <v>0.29454545454545455</v>
      </c>
      <c r="K76" s="111">
        <f>IFERROR(VLOOKUP($B76,MMWR_TRAD_AGG_STATE_PEN[],K$1,0),"ERROR")</f>
        <v>10</v>
      </c>
      <c r="L76" s="112">
        <f>IFERROR(VLOOKUP($B76,MMWR_TRAD_AGG_STATE_PEN[],L$1,0),"ERROR")</f>
        <v>9</v>
      </c>
      <c r="M76" s="114">
        <f t="shared" si="10"/>
        <v>0.9</v>
      </c>
      <c r="N76" s="111">
        <f>IFERROR(VLOOKUP($B76,MMWR_TRAD_AGG_STATE_PEN[],N$1,0),"ERROR")</f>
        <v>164</v>
      </c>
      <c r="O76" s="112">
        <f>IFERROR(VLOOKUP($B76,MMWR_TRAD_AGG_STATE_PEN[],O$1,0),"ERROR")</f>
        <v>23</v>
      </c>
      <c r="P76" s="114">
        <f t="shared" si="11"/>
        <v>0.1402439024390244</v>
      </c>
      <c r="Q76" s="115">
        <f>IFERROR(VLOOKUP($B76,MMWR_TRAD_AGG_STATE_PEN[],Q$1,0),"ERROR")</f>
        <v>48</v>
      </c>
      <c r="R76" s="115">
        <f>IFERROR(VLOOKUP($B76,MMWR_TRAD_AGG_STATE_PEN[],R$1,0),"ERROR")</f>
        <v>138</v>
      </c>
      <c r="S76" s="115">
        <f>IFERROR(VLOOKUP($B76,MMWR_APP_STATE_PEN[],S$1,0),"ERROR")</f>
        <v>121</v>
      </c>
      <c r="T76" s="28"/>
    </row>
    <row r="77" spans="1:20" s="123" customFormat="1" x14ac:dyDescent="0.2">
      <c r="A77" s="28"/>
      <c r="B77" s="127" t="s">
        <v>425</v>
      </c>
      <c r="C77" s="109">
        <f>IFERROR(VLOOKUP($B77,MMWR_TRAD_AGG_STATE_PEN[],C$1,0),"ERROR")</f>
        <v>96</v>
      </c>
      <c r="D77" s="110">
        <f>IFERROR(VLOOKUP($B77,MMWR_TRAD_AGG_STATE_PEN[],D$1,0),"ERROR")</f>
        <v>82.125</v>
      </c>
      <c r="E77" s="111">
        <f>IFERROR(VLOOKUP($B77,MMWR_TRAD_AGG_STATE_PEN[],E$1,0),"ERROR")</f>
        <v>93</v>
      </c>
      <c r="F77" s="112">
        <f>IFERROR(VLOOKUP($B77,MMWR_TRAD_AGG_STATE_PEN[],F$1,0),"ERROR")</f>
        <v>19</v>
      </c>
      <c r="G77" s="113">
        <f t="shared" si="8"/>
        <v>0.20430107526881722</v>
      </c>
      <c r="H77" s="111">
        <f>IFERROR(VLOOKUP($B77,MMWR_TRAD_AGG_STATE_PEN[],H$1,0),"ERROR")</f>
        <v>144</v>
      </c>
      <c r="I77" s="112">
        <f>IFERROR(VLOOKUP($B77,MMWR_TRAD_AGG_STATE_PEN[],I$1,0),"ERROR")</f>
        <v>35</v>
      </c>
      <c r="J77" s="114">
        <f t="shared" si="9"/>
        <v>0.24305555555555555</v>
      </c>
      <c r="K77" s="111">
        <f>IFERROR(VLOOKUP($B77,MMWR_TRAD_AGG_STATE_PEN[],K$1,0),"ERROR")</f>
        <v>2</v>
      </c>
      <c r="L77" s="112">
        <f>IFERROR(VLOOKUP($B77,MMWR_TRAD_AGG_STATE_PEN[],L$1,0),"ERROR")</f>
        <v>2</v>
      </c>
      <c r="M77" s="114">
        <f t="shared" si="10"/>
        <v>1</v>
      </c>
      <c r="N77" s="111">
        <f>IFERROR(VLOOKUP($B77,MMWR_TRAD_AGG_STATE_PEN[],N$1,0),"ERROR")</f>
        <v>42</v>
      </c>
      <c r="O77" s="112">
        <f>IFERROR(VLOOKUP($B77,MMWR_TRAD_AGG_STATE_PEN[],O$1,0),"ERROR")</f>
        <v>6</v>
      </c>
      <c r="P77" s="114">
        <f t="shared" si="11"/>
        <v>0.14285714285714285</v>
      </c>
      <c r="Q77" s="115">
        <f>IFERROR(VLOOKUP($B77,MMWR_TRAD_AGG_STATE_PEN[],Q$1,0),"ERROR")</f>
        <v>10</v>
      </c>
      <c r="R77" s="115">
        <f>IFERROR(VLOOKUP($B77,MMWR_TRAD_AGG_STATE_PEN[],R$1,0),"ERROR")</f>
        <v>26</v>
      </c>
      <c r="S77" s="115">
        <f>IFERROR(VLOOKUP($B77,MMWR_APP_STATE_PEN[],S$1,0),"ERROR")</f>
        <v>18</v>
      </c>
      <c r="T77" s="28"/>
    </row>
    <row r="78" spans="1:20" s="123" customFormat="1" x14ac:dyDescent="0.2">
      <c r="A78" s="28"/>
      <c r="B78" s="127" t="s">
        <v>384</v>
      </c>
      <c r="C78" s="109">
        <f>IFERROR(VLOOKUP($B78,MMWR_TRAD_AGG_STATE_PEN[],C$1,0),"ERROR")</f>
        <v>406</v>
      </c>
      <c r="D78" s="110">
        <f>IFERROR(VLOOKUP($B78,MMWR_TRAD_AGG_STATE_PEN[],D$1,0),"ERROR")</f>
        <v>96.327586206899994</v>
      </c>
      <c r="E78" s="111">
        <f>IFERROR(VLOOKUP($B78,MMWR_TRAD_AGG_STATE_PEN[],E$1,0),"ERROR")</f>
        <v>497</v>
      </c>
      <c r="F78" s="112">
        <f>IFERROR(VLOOKUP($B78,MMWR_TRAD_AGG_STATE_PEN[],F$1,0),"ERROR")</f>
        <v>119</v>
      </c>
      <c r="G78" s="113">
        <f t="shared" si="8"/>
        <v>0.23943661971830985</v>
      </c>
      <c r="H78" s="111">
        <f>IFERROR(VLOOKUP($B78,MMWR_TRAD_AGG_STATE_PEN[],H$1,0),"ERROR")</f>
        <v>617</v>
      </c>
      <c r="I78" s="112">
        <f>IFERROR(VLOOKUP($B78,MMWR_TRAD_AGG_STATE_PEN[],I$1,0),"ERROR")</f>
        <v>177</v>
      </c>
      <c r="J78" s="114">
        <f t="shared" si="9"/>
        <v>0.28687196110210694</v>
      </c>
      <c r="K78" s="111">
        <f>IFERROR(VLOOKUP($B78,MMWR_TRAD_AGG_STATE_PEN[],K$1,0),"ERROR")</f>
        <v>16</v>
      </c>
      <c r="L78" s="112">
        <f>IFERROR(VLOOKUP($B78,MMWR_TRAD_AGG_STATE_PEN[],L$1,0),"ERROR")</f>
        <v>16</v>
      </c>
      <c r="M78" s="114">
        <f t="shared" si="10"/>
        <v>1</v>
      </c>
      <c r="N78" s="111">
        <f>IFERROR(VLOOKUP($B78,MMWR_TRAD_AGG_STATE_PEN[],N$1,0),"ERROR")</f>
        <v>187</v>
      </c>
      <c r="O78" s="112">
        <f>IFERROR(VLOOKUP($B78,MMWR_TRAD_AGG_STATE_PEN[],O$1,0),"ERROR")</f>
        <v>35</v>
      </c>
      <c r="P78" s="114">
        <f t="shared" si="11"/>
        <v>0.18716577540106952</v>
      </c>
      <c r="Q78" s="115">
        <f>IFERROR(VLOOKUP($B78,MMWR_TRAD_AGG_STATE_PEN[],Q$1,0),"ERROR")</f>
        <v>65</v>
      </c>
      <c r="R78" s="115">
        <f>IFERROR(VLOOKUP($B78,MMWR_TRAD_AGG_STATE_PEN[],R$1,0),"ERROR")</f>
        <v>185</v>
      </c>
      <c r="S78" s="115">
        <f>IFERROR(VLOOKUP($B78,MMWR_APP_STATE_PEN[],S$1,0),"ERROR")</f>
        <v>173</v>
      </c>
      <c r="T78" s="28"/>
    </row>
    <row r="79" spans="1:20" s="123" customFormat="1" x14ac:dyDescent="0.2">
      <c r="A79" s="28"/>
      <c r="B79" s="127" t="s">
        <v>63</v>
      </c>
      <c r="C79" s="109">
        <f>IFERROR(VLOOKUP($B79,MMWR_TRAD_AGG_STATE_PEN[],C$1,0),"ERROR")</f>
        <v>1088</v>
      </c>
      <c r="D79" s="110">
        <f>IFERROR(VLOOKUP($B79,MMWR_TRAD_AGG_STATE_PEN[],D$1,0),"ERROR")</f>
        <v>94.613970588200004</v>
      </c>
      <c r="E79" s="111">
        <f>IFERROR(VLOOKUP($B79,MMWR_TRAD_AGG_STATE_PEN[],E$1,0),"ERROR")</f>
        <v>1418</v>
      </c>
      <c r="F79" s="112">
        <f>IFERROR(VLOOKUP($B79,MMWR_TRAD_AGG_STATE_PEN[],F$1,0),"ERROR")</f>
        <v>314</v>
      </c>
      <c r="G79" s="113">
        <f t="shared" si="8"/>
        <v>0.22143864598025387</v>
      </c>
      <c r="H79" s="111">
        <f>IFERROR(VLOOKUP($B79,MMWR_TRAD_AGG_STATE_PEN[],H$1,0),"ERROR")</f>
        <v>1790</v>
      </c>
      <c r="I79" s="112">
        <f>IFERROR(VLOOKUP($B79,MMWR_TRAD_AGG_STATE_PEN[],I$1,0),"ERROR")</f>
        <v>504</v>
      </c>
      <c r="J79" s="114">
        <f t="shared" si="9"/>
        <v>0.28156424581005585</v>
      </c>
      <c r="K79" s="111">
        <f>IFERROR(VLOOKUP($B79,MMWR_TRAD_AGG_STATE_PEN[],K$1,0),"ERROR")</f>
        <v>55</v>
      </c>
      <c r="L79" s="112">
        <f>IFERROR(VLOOKUP($B79,MMWR_TRAD_AGG_STATE_PEN[],L$1,0),"ERROR")</f>
        <v>55</v>
      </c>
      <c r="M79" s="114">
        <f t="shared" si="10"/>
        <v>1</v>
      </c>
      <c r="N79" s="111">
        <f>IFERROR(VLOOKUP($B79,MMWR_TRAD_AGG_STATE_PEN[],N$1,0),"ERROR")</f>
        <v>385</v>
      </c>
      <c r="O79" s="112">
        <f>IFERROR(VLOOKUP($B79,MMWR_TRAD_AGG_STATE_PEN[],O$1,0),"ERROR")</f>
        <v>51</v>
      </c>
      <c r="P79" s="114">
        <f t="shared" si="11"/>
        <v>0.13246753246753246</v>
      </c>
      <c r="Q79" s="115">
        <f>IFERROR(VLOOKUP($B79,MMWR_TRAD_AGG_STATE_PEN[],Q$1,0),"ERROR")</f>
        <v>110</v>
      </c>
      <c r="R79" s="115">
        <f>IFERROR(VLOOKUP($B79,MMWR_TRAD_AGG_STATE_PEN[],R$1,0),"ERROR")</f>
        <v>324</v>
      </c>
      <c r="S79" s="115">
        <f>IFERROR(VLOOKUP($B79,MMWR_APP_STATE_PEN[],S$1,0),"ERROR")</f>
        <v>257</v>
      </c>
      <c r="T79" s="28"/>
    </row>
    <row r="80" spans="1:20" s="123" customFormat="1" x14ac:dyDescent="0.2">
      <c r="A80" s="28"/>
      <c r="B80" s="127" t="s">
        <v>392</v>
      </c>
      <c r="C80" s="109">
        <f>IFERROR(VLOOKUP($B80,MMWR_TRAD_AGG_STATE_PEN[],C$1,0),"ERROR")</f>
        <v>1247</v>
      </c>
      <c r="D80" s="110">
        <f>IFERROR(VLOOKUP($B80,MMWR_TRAD_AGG_STATE_PEN[],D$1,0),"ERROR")</f>
        <v>98.181234963899996</v>
      </c>
      <c r="E80" s="111">
        <f>IFERROR(VLOOKUP($B80,MMWR_TRAD_AGG_STATE_PEN[],E$1,0),"ERROR")</f>
        <v>1030</v>
      </c>
      <c r="F80" s="112">
        <f>IFERROR(VLOOKUP($B80,MMWR_TRAD_AGG_STATE_PEN[],F$1,0),"ERROR")</f>
        <v>231</v>
      </c>
      <c r="G80" s="113">
        <f t="shared" si="8"/>
        <v>0.22427184466019418</v>
      </c>
      <c r="H80" s="111">
        <f>IFERROR(VLOOKUP($B80,MMWR_TRAD_AGG_STATE_PEN[],H$1,0),"ERROR")</f>
        <v>1985</v>
      </c>
      <c r="I80" s="112">
        <f>IFERROR(VLOOKUP($B80,MMWR_TRAD_AGG_STATE_PEN[],I$1,0),"ERROR")</f>
        <v>599</v>
      </c>
      <c r="J80" s="114">
        <f t="shared" si="9"/>
        <v>0.3017632241813602</v>
      </c>
      <c r="K80" s="111">
        <f>IFERROR(VLOOKUP($B80,MMWR_TRAD_AGG_STATE_PEN[],K$1,0),"ERROR")</f>
        <v>68</v>
      </c>
      <c r="L80" s="112">
        <f>IFERROR(VLOOKUP($B80,MMWR_TRAD_AGG_STATE_PEN[],L$1,0),"ERROR")</f>
        <v>66</v>
      </c>
      <c r="M80" s="114">
        <f t="shared" si="10"/>
        <v>0.97058823529411764</v>
      </c>
      <c r="N80" s="111">
        <f>IFERROR(VLOOKUP($B80,MMWR_TRAD_AGG_STATE_PEN[],N$1,0),"ERROR")</f>
        <v>465</v>
      </c>
      <c r="O80" s="112">
        <f>IFERROR(VLOOKUP($B80,MMWR_TRAD_AGG_STATE_PEN[],O$1,0),"ERROR")</f>
        <v>64</v>
      </c>
      <c r="P80" s="114">
        <f t="shared" si="11"/>
        <v>0.13763440860215054</v>
      </c>
      <c r="Q80" s="115">
        <f>IFERROR(VLOOKUP($B80,MMWR_TRAD_AGG_STATE_PEN[],Q$1,0),"ERROR")</f>
        <v>212</v>
      </c>
      <c r="R80" s="115">
        <f>IFERROR(VLOOKUP($B80,MMWR_TRAD_AGG_STATE_PEN[],R$1,0),"ERROR")</f>
        <v>343</v>
      </c>
      <c r="S80" s="115">
        <f>IFERROR(VLOOKUP($B80,MMWR_APP_STATE_PEN[],S$1,0),"ERROR")</f>
        <v>224</v>
      </c>
      <c r="T80" s="28"/>
    </row>
    <row r="81" spans="1:20" s="123" customFormat="1" x14ac:dyDescent="0.2">
      <c r="A81" s="28"/>
      <c r="B81" s="127" t="s">
        <v>385</v>
      </c>
      <c r="C81" s="109">
        <f>IFERROR(VLOOKUP($B81,MMWR_TRAD_AGG_STATE_PEN[],C$1,0),"ERROR")</f>
        <v>1475</v>
      </c>
      <c r="D81" s="110">
        <f>IFERROR(VLOOKUP($B81,MMWR_TRAD_AGG_STATE_PEN[],D$1,0),"ERROR")</f>
        <v>90.753898305099995</v>
      </c>
      <c r="E81" s="111">
        <f>IFERROR(VLOOKUP($B81,MMWR_TRAD_AGG_STATE_PEN[],E$1,0),"ERROR")</f>
        <v>1728</v>
      </c>
      <c r="F81" s="112">
        <f>IFERROR(VLOOKUP($B81,MMWR_TRAD_AGG_STATE_PEN[],F$1,0),"ERROR")</f>
        <v>408</v>
      </c>
      <c r="G81" s="113">
        <f t="shared" si="8"/>
        <v>0.2361111111111111</v>
      </c>
      <c r="H81" s="111">
        <f>IFERROR(VLOOKUP($B81,MMWR_TRAD_AGG_STATE_PEN[],H$1,0),"ERROR")</f>
        <v>2318</v>
      </c>
      <c r="I81" s="112">
        <f>IFERROR(VLOOKUP($B81,MMWR_TRAD_AGG_STATE_PEN[],I$1,0),"ERROR")</f>
        <v>625</v>
      </c>
      <c r="J81" s="114">
        <f t="shared" si="9"/>
        <v>0.26962899050905953</v>
      </c>
      <c r="K81" s="111">
        <f>IFERROR(VLOOKUP($B81,MMWR_TRAD_AGG_STATE_PEN[],K$1,0),"ERROR")</f>
        <v>56</v>
      </c>
      <c r="L81" s="112">
        <f>IFERROR(VLOOKUP($B81,MMWR_TRAD_AGG_STATE_PEN[],L$1,0),"ERROR")</f>
        <v>56</v>
      </c>
      <c r="M81" s="114">
        <f t="shared" si="10"/>
        <v>1</v>
      </c>
      <c r="N81" s="111">
        <f>IFERROR(VLOOKUP($B81,MMWR_TRAD_AGG_STATE_PEN[],N$1,0),"ERROR")</f>
        <v>575</v>
      </c>
      <c r="O81" s="112">
        <f>IFERROR(VLOOKUP($B81,MMWR_TRAD_AGG_STATE_PEN[],O$1,0),"ERROR")</f>
        <v>65</v>
      </c>
      <c r="P81" s="114">
        <f t="shared" si="11"/>
        <v>0.11304347826086956</v>
      </c>
      <c r="Q81" s="115">
        <f>IFERROR(VLOOKUP($B81,MMWR_TRAD_AGG_STATE_PEN[],Q$1,0),"ERROR")</f>
        <v>115</v>
      </c>
      <c r="R81" s="115">
        <f>IFERROR(VLOOKUP($B81,MMWR_TRAD_AGG_STATE_PEN[],R$1,0),"ERROR")</f>
        <v>399</v>
      </c>
      <c r="S81" s="115">
        <f>IFERROR(VLOOKUP($B81,MMWR_APP_STATE_PEN[],S$1,0),"ERROR")</f>
        <v>282</v>
      </c>
      <c r="T81" s="28"/>
    </row>
    <row r="82" spans="1:20" s="123" customFormat="1" x14ac:dyDescent="0.2">
      <c r="A82" s="28"/>
      <c r="B82" s="127" t="s">
        <v>382</v>
      </c>
      <c r="C82" s="109">
        <f>IFERROR(VLOOKUP($B82,MMWR_TRAD_AGG_STATE_PEN[],C$1,0),"ERROR")</f>
        <v>62</v>
      </c>
      <c r="D82" s="110">
        <f>IFERROR(VLOOKUP($B82,MMWR_TRAD_AGG_STATE_PEN[],D$1,0),"ERROR")</f>
        <v>90.854838709700005</v>
      </c>
      <c r="E82" s="111">
        <f>IFERROR(VLOOKUP($B82,MMWR_TRAD_AGG_STATE_PEN[],E$1,0),"ERROR")</f>
        <v>111</v>
      </c>
      <c r="F82" s="112">
        <f>IFERROR(VLOOKUP($B82,MMWR_TRAD_AGG_STATE_PEN[],F$1,0),"ERROR")</f>
        <v>28</v>
      </c>
      <c r="G82" s="113">
        <f t="shared" si="8"/>
        <v>0.25225225225225223</v>
      </c>
      <c r="H82" s="111">
        <f>IFERROR(VLOOKUP($B82,MMWR_TRAD_AGG_STATE_PEN[],H$1,0),"ERROR")</f>
        <v>105</v>
      </c>
      <c r="I82" s="112">
        <f>IFERROR(VLOOKUP($B82,MMWR_TRAD_AGG_STATE_PEN[],I$1,0),"ERROR")</f>
        <v>22</v>
      </c>
      <c r="J82" s="114">
        <f t="shared" si="9"/>
        <v>0.20952380952380953</v>
      </c>
      <c r="K82" s="111">
        <f>IFERROR(VLOOKUP($B82,MMWR_TRAD_AGG_STATE_PEN[],K$1,0),"ERROR")</f>
        <v>5</v>
      </c>
      <c r="L82" s="112">
        <f>IFERROR(VLOOKUP($B82,MMWR_TRAD_AGG_STATE_PEN[],L$1,0),"ERROR")</f>
        <v>5</v>
      </c>
      <c r="M82" s="114">
        <f t="shared" si="10"/>
        <v>1</v>
      </c>
      <c r="N82" s="111">
        <f>IFERROR(VLOOKUP($B82,MMWR_TRAD_AGG_STATE_PEN[],N$1,0),"ERROR")</f>
        <v>31</v>
      </c>
      <c r="O82" s="112">
        <f>IFERROR(VLOOKUP($B82,MMWR_TRAD_AGG_STATE_PEN[],O$1,0),"ERROR")</f>
        <v>5</v>
      </c>
      <c r="P82" s="114">
        <f t="shared" si="11"/>
        <v>0.16129032258064516</v>
      </c>
      <c r="Q82" s="115">
        <f>IFERROR(VLOOKUP($B82,MMWR_TRAD_AGG_STATE_PEN[],Q$1,0),"ERROR")</f>
        <v>16</v>
      </c>
      <c r="R82" s="115">
        <f>IFERROR(VLOOKUP($B82,MMWR_TRAD_AGG_STATE_PEN[],R$1,0),"ERROR")</f>
        <v>27</v>
      </c>
      <c r="S82" s="115">
        <f>IFERROR(VLOOKUP($B82,MMWR_APP_STATE_PEN[],S$1,0),"ERROR")</f>
        <v>22</v>
      </c>
      <c r="T82" s="28"/>
    </row>
    <row r="83" spans="1:20" s="123" customFormat="1" x14ac:dyDescent="0.2">
      <c r="A83" s="28"/>
      <c r="B83" s="127" t="s">
        <v>427</v>
      </c>
      <c r="C83" s="109">
        <f>IFERROR(VLOOKUP($B83,MMWR_TRAD_AGG_STATE_PEN[],C$1,0),"ERROR")</f>
        <v>27</v>
      </c>
      <c r="D83" s="110">
        <f>IFERROR(VLOOKUP($B83,MMWR_TRAD_AGG_STATE_PEN[],D$1,0),"ERROR")</f>
        <v>103.0740740741</v>
      </c>
      <c r="E83" s="111">
        <f>IFERROR(VLOOKUP($B83,MMWR_TRAD_AGG_STATE_PEN[],E$1,0),"ERROR")</f>
        <v>30</v>
      </c>
      <c r="F83" s="112">
        <f>IFERROR(VLOOKUP($B83,MMWR_TRAD_AGG_STATE_PEN[],F$1,0),"ERROR")</f>
        <v>7</v>
      </c>
      <c r="G83" s="113">
        <f t="shared" si="8"/>
        <v>0.23333333333333334</v>
      </c>
      <c r="H83" s="111">
        <f>IFERROR(VLOOKUP($B83,MMWR_TRAD_AGG_STATE_PEN[],H$1,0),"ERROR")</f>
        <v>38</v>
      </c>
      <c r="I83" s="112">
        <f>IFERROR(VLOOKUP($B83,MMWR_TRAD_AGG_STATE_PEN[],I$1,0),"ERROR")</f>
        <v>15</v>
      </c>
      <c r="J83" s="114">
        <f t="shared" si="9"/>
        <v>0.39473684210526316</v>
      </c>
      <c r="K83" s="111">
        <f>IFERROR(VLOOKUP($B83,MMWR_TRAD_AGG_STATE_PEN[],K$1,0),"ERROR")</f>
        <v>1</v>
      </c>
      <c r="L83" s="112">
        <f>IFERROR(VLOOKUP($B83,MMWR_TRAD_AGG_STATE_PEN[],L$1,0),"ERROR")</f>
        <v>1</v>
      </c>
      <c r="M83" s="114">
        <f t="shared" si="10"/>
        <v>1</v>
      </c>
      <c r="N83" s="111">
        <f>IFERROR(VLOOKUP($B83,MMWR_TRAD_AGG_STATE_PEN[],N$1,0),"ERROR")</f>
        <v>9</v>
      </c>
      <c r="O83" s="112">
        <f>IFERROR(VLOOKUP($B83,MMWR_TRAD_AGG_STATE_PEN[],O$1,0),"ERROR")</f>
        <v>1</v>
      </c>
      <c r="P83" s="114">
        <f t="shared" si="11"/>
        <v>0.1111111111111111</v>
      </c>
      <c r="Q83" s="115">
        <f>IFERROR(VLOOKUP($B83,MMWR_TRAD_AGG_STATE_PEN[],Q$1,0),"ERROR")</f>
        <v>9</v>
      </c>
      <c r="R83" s="115">
        <f>IFERROR(VLOOKUP($B83,MMWR_TRAD_AGG_STATE_PEN[],R$1,0),"ERROR")</f>
        <v>6</v>
      </c>
      <c r="S83" s="115">
        <f>IFERROR(VLOOKUP($B83,MMWR_APP_STATE_PEN[],S$1,0),"ERROR")</f>
        <v>6</v>
      </c>
      <c r="T83" s="28"/>
    </row>
    <row r="84" spans="1:20" s="123" customFormat="1" x14ac:dyDescent="0.2">
      <c r="A84" s="28"/>
      <c r="B84" s="127" t="s">
        <v>388</v>
      </c>
      <c r="C84" s="109">
        <f>IFERROR(VLOOKUP($B84,MMWR_TRAD_AGG_STATE_PEN[],C$1,0),"ERROR")</f>
        <v>718</v>
      </c>
      <c r="D84" s="110">
        <f>IFERROR(VLOOKUP($B84,MMWR_TRAD_AGG_STATE_PEN[],D$1,0),"ERROR")</f>
        <v>97.892757660200004</v>
      </c>
      <c r="E84" s="111">
        <f>IFERROR(VLOOKUP($B84,MMWR_TRAD_AGG_STATE_PEN[],E$1,0),"ERROR")</f>
        <v>603</v>
      </c>
      <c r="F84" s="112">
        <f>IFERROR(VLOOKUP($B84,MMWR_TRAD_AGG_STATE_PEN[],F$1,0),"ERROR")</f>
        <v>149</v>
      </c>
      <c r="G84" s="113">
        <f t="shared" si="8"/>
        <v>0.2470978441127695</v>
      </c>
      <c r="H84" s="111">
        <f>IFERROR(VLOOKUP($B84,MMWR_TRAD_AGG_STATE_PEN[],H$1,0),"ERROR")</f>
        <v>1085</v>
      </c>
      <c r="I84" s="112">
        <f>IFERROR(VLOOKUP($B84,MMWR_TRAD_AGG_STATE_PEN[],I$1,0),"ERROR")</f>
        <v>310</v>
      </c>
      <c r="J84" s="114">
        <f t="shared" si="9"/>
        <v>0.2857142857142857</v>
      </c>
      <c r="K84" s="111">
        <f>IFERROR(VLOOKUP($B84,MMWR_TRAD_AGG_STATE_PEN[],K$1,0),"ERROR")</f>
        <v>164</v>
      </c>
      <c r="L84" s="112">
        <f>IFERROR(VLOOKUP($B84,MMWR_TRAD_AGG_STATE_PEN[],L$1,0),"ERROR")</f>
        <v>163</v>
      </c>
      <c r="M84" s="114">
        <f t="shared" si="10"/>
        <v>0.99390243902439024</v>
      </c>
      <c r="N84" s="111">
        <f>IFERROR(VLOOKUP($B84,MMWR_TRAD_AGG_STATE_PEN[],N$1,0),"ERROR")</f>
        <v>277</v>
      </c>
      <c r="O84" s="112">
        <f>IFERROR(VLOOKUP($B84,MMWR_TRAD_AGG_STATE_PEN[],O$1,0),"ERROR")</f>
        <v>41</v>
      </c>
      <c r="P84" s="114">
        <f t="shared" si="11"/>
        <v>0.14801444043321299</v>
      </c>
      <c r="Q84" s="115">
        <f>IFERROR(VLOOKUP($B84,MMWR_TRAD_AGG_STATE_PEN[],Q$1,0),"ERROR")</f>
        <v>126</v>
      </c>
      <c r="R84" s="115">
        <f>IFERROR(VLOOKUP($B84,MMWR_TRAD_AGG_STATE_PEN[],R$1,0),"ERROR")</f>
        <v>263</v>
      </c>
      <c r="S84" s="115">
        <f>IFERROR(VLOOKUP($B84,MMWR_APP_STATE_PEN[],S$1,0),"ERROR")</f>
        <v>169</v>
      </c>
      <c r="T84" s="28"/>
    </row>
    <row r="85" spans="1:20" s="123" customFormat="1" x14ac:dyDescent="0.2">
      <c r="A85" s="28"/>
      <c r="B85" s="127" t="s">
        <v>389</v>
      </c>
      <c r="C85" s="109">
        <f>IFERROR(VLOOKUP($B85,MMWR_TRAD_AGG_STATE_PEN[],C$1,0),"ERROR")</f>
        <v>239</v>
      </c>
      <c r="D85" s="110">
        <f>IFERROR(VLOOKUP($B85,MMWR_TRAD_AGG_STATE_PEN[],D$1,0),"ERROR")</f>
        <v>98.393305439299994</v>
      </c>
      <c r="E85" s="111">
        <f>IFERROR(VLOOKUP($B85,MMWR_TRAD_AGG_STATE_PEN[],E$1,0),"ERROR")</f>
        <v>182</v>
      </c>
      <c r="F85" s="112">
        <f>IFERROR(VLOOKUP($B85,MMWR_TRAD_AGG_STATE_PEN[],F$1,0),"ERROR")</f>
        <v>41</v>
      </c>
      <c r="G85" s="113">
        <f t="shared" si="8"/>
        <v>0.22527472527472528</v>
      </c>
      <c r="H85" s="111">
        <f>IFERROR(VLOOKUP($B85,MMWR_TRAD_AGG_STATE_PEN[],H$1,0),"ERROR")</f>
        <v>347</v>
      </c>
      <c r="I85" s="112">
        <f>IFERROR(VLOOKUP($B85,MMWR_TRAD_AGG_STATE_PEN[],I$1,0),"ERROR")</f>
        <v>98</v>
      </c>
      <c r="J85" s="114">
        <f t="shared" si="9"/>
        <v>0.28242074927953892</v>
      </c>
      <c r="K85" s="111">
        <f>IFERROR(VLOOKUP($B85,MMWR_TRAD_AGG_STATE_PEN[],K$1,0),"ERROR")</f>
        <v>8</v>
      </c>
      <c r="L85" s="112">
        <f>IFERROR(VLOOKUP($B85,MMWR_TRAD_AGG_STATE_PEN[],L$1,0),"ERROR")</f>
        <v>8</v>
      </c>
      <c r="M85" s="114">
        <f t="shared" si="10"/>
        <v>1</v>
      </c>
      <c r="N85" s="111">
        <f>IFERROR(VLOOKUP($B85,MMWR_TRAD_AGG_STATE_PEN[],N$1,0),"ERROR")</f>
        <v>94</v>
      </c>
      <c r="O85" s="112">
        <f>IFERROR(VLOOKUP($B85,MMWR_TRAD_AGG_STATE_PEN[],O$1,0),"ERROR")</f>
        <v>14</v>
      </c>
      <c r="P85" s="114">
        <f t="shared" si="11"/>
        <v>0.14893617021276595</v>
      </c>
      <c r="Q85" s="115">
        <f>IFERROR(VLOOKUP($B85,MMWR_TRAD_AGG_STATE_PEN[],Q$1,0),"ERROR")</f>
        <v>42</v>
      </c>
      <c r="R85" s="115">
        <f>IFERROR(VLOOKUP($B85,MMWR_TRAD_AGG_STATE_PEN[],R$1,0),"ERROR")</f>
        <v>68</v>
      </c>
      <c r="S85" s="115">
        <f>IFERROR(VLOOKUP($B85,MMWR_APP_STATE_PEN[],S$1,0),"ERROR")</f>
        <v>42</v>
      </c>
      <c r="T85" s="28"/>
    </row>
    <row r="86" spans="1:20" s="123" customFormat="1" x14ac:dyDescent="0.2">
      <c r="A86" s="28"/>
      <c r="B86" s="126" t="s">
        <v>400</v>
      </c>
      <c r="C86" s="102">
        <f>IFERROR(VLOOKUP($B86,MMWR_TRAD_AGG_ST_DISTRICT_PEN[],C$1,0),"ERROR")</f>
        <v>2476</v>
      </c>
      <c r="D86" s="103">
        <f>IFERROR(VLOOKUP($B86,MMWR_TRAD_AGG_ST_DISTRICT_PEN[],D$1,0),"ERROR")</f>
        <v>64.661954765800004</v>
      </c>
      <c r="E86" s="102">
        <f>IFERROR(VLOOKUP($B86,MMWR_TRAD_AGG_ST_DISTRICT_PEN[],E$1,0),"ERROR")</f>
        <v>5056</v>
      </c>
      <c r="F86" s="102">
        <f>IFERROR(VLOOKUP($B86,MMWR_TRAD_AGG_ST_DISTRICT_PEN[],F$1,0),"ERROR")</f>
        <v>391</v>
      </c>
      <c r="G86" s="104">
        <f t="shared" si="8"/>
        <v>7.7333860759493667E-2</v>
      </c>
      <c r="H86" s="102">
        <f>IFERROR(VLOOKUP($B86,MMWR_TRAD_AGG_ST_DISTRICT_PEN[],H$1,0),"ERROR")</f>
        <v>4408</v>
      </c>
      <c r="I86" s="102">
        <f>IFERROR(VLOOKUP($B86,MMWR_TRAD_AGG_ST_DISTRICT_PEN[],I$1,0),"ERROR")</f>
        <v>435</v>
      </c>
      <c r="J86" s="104">
        <f t="shared" si="9"/>
        <v>9.8684210526315791E-2</v>
      </c>
      <c r="K86" s="102">
        <f>IFERROR(VLOOKUP($B86,MMWR_TRAD_AGG_ST_DISTRICT_PEN[],K$1,0),"ERROR")</f>
        <v>52</v>
      </c>
      <c r="L86" s="102">
        <f>IFERROR(VLOOKUP($B86,MMWR_TRAD_AGG_ST_DISTRICT_PEN[],L$1,0),"ERROR")</f>
        <v>50</v>
      </c>
      <c r="M86" s="104">
        <f t="shared" si="10"/>
        <v>0.96153846153846156</v>
      </c>
      <c r="N86" s="102">
        <f>IFERROR(VLOOKUP($B86,MMWR_TRAD_AGG_ST_DISTRICT_PEN[],N$1,0),"ERROR")</f>
        <v>305</v>
      </c>
      <c r="O86" s="102">
        <f>IFERROR(VLOOKUP($B86,MMWR_TRAD_AGG_ST_DISTRICT_PEN[],O$1,0),"ERROR")</f>
        <v>92</v>
      </c>
      <c r="P86" s="104">
        <f t="shared" si="11"/>
        <v>0.30163934426229511</v>
      </c>
      <c r="Q86" s="102">
        <f>IFERROR(VLOOKUP($B86,MMWR_TRAD_AGG_ST_DISTRICT_PEN[],Q$1,0),"ERROR")</f>
        <v>3973</v>
      </c>
      <c r="R86" s="106">
        <f>IFERROR(VLOOKUP($B86,MMWR_TRAD_AGG_ST_DISTRICT_PEN[],R$1,0),"ERROR")</f>
        <v>456</v>
      </c>
      <c r="S86" s="106">
        <f>IFERROR(VLOOKUP($B86,MMWR_APP_STATE_PEN[],S$1,0),"ERROR")</f>
        <v>1215</v>
      </c>
      <c r="T86" s="28"/>
    </row>
    <row r="87" spans="1:20" s="123" customFormat="1" x14ac:dyDescent="0.2">
      <c r="A87" s="28"/>
      <c r="B87" s="127" t="s">
        <v>404</v>
      </c>
      <c r="C87" s="109">
        <f>IFERROR(VLOOKUP($B87,MMWR_TRAD_AGG_STATE_PEN[],C$1,0),"ERROR")</f>
        <v>349</v>
      </c>
      <c r="D87" s="110">
        <f>IFERROR(VLOOKUP($B87,MMWR_TRAD_AGG_STATE_PEN[],D$1,0),"ERROR")</f>
        <v>66.429799426900004</v>
      </c>
      <c r="E87" s="111">
        <f>IFERROR(VLOOKUP($B87,MMWR_TRAD_AGG_STATE_PEN[],E$1,0),"ERROR")</f>
        <v>691</v>
      </c>
      <c r="F87" s="112">
        <f>IFERROR(VLOOKUP($B87,MMWR_TRAD_AGG_STATE_PEN[],F$1,0),"ERROR")</f>
        <v>59</v>
      </c>
      <c r="G87" s="113">
        <f t="shared" si="8"/>
        <v>8.5383502170766998E-2</v>
      </c>
      <c r="H87" s="111">
        <f>IFERROR(VLOOKUP($B87,MMWR_TRAD_AGG_STATE_PEN[],H$1,0),"ERROR")</f>
        <v>570</v>
      </c>
      <c r="I87" s="112">
        <f>IFERROR(VLOOKUP($B87,MMWR_TRAD_AGG_STATE_PEN[],I$1,0),"ERROR")</f>
        <v>62</v>
      </c>
      <c r="J87" s="114">
        <f t="shared" si="9"/>
        <v>0.10877192982456141</v>
      </c>
      <c r="K87" s="111">
        <f>IFERROR(VLOOKUP($B87,MMWR_TRAD_AGG_STATE_PEN[],K$1,0),"ERROR")</f>
        <v>7</v>
      </c>
      <c r="L87" s="112">
        <f>IFERROR(VLOOKUP($B87,MMWR_TRAD_AGG_STATE_PEN[],L$1,0),"ERROR")</f>
        <v>5</v>
      </c>
      <c r="M87" s="114">
        <f t="shared" si="10"/>
        <v>0.7142857142857143</v>
      </c>
      <c r="N87" s="111">
        <f>IFERROR(VLOOKUP($B87,MMWR_TRAD_AGG_STATE_PEN[],N$1,0),"ERROR")</f>
        <v>59</v>
      </c>
      <c r="O87" s="112">
        <f>IFERROR(VLOOKUP($B87,MMWR_TRAD_AGG_STATE_PEN[],O$1,0),"ERROR")</f>
        <v>18</v>
      </c>
      <c r="P87" s="114">
        <f t="shared" si="11"/>
        <v>0.30508474576271188</v>
      </c>
      <c r="Q87" s="115">
        <f>IFERROR(VLOOKUP($B87,MMWR_TRAD_AGG_STATE_PEN[],Q$1,0),"ERROR")</f>
        <v>564</v>
      </c>
      <c r="R87" s="115">
        <f>IFERROR(VLOOKUP($B87,MMWR_TRAD_AGG_STATE_PEN[],R$1,0),"ERROR")</f>
        <v>53</v>
      </c>
      <c r="S87" s="115">
        <f>IFERROR(VLOOKUP($B87,MMWR_APP_STATE_PEN[],S$1,0),"ERROR")</f>
        <v>307</v>
      </c>
      <c r="T87" s="28"/>
    </row>
    <row r="88" spans="1:20" s="123" customFormat="1" x14ac:dyDescent="0.2">
      <c r="A88" s="28"/>
      <c r="B88" s="127" t="s">
        <v>402</v>
      </c>
      <c r="C88" s="109">
        <f>IFERROR(VLOOKUP($B88,MMWR_TRAD_AGG_STATE_PEN[],C$1,0),"ERROR")</f>
        <v>252</v>
      </c>
      <c r="D88" s="110">
        <f>IFERROR(VLOOKUP($B88,MMWR_TRAD_AGG_STATE_PEN[],D$1,0),"ERROR")</f>
        <v>68.440476190499993</v>
      </c>
      <c r="E88" s="111">
        <f>IFERROR(VLOOKUP($B88,MMWR_TRAD_AGG_STATE_PEN[],E$1,0),"ERROR")</f>
        <v>546</v>
      </c>
      <c r="F88" s="112">
        <f>IFERROR(VLOOKUP($B88,MMWR_TRAD_AGG_STATE_PEN[],F$1,0),"ERROR")</f>
        <v>47</v>
      </c>
      <c r="G88" s="113">
        <f t="shared" si="8"/>
        <v>8.608058608058608E-2</v>
      </c>
      <c r="H88" s="111">
        <f>IFERROR(VLOOKUP($B88,MMWR_TRAD_AGG_STATE_PEN[],H$1,0),"ERROR")</f>
        <v>473</v>
      </c>
      <c r="I88" s="112">
        <f>IFERROR(VLOOKUP($B88,MMWR_TRAD_AGG_STATE_PEN[],I$1,0),"ERROR")</f>
        <v>49</v>
      </c>
      <c r="J88" s="114">
        <f t="shared" si="9"/>
        <v>0.10359408033826638</v>
      </c>
      <c r="K88" s="111">
        <f>IFERROR(VLOOKUP($B88,MMWR_TRAD_AGG_STATE_PEN[],K$1,0),"ERROR")</f>
        <v>6</v>
      </c>
      <c r="L88" s="112">
        <f>IFERROR(VLOOKUP($B88,MMWR_TRAD_AGG_STATE_PEN[],L$1,0),"ERROR")</f>
        <v>6</v>
      </c>
      <c r="M88" s="114">
        <f t="shared" si="10"/>
        <v>1</v>
      </c>
      <c r="N88" s="111">
        <f>IFERROR(VLOOKUP($B88,MMWR_TRAD_AGG_STATE_PEN[],N$1,0),"ERROR")</f>
        <v>44</v>
      </c>
      <c r="O88" s="112">
        <f>IFERROR(VLOOKUP($B88,MMWR_TRAD_AGG_STATE_PEN[],O$1,0),"ERROR")</f>
        <v>18</v>
      </c>
      <c r="P88" s="114">
        <f t="shared" si="11"/>
        <v>0.40909090909090912</v>
      </c>
      <c r="Q88" s="115">
        <f>IFERROR(VLOOKUP($B88,MMWR_TRAD_AGG_STATE_PEN[],Q$1,0),"ERROR")</f>
        <v>361</v>
      </c>
      <c r="R88" s="115">
        <f>IFERROR(VLOOKUP($B88,MMWR_TRAD_AGG_STATE_PEN[],R$1,0),"ERROR")</f>
        <v>40</v>
      </c>
      <c r="S88" s="115">
        <f>IFERROR(VLOOKUP($B88,MMWR_APP_STATE_PEN[],S$1,0),"ERROR")</f>
        <v>114</v>
      </c>
      <c r="T88" s="28"/>
    </row>
    <row r="89" spans="1:20" s="123" customFormat="1" x14ac:dyDescent="0.2">
      <c r="A89" s="28"/>
      <c r="B89" s="127" t="s">
        <v>409</v>
      </c>
      <c r="C89" s="109">
        <f>IFERROR(VLOOKUP($B89,MMWR_TRAD_AGG_STATE_PEN[],C$1,0),"ERROR")</f>
        <v>81</v>
      </c>
      <c r="D89" s="110">
        <f>IFERROR(VLOOKUP($B89,MMWR_TRAD_AGG_STATE_PEN[],D$1,0),"ERROR")</f>
        <v>37.407407407400001</v>
      </c>
      <c r="E89" s="111">
        <f>IFERROR(VLOOKUP($B89,MMWR_TRAD_AGG_STATE_PEN[],E$1,0),"ERROR")</f>
        <v>292</v>
      </c>
      <c r="F89" s="112">
        <f>IFERROR(VLOOKUP($B89,MMWR_TRAD_AGG_STATE_PEN[],F$1,0),"ERROR")</f>
        <v>9</v>
      </c>
      <c r="G89" s="113">
        <f t="shared" si="8"/>
        <v>3.0821917808219176E-2</v>
      </c>
      <c r="H89" s="111">
        <f>IFERROR(VLOOKUP($B89,MMWR_TRAD_AGG_STATE_PEN[],H$1,0),"ERROR")</f>
        <v>151</v>
      </c>
      <c r="I89" s="112">
        <f>IFERROR(VLOOKUP($B89,MMWR_TRAD_AGG_STATE_PEN[],I$1,0),"ERROR")</f>
        <v>6</v>
      </c>
      <c r="J89" s="114">
        <f t="shared" si="9"/>
        <v>3.9735099337748346E-2</v>
      </c>
      <c r="K89" s="111">
        <f>IFERROR(VLOOKUP($B89,MMWR_TRAD_AGG_STATE_PEN[],K$1,0),"ERROR")</f>
        <v>0</v>
      </c>
      <c r="L89" s="112">
        <f>IFERROR(VLOOKUP($B89,MMWR_TRAD_AGG_STATE_PEN[],L$1,0),"ERROR")</f>
        <v>0</v>
      </c>
      <c r="M89" s="114" t="str">
        <f t="shared" si="10"/>
        <v>0%</v>
      </c>
      <c r="N89" s="111">
        <f>IFERROR(VLOOKUP($B89,MMWR_TRAD_AGG_STATE_PEN[],N$1,0),"ERROR")</f>
        <v>5</v>
      </c>
      <c r="O89" s="112">
        <f>IFERROR(VLOOKUP($B89,MMWR_TRAD_AGG_STATE_PEN[],O$1,0),"ERROR")</f>
        <v>0</v>
      </c>
      <c r="P89" s="114">
        <f t="shared" si="11"/>
        <v>0</v>
      </c>
      <c r="Q89" s="115">
        <f>IFERROR(VLOOKUP($B89,MMWR_TRAD_AGG_STATE_PEN[],Q$1,0),"ERROR")</f>
        <v>177</v>
      </c>
      <c r="R89" s="115">
        <f>IFERROR(VLOOKUP($B89,MMWR_TRAD_AGG_STATE_PEN[],R$1,0),"ERROR")</f>
        <v>30</v>
      </c>
      <c r="S89" s="115">
        <f>IFERROR(VLOOKUP($B89,MMWR_APP_STATE_PEN[],S$1,0),"ERROR")</f>
        <v>36</v>
      </c>
      <c r="T89" s="28"/>
    </row>
    <row r="90" spans="1:20" s="123" customFormat="1" x14ac:dyDescent="0.2">
      <c r="A90" s="28"/>
      <c r="B90" s="127" t="s">
        <v>432</v>
      </c>
      <c r="C90" s="109">
        <f>IFERROR(VLOOKUP($B90,MMWR_TRAD_AGG_STATE_PEN[],C$1,0),"ERROR")</f>
        <v>46</v>
      </c>
      <c r="D90" s="110">
        <f>IFERROR(VLOOKUP($B90,MMWR_TRAD_AGG_STATE_PEN[],D$1,0),"ERROR")</f>
        <v>43.347826087000001</v>
      </c>
      <c r="E90" s="111">
        <f>IFERROR(VLOOKUP($B90,MMWR_TRAD_AGG_STATE_PEN[],E$1,0),"ERROR")</f>
        <v>273</v>
      </c>
      <c r="F90" s="112">
        <f>IFERROR(VLOOKUP($B90,MMWR_TRAD_AGG_STATE_PEN[],F$1,0),"ERROR")</f>
        <v>16</v>
      </c>
      <c r="G90" s="113">
        <f t="shared" si="8"/>
        <v>5.8608058608058608E-2</v>
      </c>
      <c r="H90" s="111">
        <f>IFERROR(VLOOKUP($B90,MMWR_TRAD_AGG_STATE_PEN[],H$1,0),"ERROR")</f>
        <v>116</v>
      </c>
      <c r="I90" s="112">
        <f>IFERROR(VLOOKUP($B90,MMWR_TRAD_AGG_STATE_PEN[],I$1,0),"ERROR")</f>
        <v>6</v>
      </c>
      <c r="J90" s="114">
        <f t="shared" si="9"/>
        <v>5.1724137931034482E-2</v>
      </c>
      <c r="K90" s="111">
        <f>IFERROR(VLOOKUP($B90,MMWR_TRAD_AGG_STATE_PEN[],K$1,0),"ERROR")</f>
        <v>2</v>
      </c>
      <c r="L90" s="112">
        <f>IFERROR(VLOOKUP($B90,MMWR_TRAD_AGG_STATE_PEN[],L$1,0),"ERROR")</f>
        <v>2</v>
      </c>
      <c r="M90" s="114">
        <f t="shared" si="10"/>
        <v>1</v>
      </c>
      <c r="N90" s="111">
        <f>IFERROR(VLOOKUP($B90,MMWR_TRAD_AGG_STATE_PEN[],N$1,0),"ERROR")</f>
        <v>10</v>
      </c>
      <c r="O90" s="112">
        <f>IFERROR(VLOOKUP($B90,MMWR_TRAD_AGG_STATE_PEN[],O$1,0),"ERROR")</f>
        <v>2</v>
      </c>
      <c r="P90" s="114">
        <f t="shared" si="11"/>
        <v>0.2</v>
      </c>
      <c r="Q90" s="115">
        <f>IFERROR(VLOOKUP($B90,MMWR_TRAD_AGG_STATE_PEN[],Q$1,0),"ERROR")</f>
        <v>125</v>
      </c>
      <c r="R90" s="115">
        <f>IFERROR(VLOOKUP($B90,MMWR_TRAD_AGG_STATE_PEN[],R$1,0),"ERROR")</f>
        <v>40</v>
      </c>
      <c r="S90" s="115">
        <f>IFERROR(VLOOKUP($B90,MMWR_APP_STATE_PEN[],S$1,0),"ERROR")</f>
        <v>17</v>
      </c>
      <c r="T90" s="28"/>
    </row>
    <row r="91" spans="1:20" s="123" customFormat="1" x14ac:dyDescent="0.2">
      <c r="A91" s="28"/>
      <c r="B91" s="127" t="s">
        <v>405</v>
      </c>
      <c r="C91" s="109">
        <f>IFERROR(VLOOKUP($B91,MMWR_TRAD_AGG_STATE_PEN[],C$1,0),"ERROR")</f>
        <v>429</v>
      </c>
      <c r="D91" s="110">
        <f>IFERROR(VLOOKUP($B91,MMWR_TRAD_AGG_STATE_PEN[],D$1,0),"ERROR")</f>
        <v>67.601398601400007</v>
      </c>
      <c r="E91" s="111">
        <f>IFERROR(VLOOKUP($B91,MMWR_TRAD_AGG_STATE_PEN[],E$1,0),"ERROR")</f>
        <v>902</v>
      </c>
      <c r="F91" s="112">
        <f>IFERROR(VLOOKUP($B91,MMWR_TRAD_AGG_STATE_PEN[],F$1,0),"ERROR")</f>
        <v>81</v>
      </c>
      <c r="G91" s="113">
        <f t="shared" si="8"/>
        <v>8.9800443458980042E-2</v>
      </c>
      <c r="H91" s="111">
        <f>IFERROR(VLOOKUP($B91,MMWR_TRAD_AGG_STATE_PEN[],H$1,0),"ERROR")</f>
        <v>806</v>
      </c>
      <c r="I91" s="112">
        <f>IFERROR(VLOOKUP($B91,MMWR_TRAD_AGG_STATE_PEN[],I$1,0),"ERROR")</f>
        <v>93</v>
      </c>
      <c r="J91" s="114">
        <f t="shared" si="9"/>
        <v>0.11538461538461539</v>
      </c>
      <c r="K91" s="111">
        <f>IFERROR(VLOOKUP($B91,MMWR_TRAD_AGG_STATE_PEN[],K$1,0),"ERROR")</f>
        <v>10</v>
      </c>
      <c r="L91" s="112">
        <f>IFERROR(VLOOKUP($B91,MMWR_TRAD_AGG_STATE_PEN[],L$1,0),"ERROR")</f>
        <v>10</v>
      </c>
      <c r="M91" s="114">
        <f t="shared" si="10"/>
        <v>1</v>
      </c>
      <c r="N91" s="111">
        <f>IFERROR(VLOOKUP($B91,MMWR_TRAD_AGG_STATE_PEN[],N$1,0),"ERROR")</f>
        <v>52</v>
      </c>
      <c r="O91" s="112">
        <f>IFERROR(VLOOKUP($B91,MMWR_TRAD_AGG_STATE_PEN[],O$1,0),"ERROR")</f>
        <v>12</v>
      </c>
      <c r="P91" s="114">
        <f t="shared" si="11"/>
        <v>0.23076923076923078</v>
      </c>
      <c r="Q91" s="115">
        <f>IFERROR(VLOOKUP($B91,MMWR_TRAD_AGG_STATE_PEN[],Q$1,0),"ERROR")</f>
        <v>629</v>
      </c>
      <c r="R91" s="115">
        <f>IFERROR(VLOOKUP($B91,MMWR_TRAD_AGG_STATE_PEN[],R$1,0),"ERROR")</f>
        <v>75</v>
      </c>
      <c r="S91" s="115">
        <f>IFERROR(VLOOKUP($B91,MMWR_APP_STATE_PEN[],S$1,0),"ERROR")</f>
        <v>215</v>
      </c>
      <c r="T91" s="28"/>
    </row>
    <row r="92" spans="1:20" s="123" customFormat="1" x14ac:dyDescent="0.2">
      <c r="A92" s="28"/>
      <c r="B92" s="127" t="s">
        <v>411</v>
      </c>
      <c r="C92" s="109">
        <f>IFERROR(VLOOKUP($B92,MMWR_TRAD_AGG_STATE_PEN[],C$1,0),"ERROR")</f>
        <v>91</v>
      </c>
      <c r="D92" s="110">
        <f>IFERROR(VLOOKUP($B92,MMWR_TRAD_AGG_STATE_PEN[],D$1,0),"ERROR")</f>
        <v>37.296703296700002</v>
      </c>
      <c r="E92" s="111">
        <f>IFERROR(VLOOKUP($B92,MMWR_TRAD_AGG_STATE_PEN[],E$1,0),"ERROR")</f>
        <v>292</v>
      </c>
      <c r="F92" s="112">
        <f>IFERROR(VLOOKUP($B92,MMWR_TRAD_AGG_STATE_PEN[],F$1,0),"ERROR")</f>
        <v>9</v>
      </c>
      <c r="G92" s="113">
        <f t="shared" si="8"/>
        <v>3.0821917808219176E-2</v>
      </c>
      <c r="H92" s="111">
        <f>IFERROR(VLOOKUP($B92,MMWR_TRAD_AGG_STATE_PEN[],H$1,0),"ERROR")</f>
        <v>157</v>
      </c>
      <c r="I92" s="112">
        <f>IFERROR(VLOOKUP($B92,MMWR_TRAD_AGG_STATE_PEN[],I$1,0),"ERROR")</f>
        <v>3</v>
      </c>
      <c r="J92" s="114">
        <f t="shared" si="9"/>
        <v>1.9108280254777069E-2</v>
      </c>
      <c r="K92" s="111">
        <f>IFERROR(VLOOKUP($B92,MMWR_TRAD_AGG_STATE_PEN[],K$1,0),"ERROR")</f>
        <v>1</v>
      </c>
      <c r="L92" s="112">
        <f>IFERROR(VLOOKUP($B92,MMWR_TRAD_AGG_STATE_PEN[],L$1,0),"ERROR")</f>
        <v>1</v>
      </c>
      <c r="M92" s="114">
        <f t="shared" si="10"/>
        <v>1</v>
      </c>
      <c r="N92" s="111">
        <f>IFERROR(VLOOKUP($B92,MMWR_TRAD_AGG_STATE_PEN[],N$1,0),"ERROR")</f>
        <v>5</v>
      </c>
      <c r="O92" s="112">
        <f>IFERROR(VLOOKUP($B92,MMWR_TRAD_AGG_STATE_PEN[],O$1,0),"ERROR")</f>
        <v>1</v>
      </c>
      <c r="P92" s="114">
        <f t="shared" si="11"/>
        <v>0.2</v>
      </c>
      <c r="Q92" s="115">
        <f>IFERROR(VLOOKUP($B92,MMWR_TRAD_AGG_STATE_PEN[],Q$1,0),"ERROR")</f>
        <v>376</v>
      </c>
      <c r="R92" s="115">
        <f>IFERROR(VLOOKUP($B92,MMWR_TRAD_AGG_STATE_PEN[],R$1,0),"ERROR")</f>
        <v>43</v>
      </c>
      <c r="S92" s="115">
        <f>IFERROR(VLOOKUP($B92,MMWR_APP_STATE_PEN[],S$1,0),"ERROR")</f>
        <v>31</v>
      </c>
      <c r="T92" s="28"/>
    </row>
    <row r="93" spans="1:20" s="123" customFormat="1" x14ac:dyDescent="0.2">
      <c r="A93" s="28"/>
      <c r="B93" s="127" t="s">
        <v>407</v>
      </c>
      <c r="C93" s="109">
        <f>IFERROR(VLOOKUP($B93,MMWR_TRAD_AGG_STATE_PEN[],C$1,0),"ERROR")</f>
        <v>383</v>
      </c>
      <c r="D93" s="110">
        <f>IFERROR(VLOOKUP($B93,MMWR_TRAD_AGG_STATE_PEN[],D$1,0),"ERROR")</f>
        <v>65.741514360300002</v>
      </c>
      <c r="E93" s="111">
        <f>IFERROR(VLOOKUP($B93,MMWR_TRAD_AGG_STATE_PEN[],E$1,0),"ERROR")</f>
        <v>538</v>
      </c>
      <c r="F93" s="112">
        <f>IFERROR(VLOOKUP($B93,MMWR_TRAD_AGG_STATE_PEN[],F$1,0),"ERROR")</f>
        <v>45</v>
      </c>
      <c r="G93" s="113">
        <f t="shared" si="8"/>
        <v>8.3643122676579931E-2</v>
      </c>
      <c r="H93" s="111">
        <f>IFERROR(VLOOKUP($B93,MMWR_TRAD_AGG_STATE_PEN[],H$1,0),"ERROR")</f>
        <v>673</v>
      </c>
      <c r="I93" s="112">
        <f>IFERROR(VLOOKUP($B93,MMWR_TRAD_AGG_STATE_PEN[],I$1,0),"ERROR")</f>
        <v>63</v>
      </c>
      <c r="J93" s="114">
        <f t="shared" si="9"/>
        <v>9.3610698365527489E-2</v>
      </c>
      <c r="K93" s="111">
        <f>IFERROR(VLOOKUP($B93,MMWR_TRAD_AGG_STATE_PEN[],K$1,0),"ERROR")</f>
        <v>8</v>
      </c>
      <c r="L93" s="112">
        <f>IFERROR(VLOOKUP($B93,MMWR_TRAD_AGG_STATE_PEN[],L$1,0),"ERROR")</f>
        <v>8</v>
      </c>
      <c r="M93" s="114">
        <f t="shared" si="10"/>
        <v>1</v>
      </c>
      <c r="N93" s="111">
        <f>IFERROR(VLOOKUP($B93,MMWR_TRAD_AGG_STATE_PEN[],N$1,0),"ERROR")</f>
        <v>46</v>
      </c>
      <c r="O93" s="112">
        <f>IFERROR(VLOOKUP($B93,MMWR_TRAD_AGG_STATE_PEN[],O$1,0),"ERROR")</f>
        <v>18</v>
      </c>
      <c r="P93" s="114">
        <f t="shared" si="11"/>
        <v>0.39130434782608697</v>
      </c>
      <c r="Q93" s="115">
        <f>IFERROR(VLOOKUP($B93,MMWR_TRAD_AGG_STATE_PEN[],Q$1,0),"ERROR")</f>
        <v>516</v>
      </c>
      <c r="R93" s="115">
        <f>IFERROR(VLOOKUP($B93,MMWR_TRAD_AGG_STATE_PEN[],R$1,0),"ERROR")</f>
        <v>42</v>
      </c>
      <c r="S93" s="115">
        <f>IFERROR(VLOOKUP($B93,MMWR_APP_STATE_PEN[],S$1,0),"ERROR")</f>
        <v>170</v>
      </c>
      <c r="T93" s="28"/>
    </row>
    <row r="94" spans="1:20" s="123" customFormat="1" x14ac:dyDescent="0.2">
      <c r="A94" s="28"/>
      <c r="B94" s="127" t="s">
        <v>410</v>
      </c>
      <c r="C94" s="109">
        <f>IFERROR(VLOOKUP($B94,MMWR_TRAD_AGG_STATE_PEN[],C$1,0),"ERROR")</f>
        <v>33</v>
      </c>
      <c r="D94" s="110">
        <f>IFERROR(VLOOKUP($B94,MMWR_TRAD_AGG_STATE_PEN[],D$1,0),"ERROR")</f>
        <v>45.878787878799997</v>
      </c>
      <c r="E94" s="111">
        <f>IFERROR(VLOOKUP($B94,MMWR_TRAD_AGG_STATE_PEN[],E$1,0),"ERROR")</f>
        <v>93</v>
      </c>
      <c r="F94" s="112">
        <f>IFERROR(VLOOKUP($B94,MMWR_TRAD_AGG_STATE_PEN[],F$1,0),"ERROR")</f>
        <v>3</v>
      </c>
      <c r="G94" s="113">
        <f t="shared" si="8"/>
        <v>3.2258064516129031E-2</v>
      </c>
      <c r="H94" s="111">
        <f>IFERROR(VLOOKUP($B94,MMWR_TRAD_AGG_STATE_PEN[],H$1,0),"ERROR")</f>
        <v>52</v>
      </c>
      <c r="I94" s="112">
        <f>IFERROR(VLOOKUP($B94,MMWR_TRAD_AGG_STATE_PEN[],I$1,0),"ERROR")</f>
        <v>0</v>
      </c>
      <c r="J94" s="114">
        <f t="shared" si="9"/>
        <v>0</v>
      </c>
      <c r="K94" s="111">
        <f>IFERROR(VLOOKUP($B94,MMWR_TRAD_AGG_STATE_PEN[],K$1,0),"ERROR")</f>
        <v>0</v>
      </c>
      <c r="L94" s="112">
        <f>IFERROR(VLOOKUP($B94,MMWR_TRAD_AGG_STATE_PEN[],L$1,0),"ERROR")</f>
        <v>0</v>
      </c>
      <c r="M94" s="114" t="str">
        <f t="shared" si="10"/>
        <v>0%</v>
      </c>
      <c r="N94" s="111">
        <f>IFERROR(VLOOKUP($B94,MMWR_TRAD_AGG_STATE_PEN[],N$1,0),"ERROR")</f>
        <v>2</v>
      </c>
      <c r="O94" s="112">
        <f>IFERROR(VLOOKUP($B94,MMWR_TRAD_AGG_STATE_PEN[],O$1,0),"ERROR")</f>
        <v>0</v>
      </c>
      <c r="P94" s="114">
        <f t="shared" si="11"/>
        <v>0</v>
      </c>
      <c r="Q94" s="115">
        <f>IFERROR(VLOOKUP($B94,MMWR_TRAD_AGG_STATE_PEN[],Q$1,0),"ERROR")</f>
        <v>148</v>
      </c>
      <c r="R94" s="115">
        <f>IFERROR(VLOOKUP($B94,MMWR_TRAD_AGG_STATE_PEN[],R$1,0),"ERROR")</f>
        <v>20</v>
      </c>
      <c r="S94" s="115">
        <f>IFERROR(VLOOKUP($B94,MMWR_APP_STATE_PEN[],S$1,0),"ERROR")</f>
        <v>26</v>
      </c>
      <c r="T94" s="28"/>
    </row>
    <row r="95" spans="1:20" s="123" customFormat="1" x14ac:dyDescent="0.2">
      <c r="A95" s="28"/>
      <c r="B95" s="127" t="s">
        <v>429</v>
      </c>
      <c r="C95" s="109">
        <f>IFERROR(VLOOKUP($B95,MMWR_TRAD_AGG_STATE_PEN[],C$1,0),"ERROR")</f>
        <v>17</v>
      </c>
      <c r="D95" s="110">
        <f>IFERROR(VLOOKUP($B95,MMWR_TRAD_AGG_STATE_PEN[],D$1,0),"ERROR")</f>
        <v>40.882352941199997</v>
      </c>
      <c r="E95" s="111">
        <f>IFERROR(VLOOKUP($B95,MMWR_TRAD_AGG_STATE_PEN[],E$1,0),"ERROR")</f>
        <v>31</v>
      </c>
      <c r="F95" s="112">
        <f>IFERROR(VLOOKUP($B95,MMWR_TRAD_AGG_STATE_PEN[],F$1,0),"ERROR")</f>
        <v>0</v>
      </c>
      <c r="G95" s="113">
        <f t="shared" si="8"/>
        <v>0</v>
      </c>
      <c r="H95" s="111">
        <f>IFERROR(VLOOKUP($B95,MMWR_TRAD_AGG_STATE_PEN[],H$1,0),"ERROR")</f>
        <v>26</v>
      </c>
      <c r="I95" s="112">
        <f>IFERROR(VLOOKUP($B95,MMWR_TRAD_AGG_STATE_PEN[],I$1,0),"ERROR")</f>
        <v>0</v>
      </c>
      <c r="J95" s="114">
        <f t="shared" si="9"/>
        <v>0</v>
      </c>
      <c r="K95" s="111">
        <f>IFERROR(VLOOKUP($B95,MMWR_TRAD_AGG_STATE_PEN[],K$1,0),"ERROR")</f>
        <v>1</v>
      </c>
      <c r="L95" s="112">
        <f>IFERROR(VLOOKUP($B95,MMWR_TRAD_AGG_STATE_PEN[],L$1,0),"ERROR")</f>
        <v>1</v>
      </c>
      <c r="M95" s="114">
        <f t="shared" si="10"/>
        <v>1</v>
      </c>
      <c r="N95" s="111">
        <f>IFERROR(VLOOKUP($B95,MMWR_TRAD_AGG_STATE_PEN[],N$1,0),"ERROR")</f>
        <v>0</v>
      </c>
      <c r="O95" s="112">
        <f>IFERROR(VLOOKUP($B95,MMWR_TRAD_AGG_STATE_PEN[],O$1,0),"ERROR")</f>
        <v>0</v>
      </c>
      <c r="P95" s="114" t="str">
        <f t="shared" si="11"/>
        <v>0%</v>
      </c>
      <c r="Q95" s="115">
        <f>IFERROR(VLOOKUP($B95,MMWR_TRAD_AGG_STATE_PEN[],Q$1,0),"ERROR")</f>
        <v>46</v>
      </c>
      <c r="R95" s="115">
        <f>IFERROR(VLOOKUP($B95,MMWR_TRAD_AGG_STATE_PEN[],R$1,0),"ERROR")</f>
        <v>5</v>
      </c>
      <c r="S95" s="115">
        <f>IFERROR(VLOOKUP($B95,MMWR_APP_STATE_PEN[],S$1,0),"ERROR")</f>
        <v>5</v>
      </c>
      <c r="T95" s="28"/>
    </row>
    <row r="96" spans="1:20" s="123" customFormat="1" x14ac:dyDescent="0.2">
      <c r="A96" s="28"/>
      <c r="B96" s="127" t="s">
        <v>401</v>
      </c>
      <c r="C96" s="109">
        <f>IFERROR(VLOOKUP($B96,MMWR_TRAD_AGG_STATE_PEN[],C$1,0),"ERROR")</f>
        <v>536</v>
      </c>
      <c r="D96" s="110">
        <f>IFERROR(VLOOKUP($B96,MMWR_TRAD_AGG_STATE_PEN[],D$1,0),"ERROR")</f>
        <v>74.145522388100005</v>
      </c>
      <c r="E96" s="111">
        <f>IFERROR(VLOOKUP($B96,MMWR_TRAD_AGG_STATE_PEN[],E$1,0),"ERROR")</f>
        <v>1019</v>
      </c>
      <c r="F96" s="112">
        <f>IFERROR(VLOOKUP($B96,MMWR_TRAD_AGG_STATE_PEN[],F$1,0),"ERROR")</f>
        <v>103</v>
      </c>
      <c r="G96" s="113">
        <f t="shared" si="8"/>
        <v>0.10107948969578018</v>
      </c>
      <c r="H96" s="111">
        <f>IFERROR(VLOOKUP($B96,MMWR_TRAD_AGG_STATE_PEN[],H$1,0),"ERROR")</f>
        <v>948</v>
      </c>
      <c r="I96" s="112">
        <f>IFERROR(VLOOKUP($B96,MMWR_TRAD_AGG_STATE_PEN[],I$1,0),"ERROR")</f>
        <v>121</v>
      </c>
      <c r="J96" s="114">
        <f t="shared" si="9"/>
        <v>0.12763713080168776</v>
      </c>
      <c r="K96" s="111">
        <f>IFERROR(VLOOKUP($B96,MMWR_TRAD_AGG_STATE_PEN[],K$1,0),"ERROR")</f>
        <v>15</v>
      </c>
      <c r="L96" s="112">
        <f>IFERROR(VLOOKUP($B96,MMWR_TRAD_AGG_STATE_PEN[],L$1,0),"ERROR")</f>
        <v>15</v>
      </c>
      <c r="M96" s="114">
        <f t="shared" si="10"/>
        <v>1</v>
      </c>
      <c r="N96" s="111">
        <f>IFERROR(VLOOKUP($B96,MMWR_TRAD_AGG_STATE_PEN[],N$1,0),"ERROR")</f>
        <v>63</v>
      </c>
      <c r="O96" s="112">
        <f>IFERROR(VLOOKUP($B96,MMWR_TRAD_AGG_STATE_PEN[],O$1,0),"ERROR")</f>
        <v>18</v>
      </c>
      <c r="P96" s="114">
        <f t="shared" si="11"/>
        <v>0.2857142857142857</v>
      </c>
      <c r="Q96" s="115">
        <f>IFERROR(VLOOKUP($B96,MMWR_TRAD_AGG_STATE_PEN[],Q$1,0),"ERROR")</f>
        <v>591</v>
      </c>
      <c r="R96" s="115">
        <f>IFERROR(VLOOKUP($B96,MMWR_TRAD_AGG_STATE_PEN[],R$1,0),"ERROR")</f>
        <v>70</v>
      </c>
      <c r="S96" s="115">
        <f>IFERROR(VLOOKUP($B96,MMWR_APP_STATE_PEN[],S$1,0),"ERROR")</f>
        <v>208</v>
      </c>
      <c r="T96" s="28"/>
    </row>
    <row r="97" spans="1:20" s="123" customFormat="1" x14ac:dyDescent="0.2">
      <c r="A97" s="28"/>
      <c r="B97" s="127" t="s">
        <v>430</v>
      </c>
      <c r="C97" s="109">
        <f>IFERROR(VLOOKUP($B97,MMWR_TRAD_AGG_STATE_PEN[],C$1,0),"ERROR")</f>
        <v>18</v>
      </c>
      <c r="D97" s="110">
        <f>IFERROR(VLOOKUP($B97,MMWR_TRAD_AGG_STATE_PEN[],D$1,0),"ERROR")</f>
        <v>66.5</v>
      </c>
      <c r="E97" s="111">
        <f>IFERROR(VLOOKUP($B97,MMWR_TRAD_AGG_STATE_PEN[],E$1,0),"ERROR")</f>
        <v>56</v>
      </c>
      <c r="F97" s="112">
        <f>IFERROR(VLOOKUP($B97,MMWR_TRAD_AGG_STATE_PEN[],F$1,0),"ERROR")</f>
        <v>2</v>
      </c>
      <c r="G97" s="113">
        <f t="shared" si="8"/>
        <v>3.5714285714285712E-2</v>
      </c>
      <c r="H97" s="111">
        <f>IFERROR(VLOOKUP($B97,MMWR_TRAD_AGG_STATE_PEN[],H$1,0),"ERROR")</f>
        <v>31</v>
      </c>
      <c r="I97" s="112">
        <f>IFERROR(VLOOKUP($B97,MMWR_TRAD_AGG_STATE_PEN[],I$1,0),"ERROR")</f>
        <v>2</v>
      </c>
      <c r="J97" s="114">
        <f t="shared" si="9"/>
        <v>6.4516129032258063E-2</v>
      </c>
      <c r="K97" s="111">
        <f>IFERROR(VLOOKUP($B97,MMWR_TRAD_AGG_STATE_PEN[],K$1,0),"ERROR")</f>
        <v>0</v>
      </c>
      <c r="L97" s="112">
        <f>IFERROR(VLOOKUP($B97,MMWR_TRAD_AGG_STATE_PEN[],L$1,0),"ERROR")</f>
        <v>0</v>
      </c>
      <c r="M97" s="114" t="str">
        <f t="shared" si="10"/>
        <v>0%</v>
      </c>
      <c r="N97" s="111">
        <f>IFERROR(VLOOKUP($B97,MMWR_TRAD_AGG_STATE_PEN[],N$1,0),"ERROR")</f>
        <v>1</v>
      </c>
      <c r="O97" s="112">
        <f>IFERROR(VLOOKUP($B97,MMWR_TRAD_AGG_STATE_PEN[],O$1,0),"ERROR")</f>
        <v>1</v>
      </c>
      <c r="P97" s="114">
        <f t="shared" si="11"/>
        <v>1</v>
      </c>
      <c r="Q97" s="115">
        <f>IFERROR(VLOOKUP($B97,MMWR_TRAD_AGG_STATE_PEN[],Q$1,0),"ERROR")</f>
        <v>81</v>
      </c>
      <c r="R97" s="115">
        <f>IFERROR(VLOOKUP($B97,MMWR_TRAD_AGG_STATE_PEN[],R$1,0),"ERROR")</f>
        <v>7</v>
      </c>
      <c r="S97" s="115">
        <f>IFERROR(VLOOKUP($B97,MMWR_APP_STATE_PEN[],S$1,0),"ERROR")</f>
        <v>9</v>
      </c>
      <c r="T97" s="28"/>
    </row>
    <row r="98" spans="1:20" s="123" customFormat="1" x14ac:dyDescent="0.2">
      <c r="A98" s="28"/>
      <c r="B98" s="127" t="s">
        <v>406</v>
      </c>
      <c r="C98" s="109">
        <f>IFERROR(VLOOKUP($B98,MMWR_TRAD_AGG_STATE_PEN[],C$1,0),"ERROR")</f>
        <v>241</v>
      </c>
      <c r="D98" s="110">
        <f>IFERROR(VLOOKUP($B98,MMWR_TRAD_AGG_STATE_PEN[],D$1,0),"ERROR")</f>
        <v>57.784232365100003</v>
      </c>
      <c r="E98" s="111">
        <f>IFERROR(VLOOKUP($B98,MMWR_TRAD_AGG_STATE_PEN[],E$1,0),"ERROR")</f>
        <v>323</v>
      </c>
      <c r="F98" s="112">
        <f>IFERROR(VLOOKUP($B98,MMWR_TRAD_AGG_STATE_PEN[],F$1,0),"ERROR")</f>
        <v>17</v>
      </c>
      <c r="G98" s="113">
        <f t="shared" si="8"/>
        <v>5.2631578947368418E-2</v>
      </c>
      <c r="H98" s="111">
        <f>IFERROR(VLOOKUP($B98,MMWR_TRAD_AGG_STATE_PEN[],H$1,0),"ERROR")</f>
        <v>405</v>
      </c>
      <c r="I98" s="112">
        <f>IFERROR(VLOOKUP($B98,MMWR_TRAD_AGG_STATE_PEN[],I$1,0),"ERROR")</f>
        <v>30</v>
      </c>
      <c r="J98" s="114">
        <f t="shared" si="9"/>
        <v>7.407407407407407E-2</v>
      </c>
      <c r="K98" s="111">
        <f>IFERROR(VLOOKUP($B98,MMWR_TRAD_AGG_STATE_PEN[],K$1,0),"ERROR")</f>
        <v>2</v>
      </c>
      <c r="L98" s="112">
        <f>IFERROR(VLOOKUP($B98,MMWR_TRAD_AGG_STATE_PEN[],L$1,0),"ERROR")</f>
        <v>2</v>
      </c>
      <c r="M98" s="114">
        <f t="shared" si="10"/>
        <v>1</v>
      </c>
      <c r="N98" s="111">
        <f>IFERROR(VLOOKUP($B98,MMWR_TRAD_AGG_STATE_PEN[],N$1,0),"ERROR")</f>
        <v>18</v>
      </c>
      <c r="O98" s="112">
        <f>IFERROR(VLOOKUP($B98,MMWR_TRAD_AGG_STATE_PEN[],O$1,0),"ERROR")</f>
        <v>4</v>
      </c>
      <c r="P98" s="114">
        <f t="shared" si="11"/>
        <v>0.22222222222222221</v>
      </c>
      <c r="Q98" s="115">
        <f>IFERROR(VLOOKUP($B98,MMWR_TRAD_AGG_STATE_PEN[],Q$1,0),"ERROR")</f>
        <v>359</v>
      </c>
      <c r="R98" s="115">
        <f>IFERROR(VLOOKUP($B98,MMWR_TRAD_AGG_STATE_PEN[],R$1,0),"ERROR")</f>
        <v>31</v>
      </c>
      <c r="S98" s="115">
        <f>IFERROR(VLOOKUP($B98,MMWR_APP_STATE_PEN[],S$1,0),"ERROR")</f>
        <v>77</v>
      </c>
      <c r="T98" s="28"/>
    </row>
    <row r="99" spans="1:20" s="123" customFormat="1" x14ac:dyDescent="0.2">
      <c r="A99" s="28"/>
      <c r="B99" s="126" t="s">
        <v>395</v>
      </c>
      <c r="C99" s="102">
        <f>IFERROR(VLOOKUP($B99,MMWR_TRAD_AGG_ST_DISTRICT_PEN[],C$1,0),"ERROR")</f>
        <v>1350</v>
      </c>
      <c r="D99" s="103">
        <f>IFERROR(VLOOKUP($B99,MMWR_TRAD_AGG_ST_DISTRICT_PEN[],D$1,0),"ERROR")</f>
        <v>58.081481481499999</v>
      </c>
      <c r="E99" s="102">
        <f>IFERROR(VLOOKUP($B99,MMWR_TRAD_AGG_ST_DISTRICT_PEN[],E$1,0),"ERROR")</f>
        <v>2987</v>
      </c>
      <c r="F99" s="102">
        <f>IFERROR(VLOOKUP($B99,MMWR_TRAD_AGG_ST_DISTRICT_PEN[],F$1,0),"ERROR")</f>
        <v>134</v>
      </c>
      <c r="G99" s="104">
        <f t="shared" si="8"/>
        <v>4.4861064613324404E-2</v>
      </c>
      <c r="H99" s="102">
        <f>IFERROR(VLOOKUP($B99,MMWR_TRAD_AGG_ST_DISTRICT_PEN[],H$1,0),"ERROR")</f>
        <v>2600</v>
      </c>
      <c r="I99" s="102">
        <f>IFERROR(VLOOKUP($B99,MMWR_TRAD_AGG_ST_DISTRICT_PEN[],I$1,0),"ERROR")</f>
        <v>252</v>
      </c>
      <c r="J99" s="104">
        <f t="shared" si="9"/>
        <v>9.6923076923076917E-2</v>
      </c>
      <c r="K99" s="102">
        <f>IFERROR(VLOOKUP($B99,MMWR_TRAD_AGG_ST_DISTRICT_PEN[],K$1,0),"ERROR")</f>
        <v>33</v>
      </c>
      <c r="L99" s="102">
        <f>IFERROR(VLOOKUP($B99,MMWR_TRAD_AGG_ST_DISTRICT_PEN[],L$1,0),"ERROR")</f>
        <v>32</v>
      </c>
      <c r="M99" s="104">
        <f t="shared" si="10"/>
        <v>0.96969696969696972</v>
      </c>
      <c r="N99" s="102">
        <f>IFERROR(VLOOKUP($B99,MMWR_TRAD_AGG_ST_DISTRICT_PEN[],N$1,0),"ERROR")</f>
        <v>170</v>
      </c>
      <c r="O99" s="102">
        <f>IFERROR(VLOOKUP($B99,MMWR_TRAD_AGG_ST_DISTRICT_PEN[],O$1,0),"ERROR")</f>
        <v>68</v>
      </c>
      <c r="P99" s="104">
        <f t="shared" si="11"/>
        <v>0.4</v>
      </c>
      <c r="Q99" s="102">
        <f>IFERROR(VLOOKUP($B99,MMWR_TRAD_AGG_ST_DISTRICT_PEN[],Q$1,0),"ERROR")</f>
        <v>2517</v>
      </c>
      <c r="R99" s="106">
        <f>IFERROR(VLOOKUP($B99,MMWR_TRAD_AGG_ST_DISTRICT_PEN[],R$1,0),"ERROR")</f>
        <v>490</v>
      </c>
      <c r="S99" s="106">
        <f>IFERROR(VLOOKUP($B99,MMWR_APP_STATE_PEN[],S$1,0),"ERROR")</f>
        <v>793</v>
      </c>
      <c r="T99" s="28"/>
    </row>
    <row r="100" spans="1:20" s="123" customFormat="1" x14ac:dyDescent="0.2">
      <c r="A100" s="28"/>
      <c r="B100" s="127" t="s">
        <v>421</v>
      </c>
      <c r="C100" s="109">
        <f>IFERROR(VLOOKUP($B100,MMWR_TRAD_AGG_STATE_PEN[],C$1,0),"ERROR")</f>
        <v>174</v>
      </c>
      <c r="D100" s="110">
        <f>IFERROR(VLOOKUP($B100,MMWR_TRAD_AGG_STATE_PEN[],D$1,0),"ERROR")</f>
        <v>73.028735632199997</v>
      </c>
      <c r="E100" s="111">
        <f>IFERROR(VLOOKUP($B100,MMWR_TRAD_AGG_STATE_PEN[],E$1,0),"ERROR")</f>
        <v>207</v>
      </c>
      <c r="F100" s="112">
        <f>IFERROR(VLOOKUP($B100,MMWR_TRAD_AGG_STATE_PEN[],F$1,0),"ERROR")</f>
        <v>14</v>
      </c>
      <c r="G100" s="113">
        <f t="shared" si="8"/>
        <v>6.7632850241545889E-2</v>
      </c>
      <c r="H100" s="111">
        <f>IFERROR(VLOOKUP($B100,MMWR_TRAD_AGG_STATE_PEN[],H$1,0),"ERROR")</f>
        <v>299</v>
      </c>
      <c r="I100" s="112">
        <f>IFERROR(VLOOKUP($B100,MMWR_TRAD_AGG_STATE_PEN[],I$1,0),"ERROR")</f>
        <v>41</v>
      </c>
      <c r="J100" s="114">
        <f t="shared" si="9"/>
        <v>0.13712374581939799</v>
      </c>
      <c r="K100" s="111">
        <f>IFERROR(VLOOKUP($B100,MMWR_TRAD_AGG_STATE_PEN[],K$1,0),"ERROR")</f>
        <v>7</v>
      </c>
      <c r="L100" s="112">
        <f>IFERROR(VLOOKUP($B100,MMWR_TRAD_AGG_STATE_PEN[],L$1,0),"ERROR")</f>
        <v>7</v>
      </c>
      <c r="M100" s="114">
        <f t="shared" si="10"/>
        <v>1</v>
      </c>
      <c r="N100" s="111">
        <f>IFERROR(VLOOKUP($B100,MMWR_TRAD_AGG_STATE_PEN[],N$1,0),"ERROR")</f>
        <v>18</v>
      </c>
      <c r="O100" s="112">
        <f>IFERROR(VLOOKUP($B100,MMWR_TRAD_AGG_STATE_PEN[],O$1,0),"ERROR")</f>
        <v>5</v>
      </c>
      <c r="P100" s="114">
        <f t="shared" si="11"/>
        <v>0.27777777777777779</v>
      </c>
      <c r="Q100" s="115">
        <f>IFERROR(VLOOKUP($B100,MMWR_TRAD_AGG_STATE_PEN[],Q$1,0),"ERROR")</f>
        <v>260</v>
      </c>
      <c r="R100" s="115">
        <f>IFERROR(VLOOKUP($B100,MMWR_TRAD_AGG_STATE_PEN[],R$1,0),"ERROR")</f>
        <v>16</v>
      </c>
      <c r="S100" s="115">
        <f>IFERROR(VLOOKUP($B100,MMWR_APP_STATE_PEN[],S$1,0),"ERROR")</f>
        <v>121</v>
      </c>
      <c r="T100" s="28"/>
    </row>
    <row r="101" spans="1:20" s="123" customFormat="1" x14ac:dyDescent="0.2">
      <c r="A101" s="28"/>
      <c r="B101" s="127" t="s">
        <v>413</v>
      </c>
      <c r="C101" s="109">
        <f>IFERROR(VLOOKUP($B101,MMWR_TRAD_AGG_STATE_PEN[],C$1,0),"ERROR")</f>
        <v>76</v>
      </c>
      <c r="D101" s="110">
        <f>IFERROR(VLOOKUP($B101,MMWR_TRAD_AGG_STATE_PEN[],D$1,0),"ERROR")</f>
        <v>40.644736842100002</v>
      </c>
      <c r="E101" s="111">
        <f>IFERROR(VLOOKUP($B101,MMWR_TRAD_AGG_STATE_PEN[],E$1,0),"ERROR")</f>
        <v>231</v>
      </c>
      <c r="F101" s="112">
        <f>IFERROR(VLOOKUP($B101,MMWR_TRAD_AGG_STATE_PEN[],F$1,0),"ERROR")</f>
        <v>11</v>
      </c>
      <c r="G101" s="113">
        <f t="shared" ref="G101:G127" si="12">IFERROR(F101/E101,"0%")</f>
        <v>4.7619047619047616E-2</v>
      </c>
      <c r="H101" s="111">
        <f>IFERROR(VLOOKUP($B101,MMWR_TRAD_AGG_STATE_PEN[],H$1,0),"ERROR")</f>
        <v>174</v>
      </c>
      <c r="I101" s="112">
        <f>IFERROR(VLOOKUP($B101,MMWR_TRAD_AGG_STATE_PEN[],I$1,0),"ERROR")</f>
        <v>17</v>
      </c>
      <c r="J101" s="114">
        <f t="shared" ref="J101:J127" si="13">IFERROR(I101/H101,"0%")</f>
        <v>9.7701149425287362E-2</v>
      </c>
      <c r="K101" s="111">
        <f>IFERROR(VLOOKUP($B101,MMWR_TRAD_AGG_STATE_PEN[],K$1,0),"ERROR")</f>
        <v>4</v>
      </c>
      <c r="L101" s="112">
        <f>IFERROR(VLOOKUP($B101,MMWR_TRAD_AGG_STATE_PEN[],L$1,0),"ERROR")</f>
        <v>4</v>
      </c>
      <c r="M101" s="114">
        <f t="shared" ref="M101:M127" si="14">IFERROR(L101/K101,"0%")</f>
        <v>1</v>
      </c>
      <c r="N101" s="111">
        <f>IFERROR(VLOOKUP($B101,MMWR_TRAD_AGG_STATE_PEN[],N$1,0),"ERROR")</f>
        <v>19</v>
      </c>
      <c r="O101" s="112">
        <f>IFERROR(VLOOKUP($B101,MMWR_TRAD_AGG_STATE_PEN[],O$1,0),"ERROR")</f>
        <v>9</v>
      </c>
      <c r="P101" s="114">
        <f t="shared" ref="P101:P127" si="15">IFERROR(O101/N101,"0%")</f>
        <v>0.47368421052631576</v>
      </c>
      <c r="Q101" s="115">
        <f>IFERROR(VLOOKUP($B101,MMWR_TRAD_AGG_STATE_PEN[],Q$1,0),"ERROR")</f>
        <v>229</v>
      </c>
      <c r="R101" s="115">
        <f>IFERROR(VLOOKUP($B101,MMWR_TRAD_AGG_STATE_PEN[],R$1,0),"ERROR")</f>
        <v>43</v>
      </c>
      <c r="S101" s="115">
        <f>IFERROR(VLOOKUP($B101,MMWR_APP_STATE_PEN[],S$1,0),"ERROR")</f>
        <v>40</v>
      </c>
      <c r="T101" s="28"/>
    </row>
    <row r="102" spans="1:20" s="123" customFormat="1" x14ac:dyDescent="0.2">
      <c r="A102" s="28"/>
      <c r="B102" s="127" t="s">
        <v>397</v>
      </c>
      <c r="C102" s="109">
        <f>IFERROR(VLOOKUP($B102,MMWR_TRAD_AGG_STATE_PEN[],C$1,0),"ERROR")</f>
        <v>293</v>
      </c>
      <c r="D102" s="110">
        <f>IFERROR(VLOOKUP($B102,MMWR_TRAD_AGG_STATE_PEN[],D$1,0),"ERROR")</f>
        <v>70.416382252600002</v>
      </c>
      <c r="E102" s="111">
        <f>IFERROR(VLOOKUP($B102,MMWR_TRAD_AGG_STATE_PEN[],E$1,0),"ERROR")</f>
        <v>372</v>
      </c>
      <c r="F102" s="112">
        <f>IFERROR(VLOOKUP($B102,MMWR_TRAD_AGG_STATE_PEN[],F$1,0),"ERROR")</f>
        <v>29</v>
      </c>
      <c r="G102" s="113">
        <f t="shared" si="12"/>
        <v>7.7956989247311828E-2</v>
      </c>
      <c r="H102" s="111">
        <f>IFERROR(VLOOKUP($B102,MMWR_TRAD_AGG_STATE_PEN[],H$1,0),"ERROR")</f>
        <v>485</v>
      </c>
      <c r="I102" s="112">
        <f>IFERROR(VLOOKUP($B102,MMWR_TRAD_AGG_STATE_PEN[],I$1,0),"ERROR")</f>
        <v>45</v>
      </c>
      <c r="J102" s="114">
        <f t="shared" si="13"/>
        <v>9.2783505154639179E-2</v>
      </c>
      <c r="K102" s="111">
        <f>IFERROR(VLOOKUP($B102,MMWR_TRAD_AGG_STATE_PEN[],K$1,0),"ERROR")</f>
        <v>3</v>
      </c>
      <c r="L102" s="112">
        <f>IFERROR(VLOOKUP($B102,MMWR_TRAD_AGG_STATE_PEN[],L$1,0),"ERROR")</f>
        <v>3</v>
      </c>
      <c r="M102" s="114">
        <f t="shared" si="14"/>
        <v>1</v>
      </c>
      <c r="N102" s="111">
        <f>IFERROR(VLOOKUP($B102,MMWR_TRAD_AGG_STATE_PEN[],N$1,0),"ERROR")</f>
        <v>22</v>
      </c>
      <c r="O102" s="112">
        <f>IFERROR(VLOOKUP($B102,MMWR_TRAD_AGG_STATE_PEN[],O$1,0),"ERROR")</f>
        <v>8</v>
      </c>
      <c r="P102" s="114">
        <f t="shared" si="15"/>
        <v>0.36363636363636365</v>
      </c>
      <c r="Q102" s="115">
        <f>IFERROR(VLOOKUP($B102,MMWR_TRAD_AGG_STATE_PEN[],Q$1,0),"ERROR")</f>
        <v>226</v>
      </c>
      <c r="R102" s="115">
        <f>IFERROR(VLOOKUP($B102,MMWR_TRAD_AGG_STATE_PEN[],R$1,0),"ERROR")</f>
        <v>34</v>
      </c>
      <c r="S102" s="115">
        <f>IFERROR(VLOOKUP($B102,MMWR_APP_STATE_PEN[],S$1,0),"ERROR")</f>
        <v>141</v>
      </c>
      <c r="T102" s="28"/>
    </row>
    <row r="103" spans="1:20" s="123" customFormat="1" x14ac:dyDescent="0.2">
      <c r="A103" s="28"/>
      <c r="B103" s="127" t="s">
        <v>399</v>
      </c>
      <c r="C103" s="109">
        <f>IFERROR(VLOOKUP($B103,MMWR_TRAD_AGG_STATE_PEN[],C$1,0),"ERROR")</f>
        <v>174</v>
      </c>
      <c r="D103" s="110">
        <f>IFERROR(VLOOKUP($B103,MMWR_TRAD_AGG_STATE_PEN[],D$1,0),"ERROR")</f>
        <v>78.201149425300002</v>
      </c>
      <c r="E103" s="111">
        <f>IFERROR(VLOOKUP($B103,MMWR_TRAD_AGG_STATE_PEN[],E$1,0),"ERROR")</f>
        <v>219</v>
      </c>
      <c r="F103" s="112">
        <f>IFERROR(VLOOKUP($B103,MMWR_TRAD_AGG_STATE_PEN[],F$1,0),"ERROR")</f>
        <v>21</v>
      </c>
      <c r="G103" s="113">
        <f t="shared" si="12"/>
        <v>9.5890410958904104E-2</v>
      </c>
      <c r="H103" s="111">
        <f>IFERROR(VLOOKUP($B103,MMWR_TRAD_AGG_STATE_PEN[],H$1,0),"ERROR")</f>
        <v>310</v>
      </c>
      <c r="I103" s="112">
        <f>IFERROR(VLOOKUP($B103,MMWR_TRAD_AGG_STATE_PEN[],I$1,0),"ERROR")</f>
        <v>43</v>
      </c>
      <c r="J103" s="114">
        <f t="shared" si="13"/>
        <v>0.13870967741935483</v>
      </c>
      <c r="K103" s="111">
        <f>IFERROR(VLOOKUP($B103,MMWR_TRAD_AGG_STATE_PEN[],K$1,0),"ERROR")</f>
        <v>7</v>
      </c>
      <c r="L103" s="112">
        <f>IFERROR(VLOOKUP($B103,MMWR_TRAD_AGG_STATE_PEN[],L$1,0),"ERROR")</f>
        <v>7</v>
      </c>
      <c r="M103" s="114">
        <f t="shared" si="14"/>
        <v>1</v>
      </c>
      <c r="N103" s="111">
        <f>IFERROR(VLOOKUP($B103,MMWR_TRAD_AGG_STATE_PEN[],N$1,0),"ERROR")</f>
        <v>34</v>
      </c>
      <c r="O103" s="112">
        <f>IFERROR(VLOOKUP($B103,MMWR_TRAD_AGG_STATE_PEN[],O$1,0),"ERROR")</f>
        <v>8</v>
      </c>
      <c r="P103" s="114">
        <f t="shared" si="15"/>
        <v>0.23529411764705882</v>
      </c>
      <c r="Q103" s="115">
        <f>IFERROR(VLOOKUP($B103,MMWR_TRAD_AGG_STATE_PEN[],Q$1,0),"ERROR")</f>
        <v>260</v>
      </c>
      <c r="R103" s="115">
        <f>IFERROR(VLOOKUP($B103,MMWR_TRAD_AGG_STATE_PEN[],R$1,0),"ERROR")</f>
        <v>27</v>
      </c>
      <c r="S103" s="115">
        <f>IFERROR(VLOOKUP($B103,MMWR_APP_STATE_PEN[],S$1,0),"ERROR")</f>
        <v>115</v>
      </c>
      <c r="T103" s="28"/>
    </row>
    <row r="104" spans="1:20" s="123" customFormat="1" x14ac:dyDescent="0.2">
      <c r="A104" s="28"/>
      <c r="B104" s="127" t="s">
        <v>428</v>
      </c>
      <c r="C104" s="109">
        <f>IFERROR(VLOOKUP($B104,MMWR_TRAD_AGG_STATE_PEN[],C$1,0),"ERROR")</f>
        <v>15</v>
      </c>
      <c r="D104" s="110">
        <f>IFERROR(VLOOKUP($B104,MMWR_TRAD_AGG_STATE_PEN[],D$1,0),"ERROR")</f>
        <v>25.933333333299998</v>
      </c>
      <c r="E104" s="111">
        <f>IFERROR(VLOOKUP($B104,MMWR_TRAD_AGG_STATE_PEN[],E$1,0),"ERROR")</f>
        <v>72</v>
      </c>
      <c r="F104" s="112">
        <f>IFERROR(VLOOKUP($B104,MMWR_TRAD_AGG_STATE_PEN[],F$1,0),"ERROR")</f>
        <v>2</v>
      </c>
      <c r="G104" s="113">
        <f t="shared" si="12"/>
        <v>2.7777777777777776E-2</v>
      </c>
      <c r="H104" s="111">
        <f>IFERROR(VLOOKUP($B104,MMWR_TRAD_AGG_STATE_PEN[],H$1,0),"ERROR")</f>
        <v>38</v>
      </c>
      <c r="I104" s="112">
        <f>IFERROR(VLOOKUP($B104,MMWR_TRAD_AGG_STATE_PEN[],I$1,0),"ERROR")</f>
        <v>2</v>
      </c>
      <c r="J104" s="114">
        <f t="shared" si="13"/>
        <v>5.2631578947368418E-2</v>
      </c>
      <c r="K104" s="111">
        <f>IFERROR(VLOOKUP($B104,MMWR_TRAD_AGG_STATE_PEN[],K$1,0),"ERROR")</f>
        <v>0</v>
      </c>
      <c r="L104" s="112">
        <f>IFERROR(VLOOKUP($B104,MMWR_TRAD_AGG_STATE_PEN[],L$1,0),"ERROR")</f>
        <v>0</v>
      </c>
      <c r="M104" s="114" t="str">
        <f t="shared" si="14"/>
        <v>0%</v>
      </c>
      <c r="N104" s="111">
        <f>IFERROR(VLOOKUP($B104,MMWR_TRAD_AGG_STATE_PEN[],N$1,0),"ERROR")</f>
        <v>3</v>
      </c>
      <c r="O104" s="112">
        <f>IFERROR(VLOOKUP($B104,MMWR_TRAD_AGG_STATE_PEN[],O$1,0),"ERROR")</f>
        <v>0</v>
      </c>
      <c r="P104" s="114">
        <f t="shared" si="15"/>
        <v>0</v>
      </c>
      <c r="Q104" s="115">
        <f>IFERROR(VLOOKUP($B104,MMWR_TRAD_AGG_STATE_PEN[],Q$1,0),"ERROR")</f>
        <v>67</v>
      </c>
      <c r="R104" s="115">
        <f>IFERROR(VLOOKUP($B104,MMWR_TRAD_AGG_STATE_PEN[],R$1,0),"ERROR")</f>
        <v>5</v>
      </c>
      <c r="S104" s="115">
        <f>IFERROR(VLOOKUP($B104,MMWR_APP_STATE_PEN[],S$1,0),"ERROR")</f>
        <v>3</v>
      </c>
      <c r="T104" s="28"/>
    </row>
    <row r="105" spans="1:20" s="123" customFormat="1" x14ac:dyDescent="0.2">
      <c r="A105" s="28"/>
      <c r="B105" s="127" t="s">
        <v>422</v>
      </c>
      <c r="C105" s="109">
        <f>IFERROR(VLOOKUP($B105,MMWR_TRAD_AGG_STATE_PEN[],C$1,0),"ERROR")</f>
        <v>92</v>
      </c>
      <c r="D105" s="110">
        <f>IFERROR(VLOOKUP($B105,MMWR_TRAD_AGG_STATE_PEN[],D$1,0),"ERROR")</f>
        <v>49.010869565199997</v>
      </c>
      <c r="E105" s="111">
        <f>IFERROR(VLOOKUP($B105,MMWR_TRAD_AGG_STATE_PEN[],E$1,0),"ERROR")</f>
        <v>260</v>
      </c>
      <c r="F105" s="112">
        <f>IFERROR(VLOOKUP($B105,MMWR_TRAD_AGG_STATE_PEN[],F$1,0),"ERROR")</f>
        <v>10</v>
      </c>
      <c r="G105" s="113">
        <f t="shared" si="12"/>
        <v>3.8461538461538464E-2</v>
      </c>
      <c r="H105" s="111">
        <f>IFERROR(VLOOKUP($B105,MMWR_TRAD_AGG_STATE_PEN[],H$1,0),"ERROR")</f>
        <v>182</v>
      </c>
      <c r="I105" s="112">
        <f>IFERROR(VLOOKUP($B105,MMWR_TRAD_AGG_STATE_PEN[],I$1,0),"ERROR")</f>
        <v>12</v>
      </c>
      <c r="J105" s="114">
        <f t="shared" si="13"/>
        <v>6.5934065934065936E-2</v>
      </c>
      <c r="K105" s="111">
        <f>IFERROR(VLOOKUP($B105,MMWR_TRAD_AGG_STATE_PEN[],K$1,0),"ERROR")</f>
        <v>2</v>
      </c>
      <c r="L105" s="112">
        <f>IFERROR(VLOOKUP($B105,MMWR_TRAD_AGG_STATE_PEN[],L$1,0),"ERROR")</f>
        <v>2</v>
      </c>
      <c r="M105" s="114">
        <f t="shared" si="14"/>
        <v>1</v>
      </c>
      <c r="N105" s="111">
        <f>IFERROR(VLOOKUP($B105,MMWR_TRAD_AGG_STATE_PEN[],N$1,0),"ERROR")</f>
        <v>12</v>
      </c>
      <c r="O105" s="112">
        <f>IFERROR(VLOOKUP($B105,MMWR_TRAD_AGG_STATE_PEN[],O$1,0),"ERROR")</f>
        <v>5</v>
      </c>
      <c r="P105" s="114">
        <f t="shared" si="15"/>
        <v>0.41666666666666669</v>
      </c>
      <c r="Q105" s="115">
        <f>IFERROR(VLOOKUP($B105,MMWR_TRAD_AGG_STATE_PEN[],Q$1,0),"ERROR")</f>
        <v>353</v>
      </c>
      <c r="R105" s="115">
        <f>IFERROR(VLOOKUP($B105,MMWR_TRAD_AGG_STATE_PEN[],R$1,0),"ERROR")</f>
        <v>62</v>
      </c>
      <c r="S105" s="115">
        <f>IFERROR(VLOOKUP($B105,MMWR_APP_STATE_PEN[],S$1,0),"ERROR")</f>
        <v>74</v>
      </c>
      <c r="T105" s="28"/>
    </row>
    <row r="106" spans="1:20" s="123" customFormat="1" x14ac:dyDescent="0.2">
      <c r="A106" s="28"/>
      <c r="B106" s="127" t="s">
        <v>420</v>
      </c>
      <c r="C106" s="109">
        <f>IFERROR(VLOOKUP($B106,MMWR_TRAD_AGG_STATE_PEN[],C$1,0),"ERROR")</f>
        <v>491</v>
      </c>
      <c r="D106" s="110">
        <f>IFERROR(VLOOKUP($B106,MMWR_TRAD_AGG_STATE_PEN[],D$1,0),"ERROR")</f>
        <v>44.979633401199997</v>
      </c>
      <c r="E106" s="111">
        <f>IFERROR(VLOOKUP($B106,MMWR_TRAD_AGG_STATE_PEN[],E$1,0),"ERROR")</f>
        <v>1443</v>
      </c>
      <c r="F106" s="112">
        <f>IFERROR(VLOOKUP($B106,MMWR_TRAD_AGG_STATE_PEN[],F$1,0),"ERROR")</f>
        <v>41</v>
      </c>
      <c r="G106" s="113">
        <f t="shared" si="12"/>
        <v>2.8413028413028413E-2</v>
      </c>
      <c r="H106" s="111">
        <f>IFERROR(VLOOKUP($B106,MMWR_TRAD_AGG_STATE_PEN[],H$1,0),"ERROR")</f>
        <v>1024</v>
      </c>
      <c r="I106" s="112">
        <f>IFERROR(VLOOKUP($B106,MMWR_TRAD_AGG_STATE_PEN[],I$1,0),"ERROR")</f>
        <v>85</v>
      </c>
      <c r="J106" s="114">
        <f t="shared" si="13"/>
        <v>8.30078125E-2</v>
      </c>
      <c r="K106" s="111">
        <f>IFERROR(VLOOKUP($B106,MMWR_TRAD_AGG_STATE_PEN[],K$1,0),"ERROR")</f>
        <v>10</v>
      </c>
      <c r="L106" s="112">
        <f>IFERROR(VLOOKUP($B106,MMWR_TRAD_AGG_STATE_PEN[],L$1,0),"ERROR")</f>
        <v>9</v>
      </c>
      <c r="M106" s="114">
        <f t="shared" si="14"/>
        <v>0.9</v>
      </c>
      <c r="N106" s="111">
        <f>IFERROR(VLOOKUP($B106,MMWR_TRAD_AGG_STATE_PEN[],N$1,0),"ERROR")</f>
        <v>57</v>
      </c>
      <c r="O106" s="112">
        <f>IFERROR(VLOOKUP($B106,MMWR_TRAD_AGG_STATE_PEN[],O$1,0),"ERROR")</f>
        <v>30</v>
      </c>
      <c r="P106" s="114">
        <f t="shared" si="15"/>
        <v>0.52631578947368418</v>
      </c>
      <c r="Q106" s="115">
        <f>IFERROR(VLOOKUP($B106,MMWR_TRAD_AGG_STATE_PEN[],Q$1,0),"ERROR")</f>
        <v>982</v>
      </c>
      <c r="R106" s="115">
        <f>IFERROR(VLOOKUP($B106,MMWR_TRAD_AGG_STATE_PEN[],R$1,0),"ERROR")</f>
        <v>281</v>
      </c>
      <c r="S106" s="115">
        <f>IFERROR(VLOOKUP($B106,MMWR_APP_STATE_PEN[],S$1,0),"ERROR")</f>
        <v>276</v>
      </c>
      <c r="T106" s="28"/>
    </row>
    <row r="107" spans="1:20" s="123" customFormat="1" x14ac:dyDescent="0.2">
      <c r="A107" s="28"/>
      <c r="B107" s="127" t="s">
        <v>416</v>
      </c>
      <c r="C107" s="109">
        <f>IFERROR(VLOOKUP($B107,MMWR_TRAD_AGG_STATE_PEN[],C$1,0),"ERROR")</f>
        <v>32</v>
      </c>
      <c r="D107" s="110">
        <f>IFERROR(VLOOKUP($B107,MMWR_TRAD_AGG_STATE_PEN[],D$1,0),"ERROR")</f>
        <v>39.1875</v>
      </c>
      <c r="E107" s="111">
        <f>IFERROR(VLOOKUP($B107,MMWR_TRAD_AGG_STATE_PEN[],E$1,0),"ERROR")</f>
        <v>150</v>
      </c>
      <c r="F107" s="112">
        <f>IFERROR(VLOOKUP($B107,MMWR_TRAD_AGG_STATE_PEN[],F$1,0),"ERROR")</f>
        <v>4</v>
      </c>
      <c r="G107" s="113">
        <f t="shared" si="12"/>
        <v>2.6666666666666668E-2</v>
      </c>
      <c r="H107" s="111">
        <f>IFERROR(VLOOKUP($B107,MMWR_TRAD_AGG_STATE_PEN[],H$1,0),"ERROR")</f>
        <v>72</v>
      </c>
      <c r="I107" s="112">
        <f>IFERROR(VLOOKUP($B107,MMWR_TRAD_AGG_STATE_PEN[],I$1,0),"ERROR")</f>
        <v>4</v>
      </c>
      <c r="J107" s="114">
        <f t="shared" si="13"/>
        <v>5.5555555555555552E-2</v>
      </c>
      <c r="K107" s="111">
        <f>IFERROR(VLOOKUP($B107,MMWR_TRAD_AGG_STATE_PEN[],K$1,0),"ERROR")</f>
        <v>0</v>
      </c>
      <c r="L107" s="112">
        <f>IFERROR(VLOOKUP($B107,MMWR_TRAD_AGG_STATE_PEN[],L$1,0),"ERROR")</f>
        <v>0</v>
      </c>
      <c r="M107" s="114" t="str">
        <f t="shared" si="14"/>
        <v>0%</v>
      </c>
      <c r="N107" s="111">
        <f>IFERROR(VLOOKUP($B107,MMWR_TRAD_AGG_STATE_PEN[],N$1,0),"ERROR")</f>
        <v>4</v>
      </c>
      <c r="O107" s="112">
        <f>IFERROR(VLOOKUP($B107,MMWR_TRAD_AGG_STATE_PEN[],O$1,0),"ERROR")</f>
        <v>3</v>
      </c>
      <c r="P107" s="114">
        <f t="shared" si="15"/>
        <v>0.75</v>
      </c>
      <c r="Q107" s="115">
        <f>IFERROR(VLOOKUP($B107,MMWR_TRAD_AGG_STATE_PEN[],Q$1,0),"ERROR")</f>
        <v>104</v>
      </c>
      <c r="R107" s="115">
        <f>IFERROR(VLOOKUP($B107,MMWR_TRAD_AGG_STATE_PEN[],R$1,0),"ERROR")</f>
        <v>19</v>
      </c>
      <c r="S107" s="115">
        <f>IFERROR(VLOOKUP($B107,MMWR_APP_STATE_PEN[],S$1,0),"ERROR")</f>
        <v>17</v>
      </c>
      <c r="T107" s="28"/>
    </row>
    <row r="108" spans="1:20" s="123" customFormat="1" x14ac:dyDescent="0.2">
      <c r="A108" s="28"/>
      <c r="B108" s="127" t="s">
        <v>431</v>
      </c>
      <c r="C108" s="109">
        <f>IFERROR(VLOOKUP($B108,MMWR_TRAD_AGG_STATE_PEN[],C$1,0),"ERROR")</f>
        <v>3</v>
      </c>
      <c r="D108" s="110">
        <f>IFERROR(VLOOKUP($B108,MMWR_TRAD_AGG_STATE_PEN[],D$1,0),"ERROR")</f>
        <v>46</v>
      </c>
      <c r="E108" s="111">
        <f>IFERROR(VLOOKUP($B108,MMWR_TRAD_AGG_STATE_PEN[],E$1,0),"ERROR")</f>
        <v>33</v>
      </c>
      <c r="F108" s="112">
        <f>IFERROR(VLOOKUP($B108,MMWR_TRAD_AGG_STATE_PEN[],F$1,0),"ERROR")</f>
        <v>2</v>
      </c>
      <c r="G108" s="113">
        <f t="shared" si="12"/>
        <v>6.0606060606060608E-2</v>
      </c>
      <c r="H108" s="111">
        <f>IFERROR(VLOOKUP($B108,MMWR_TRAD_AGG_STATE_PEN[],H$1,0),"ERROR")</f>
        <v>16</v>
      </c>
      <c r="I108" s="112">
        <f>IFERROR(VLOOKUP($B108,MMWR_TRAD_AGG_STATE_PEN[],I$1,0),"ERROR")</f>
        <v>3</v>
      </c>
      <c r="J108" s="114">
        <f t="shared" si="13"/>
        <v>0.1875</v>
      </c>
      <c r="K108" s="111">
        <f>IFERROR(VLOOKUP($B108,MMWR_TRAD_AGG_STATE_PEN[],K$1,0),"ERROR")</f>
        <v>0</v>
      </c>
      <c r="L108" s="112">
        <f>IFERROR(VLOOKUP($B108,MMWR_TRAD_AGG_STATE_PEN[],L$1,0),"ERROR")</f>
        <v>0</v>
      </c>
      <c r="M108" s="114" t="str">
        <f t="shared" si="14"/>
        <v>0%</v>
      </c>
      <c r="N108" s="111">
        <f>IFERROR(VLOOKUP($B108,MMWR_TRAD_AGG_STATE_PEN[],N$1,0),"ERROR")</f>
        <v>1</v>
      </c>
      <c r="O108" s="112">
        <f>IFERROR(VLOOKUP($B108,MMWR_TRAD_AGG_STATE_PEN[],O$1,0),"ERROR")</f>
        <v>0</v>
      </c>
      <c r="P108" s="114">
        <f t="shared" si="15"/>
        <v>0</v>
      </c>
      <c r="Q108" s="115">
        <f>IFERROR(VLOOKUP($B108,MMWR_TRAD_AGG_STATE_PEN[],Q$1,0),"ERROR")</f>
        <v>36</v>
      </c>
      <c r="R108" s="115">
        <f>IFERROR(VLOOKUP($B108,MMWR_TRAD_AGG_STATE_PEN[],R$1,0),"ERROR")</f>
        <v>3</v>
      </c>
      <c r="S108" s="115">
        <f>IFERROR(VLOOKUP($B108,MMWR_APP_STATE_PEN[],S$1,0),"ERROR")</f>
        <v>6</v>
      </c>
      <c r="T108" s="28"/>
    </row>
    <row r="109" spans="1:20" s="123" customFormat="1" x14ac:dyDescent="0.2">
      <c r="A109" s="28"/>
      <c r="B109" s="126" t="s">
        <v>414</v>
      </c>
      <c r="C109" s="102">
        <f>IFERROR(VLOOKUP($B109,MMWR_TRAD_AGG_ST_DISTRICT_PEN[],C$1,0),"ERROR")</f>
        <v>997</v>
      </c>
      <c r="D109" s="103">
        <f>IFERROR(VLOOKUP($B109,MMWR_TRAD_AGG_ST_DISTRICT_PEN[],D$1,0),"ERROR")</f>
        <v>44.005015045100002</v>
      </c>
      <c r="E109" s="102">
        <f>IFERROR(VLOOKUP($B109,MMWR_TRAD_AGG_ST_DISTRICT_PEN[],E$1,0),"ERROR")</f>
        <v>3872</v>
      </c>
      <c r="F109" s="102">
        <f>IFERROR(VLOOKUP($B109,MMWR_TRAD_AGG_ST_DISTRICT_PEN[],F$1,0),"ERROR")</f>
        <v>134</v>
      </c>
      <c r="G109" s="104">
        <f t="shared" si="12"/>
        <v>3.4607438016528928E-2</v>
      </c>
      <c r="H109" s="102">
        <f>IFERROR(VLOOKUP($B109,MMWR_TRAD_AGG_ST_DISTRICT_PEN[],H$1,0),"ERROR")</f>
        <v>1893</v>
      </c>
      <c r="I109" s="102">
        <f>IFERROR(VLOOKUP($B109,MMWR_TRAD_AGG_ST_DISTRICT_PEN[],I$1,0),"ERROR")</f>
        <v>148</v>
      </c>
      <c r="J109" s="104">
        <f t="shared" si="13"/>
        <v>7.8182778658214477E-2</v>
      </c>
      <c r="K109" s="102">
        <f>IFERROR(VLOOKUP($B109,MMWR_TRAD_AGG_ST_DISTRICT_PEN[],K$1,0),"ERROR")</f>
        <v>23</v>
      </c>
      <c r="L109" s="102">
        <f>IFERROR(VLOOKUP($B109,MMWR_TRAD_AGG_ST_DISTRICT_PEN[],L$1,0),"ERROR")</f>
        <v>21</v>
      </c>
      <c r="M109" s="104">
        <f t="shared" si="14"/>
        <v>0.91304347826086951</v>
      </c>
      <c r="N109" s="102">
        <f>IFERROR(VLOOKUP($B109,MMWR_TRAD_AGG_ST_DISTRICT_PEN[],N$1,0),"ERROR")</f>
        <v>141</v>
      </c>
      <c r="O109" s="102">
        <f>IFERROR(VLOOKUP($B109,MMWR_TRAD_AGG_ST_DISTRICT_PEN[],O$1,0),"ERROR")</f>
        <v>69</v>
      </c>
      <c r="P109" s="104">
        <f t="shared" si="15"/>
        <v>0.48936170212765956</v>
      </c>
      <c r="Q109" s="102">
        <f>IFERROR(VLOOKUP($B109,MMWR_TRAD_AGG_ST_DISTRICT_PEN[],Q$1,0),"ERROR")</f>
        <v>2088</v>
      </c>
      <c r="R109" s="106">
        <f>IFERROR(VLOOKUP($B109,MMWR_TRAD_AGG_ST_DISTRICT_PEN[],R$1,0),"ERROR")</f>
        <v>589</v>
      </c>
      <c r="S109" s="106">
        <f>IFERROR(VLOOKUP($B109,MMWR_APP_STATE_PEN[],S$1,0),"ERROR")</f>
        <v>544</v>
      </c>
      <c r="T109" s="28"/>
    </row>
    <row r="110" spans="1:20" s="123" customFormat="1" x14ac:dyDescent="0.2">
      <c r="A110" s="28"/>
      <c r="B110" s="127" t="s">
        <v>434</v>
      </c>
      <c r="C110" s="109">
        <f>IFERROR(VLOOKUP($B110,MMWR_TRAD_AGG_STATE_PEN[],C$1,0),"ERROR")</f>
        <v>4</v>
      </c>
      <c r="D110" s="110">
        <f>IFERROR(VLOOKUP($B110,MMWR_TRAD_AGG_STATE_PEN[],D$1,0),"ERROR")</f>
        <v>32</v>
      </c>
      <c r="E110" s="111">
        <f>IFERROR(VLOOKUP($B110,MMWR_TRAD_AGG_STATE_PEN[],E$1,0),"ERROR")</f>
        <v>7</v>
      </c>
      <c r="F110" s="112">
        <f>IFERROR(VLOOKUP($B110,MMWR_TRAD_AGG_STATE_PEN[],F$1,0),"ERROR")</f>
        <v>0</v>
      </c>
      <c r="G110" s="113">
        <f t="shared" si="12"/>
        <v>0</v>
      </c>
      <c r="H110" s="111">
        <f>IFERROR(VLOOKUP($B110,MMWR_TRAD_AGG_STATE_PEN[],H$1,0),"ERROR")</f>
        <v>15</v>
      </c>
      <c r="I110" s="112">
        <f>IFERROR(VLOOKUP($B110,MMWR_TRAD_AGG_STATE_PEN[],I$1,0),"ERROR")</f>
        <v>1</v>
      </c>
      <c r="J110" s="114">
        <f t="shared" si="13"/>
        <v>6.6666666666666666E-2</v>
      </c>
      <c r="K110" s="111">
        <f>IFERROR(VLOOKUP($B110,MMWR_TRAD_AGG_STATE_PEN[],K$1,0),"ERROR")</f>
        <v>0</v>
      </c>
      <c r="L110" s="112">
        <f>IFERROR(VLOOKUP($B110,MMWR_TRAD_AGG_STATE_PEN[],L$1,0),"ERROR")</f>
        <v>0</v>
      </c>
      <c r="M110" s="114" t="str">
        <f t="shared" si="14"/>
        <v>0%</v>
      </c>
      <c r="N110" s="111">
        <f>IFERROR(VLOOKUP($B110,MMWR_TRAD_AGG_STATE_PEN[],N$1,0),"ERROR")</f>
        <v>0</v>
      </c>
      <c r="O110" s="112">
        <f>IFERROR(VLOOKUP($B110,MMWR_TRAD_AGG_STATE_PEN[],O$1,0),"ERROR")</f>
        <v>0</v>
      </c>
      <c r="P110" s="114" t="str">
        <f t="shared" si="15"/>
        <v>0%</v>
      </c>
      <c r="Q110" s="115">
        <f>IFERROR(VLOOKUP($B110,MMWR_TRAD_AGG_STATE_PEN[],Q$1,0),"ERROR")</f>
        <v>27</v>
      </c>
      <c r="R110" s="115">
        <f>IFERROR(VLOOKUP($B110,MMWR_TRAD_AGG_STATE_PEN[],R$1,0),"ERROR")</f>
        <v>7</v>
      </c>
      <c r="S110" s="115">
        <f>IFERROR(VLOOKUP($B110,MMWR_APP_STATE_PEN[],S$1,0),"ERROR")</f>
        <v>5</v>
      </c>
      <c r="T110" s="28"/>
    </row>
    <row r="111" spans="1:20" s="123" customFormat="1" x14ac:dyDescent="0.2">
      <c r="A111" s="28"/>
      <c r="B111" s="127" t="s">
        <v>436</v>
      </c>
      <c r="C111" s="109">
        <f>IFERROR(VLOOKUP($B111,MMWR_TRAD_AGG_STATE_PEN[],C$1,0),"ERROR")</f>
        <v>132</v>
      </c>
      <c r="D111" s="110">
        <f>IFERROR(VLOOKUP($B111,MMWR_TRAD_AGG_STATE_PEN[],D$1,0),"ERROR")</f>
        <v>44.9545454545</v>
      </c>
      <c r="E111" s="111">
        <f>IFERROR(VLOOKUP($B111,MMWR_TRAD_AGG_STATE_PEN[],E$1,0),"ERROR")</f>
        <v>514</v>
      </c>
      <c r="F111" s="112">
        <f>IFERROR(VLOOKUP($B111,MMWR_TRAD_AGG_STATE_PEN[],F$1,0),"ERROR")</f>
        <v>17</v>
      </c>
      <c r="G111" s="113">
        <f t="shared" si="12"/>
        <v>3.3073929961089495E-2</v>
      </c>
      <c r="H111" s="111">
        <f>IFERROR(VLOOKUP($B111,MMWR_TRAD_AGG_STATE_PEN[],H$1,0),"ERROR")</f>
        <v>220</v>
      </c>
      <c r="I111" s="112">
        <f>IFERROR(VLOOKUP($B111,MMWR_TRAD_AGG_STATE_PEN[],I$1,0),"ERROR")</f>
        <v>17</v>
      </c>
      <c r="J111" s="114">
        <f t="shared" si="13"/>
        <v>7.7272727272727271E-2</v>
      </c>
      <c r="K111" s="111">
        <f>IFERROR(VLOOKUP($B111,MMWR_TRAD_AGG_STATE_PEN[],K$1,0),"ERROR")</f>
        <v>3</v>
      </c>
      <c r="L111" s="112">
        <f>IFERROR(VLOOKUP($B111,MMWR_TRAD_AGG_STATE_PEN[],L$1,0),"ERROR")</f>
        <v>3</v>
      </c>
      <c r="M111" s="114">
        <f t="shared" si="14"/>
        <v>1</v>
      </c>
      <c r="N111" s="111">
        <f>IFERROR(VLOOKUP($B111,MMWR_TRAD_AGG_STATE_PEN[],N$1,0),"ERROR")</f>
        <v>15</v>
      </c>
      <c r="O111" s="112">
        <f>IFERROR(VLOOKUP($B111,MMWR_TRAD_AGG_STATE_PEN[],O$1,0),"ERROR")</f>
        <v>4</v>
      </c>
      <c r="P111" s="114">
        <f t="shared" si="15"/>
        <v>0.26666666666666666</v>
      </c>
      <c r="Q111" s="115">
        <f>IFERROR(VLOOKUP($B111,MMWR_TRAD_AGG_STATE_PEN[],Q$1,0),"ERROR")</f>
        <v>276</v>
      </c>
      <c r="R111" s="115">
        <f>IFERROR(VLOOKUP($B111,MMWR_TRAD_AGG_STATE_PEN[],R$1,0),"ERROR")</f>
        <v>68</v>
      </c>
      <c r="S111" s="115">
        <f>IFERROR(VLOOKUP($B111,MMWR_APP_STATE_PEN[],S$1,0),"ERROR")</f>
        <v>64</v>
      </c>
      <c r="T111" s="28"/>
    </row>
    <row r="112" spans="1:20" s="123" customFormat="1" x14ac:dyDescent="0.2">
      <c r="A112" s="28"/>
      <c r="B112" s="127" t="s">
        <v>417</v>
      </c>
      <c r="C112" s="109">
        <f>IFERROR(VLOOKUP($B112,MMWR_TRAD_AGG_STATE_PEN[],C$1,0),"ERROR")</f>
        <v>534</v>
      </c>
      <c r="D112" s="110">
        <f>IFERROR(VLOOKUP($B112,MMWR_TRAD_AGG_STATE_PEN[],D$1,0),"ERROR")</f>
        <v>41.951310861400003</v>
      </c>
      <c r="E112" s="111">
        <f>IFERROR(VLOOKUP($B112,MMWR_TRAD_AGG_STATE_PEN[],E$1,0),"ERROR")</f>
        <v>2105</v>
      </c>
      <c r="F112" s="112">
        <f>IFERROR(VLOOKUP($B112,MMWR_TRAD_AGG_STATE_PEN[],F$1,0),"ERROR")</f>
        <v>67</v>
      </c>
      <c r="G112" s="113">
        <f t="shared" si="12"/>
        <v>3.1828978622327794E-2</v>
      </c>
      <c r="H112" s="111">
        <f>IFERROR(VLOOKUP($B112,MMWR_TRAD_AGG_STATE_PEN[],H$1,0),"ERROR")</f>
        <v>979</v>
      </c>
      <c r="I112" s="112">
        <f>IFERROR(VLOOKUP($B112,MMWR_TRAD_AGG_STATE_PEN[],I$1,0),"ERROR")</f>
        <v>71</v>
      </c>
      <c r="J112" s="114">
        <f t="shared" si="13"/>
        <v>7.2522982635342181E-2</v>
      </c>
      <c r="K112" s="111">
        <f>IFERROR(VLOOKUP($B112,MMWR_TRAD_AGG_STATE_PEN[],K$1,0),"ERROR")</f>
        <v>12</v>
      </c>
      <c r="L112" s="112">
        <f>IFERROR(VLOOKUP($B112,MMWR_TRAD_AGG_STATE_PEN[],L$1,0),"ERROR")</f>
        <v>11</v>
      </c>
      <c r="M112" s="114">
        <f t="shared" si="14"/>
        <v>0.91666666666666663</v>
      </c>
      <c r="N112" s="111">
        <f>IFERROR(VLOOKUP($B112,MMWR_TRAD_AGG_STATE_PEN[],N$1,0),"ERROR")</f>
        <v>79</v>
      </c>
      <c r="O112" s="112">
        <f>IFERROR(VLOOKUP($B112,MMWR_TRAD_AGG_STATE_PEN[],O$1,0),"ERROR")</f>
        <v>43</v>
      </c>
      <c r="P112" s="114">
        <f t="shared" si="15"/>
        <v>0.54430379746835444</v>
      </c>
      <c r="Q112" s="115">
        <f>IFERROR(VLOOKUP($B112,MMWR_TRAD_AGG_STATE_PEN[],Q$1,0),"ERROR")</f>
        <v>906</v>
      </c>
      <c r="R112" s="115">
        <f>IFERROR(VLOOKUP($B112,MMWR_TRAD_AGG_STATE_PEN[],R$1,0),"ERROR")</f>
        <v>318</v>
      </c>
      <c r="S112" s="115">
        <f>IFERROR(VLOOKUP($B112,MMWR_APP_STATE_PEN[],S$1,0),"ERROR")</f>
        <v>266</v>
      </c>
      <c r="T112" s="28"/>
    </row>
    <row r="113" spans="1:20" s="123" customFormat="1" x14ac:dyDescent="0.2">
      <c r="A113" s="28"/>
      <c r="B113" s="127" t="s">
        <v>438</v>
      </c>
      <c r="C113" s="109">
        <f>IFERROR(VLOOKUP($B113,MMWR_TRAD_AGG_STATE_PEN[],C$1,0),"ERROR")</f>
        <v>14</v>
      </c>
      <c r="D113" s="110">
        <f>IFERROR(VLOOKUP($B113,MMWR_TRAD_AGG_STATE_PEN[],D$1,0),"ERROR")</f>
        <v>55.571428571399998</v>
      </c>
      <c r="E113" s="111">
        <f>IFERROR(VLOOKUP($B113,MMWR_TRAD_AGG_STATE_PEN[],E$1,0),"ERROR")</f>
        <v>22</v>
      </c>
      <c r="F113" s="112">
        <f>IFERROR(VLOOKUP($B113,MMWR_TRAD_AGG_STATE_PEN[],F$1,0),"ERROR")</f>
        <v>0</v>
      </c>
      <c r="G113" s="113">
        <f t="shared" si="12"/>
        <v>0</v>
      </c>
      <c r="H113" s="111">
        <f>IFERROR(VLOOKUP($B113,MMWR_TRAD_AGG_STATE_PEN[],H$1,0),"ERROR")</f>
        <v>25</v>
      </c>
      <c r="I113" s="112">
        <f>IFERROR(VLOOKUP($B113,MMWR_TRAD_AGG_STATE_PEN[],I$1,0),"ERROR")</f>
        <v>3</v>
      </c>
      <c r="J113" s="114">
        <f t="shared" si="13"/>
        <v>0.12</v>
      </c>
      <c r="K113" s="111">
        <f>IFERROR(VLOOKUP($B113,MMWR_TRAD_AGG_STATE_PEN[],K$1,0),"ERROR")</f>
        <v>3</v>
      </c>
      <c r="L113" s="112">
        <f>IFERROR(VLOOKUP($B113,MMWR_TRAD_AGG_STATE_PEN[],L$1,0),"ERROR")</f>
        <v>2</v>
      </c>
      <c r="M113" s="114">
        <f t="shared" si="14"/>
        <v>0.66666666666666663</v>
      </c>
      <c r="N113" s="111">
        <f>IFERROR(VLOOKUP($B113,MMWR_TRAD_AGG_STATE_PEN[],N$1,0),"ERROR")</f>
        <v>0</v>
      </c>
      <c r="O113" s="112">
        <f>IFERROR(VLOOKUP($B113,MMWR_TRAD_AGG_STATE_PEN[],O$1,0),"ERROR")</f>
        <v>0</v>
      </c>
      <c r="P113" s="114" t="str">
        <f t="shared" si="15"/>
        <v>0%</v>
      </c>
      <c r="Q113" s="115">
        <f>IFERROR(VLOOKUP($B113,MMWR_TRAD_AGG_STATE_PEN[],Q$1,0),"ERROR")</f>
        <v>45</v>
      </c>
      <c r="R113" s="115">
        <f>IFERROR(VLOOKUP($B113,MMWR_TRAD_AGG_STATE_PEN[],R$1,0),"ERROR")</f>
        <v>6</v>
      </c>
      <c r="S113" s="115">
        <f>IFERROR(VLOOKUP($B113,MMWR_APP_STATE_PEN[],S$1,0),"ERROR")</f>
        <v>11</v>
      </c>
      <c r="T113" s="28"/>
    </row>
    <row r="114" spans="1:20" s="123" customFormat="1" x14ac:dyDescent="0.2">
      <c r="A114" s="28"/>
      <c r="B114" s="127" t="s">
        <v>418</v>
      </c>
      <c r="C114" s="109">
        <f>IFERROR(VLOOKUP($B114,MMWR_TRAD_AGG_STATE_PEN[],C$1,0),"ERROR")</f>
        <v>24</v>
      </c>
      <c r="D114" s="110">
        <f>IFERROR(VLOOKUP($B114,MMWR_TRAD_AGG_STATE_PEN[],D$1,0),"ERROR")</f>
        <v>31.583333333300001</v>
      </c>
      <c r="E114" s="111">
        <f>IFERROR(VLOOKUP($B114,MMWR_TRAD_AGG_STATE_PEN[],E$1,0),"ERROR")</f>
        <v>93</v>
      </c>
      <c r="F114" s="112">
        <f>IFERROR(VLOOKUP($B114,MMWR_TRAD_AGG_STATE_PEN[],F$1,0),"ERROR")</f>
        <v>6</v>
      </c>
      <c r="G114" s="113">
        <f t="shared" si="12"/>
        <v>6.4516129032258063E-2</v>
      </c>
      <c r="H114" s="111">
        <f>IFERROR(VLOOKUP($B114,MMWR_TRAD_AGG_STATE_PEN[],H$1,0),"ERROR")</f>
        <v>45</v>
      </c>
      <c r="I114" s="112">
        <f>IFERROR(VLOOKUP($B114,MMWR_TRAD_AGG_STATE_PEN[],I$1,0),"ERROR")</f>
        <v>1</v>
      </c>
      <c r="J114" s="114">
        <f t="shared" si="13"/>
        <v>2.2222222222222223E-2</v>
      </c>
      <c r="K114" s="111">
        <f>IFERROR(VLOOKUP($B114,MMWR_TRAD_AGG_STATE_PEN[],K$1,0),"ERROR")</f>
        <v>1</v>
      </c>
      <c r="L114" s="112">
        <f>IFERROR(VLOOKUP($B114,MMWR_TRAD_AGG_STATE_PEN[],L$1,0),"ERROR")</f>
        <v>1</v>
      </c>
      <c r="M114" s="114">
        <f t="shared" si="14"/>
        <v>1</v>
      </c>
      <c r="N114" s="111">
        <f>IFERROR(VLOOKUP($B114,MMWR_TRAD_AGG_STATE_PEN[],N$1,0),"ERROR")</f>
        <v>0</v>
      </c>
      <c r="O114" s="112">
        <f>IFERROR(VLOOKUP($B114,MMWR_TRAD_AGG_STATE_PEN[],O$1,0),"ERROR")</f>
        <v>0</v>
      </c>
      <c r="P114" s="114" t="str">
        <f t="shared" si="15"/>
        <v>0%</v>
      </c>
      <c r="Q114" s="115">
        <f>IFERROR(VLOOKUP($B114,MMWR_TRAD_AGG_STATE_PEN[],Q$1,0),"ERROR")</f>
        <v>65</v>
      </c>
      <c r="R114" s="115">
        <f>IFERROR(VLOOKUP($B114,MMWR_TRAD_AGG_STATE_PEN[],R$1,0),"ERROR")</f>
        <v>12</v>
      </c>
      <c r="S114" s="115">
        <f>IFERROR(VLOOKUP($B114,MMWR_APP_STATE_PEN[],S$1,0),"ERROR")</f>
        <v>8</v>
      </c>
      <c r="T114" s="28"/>
    </row>
    <row r="115" spans="1:20" s="123" customFormat="1" x14ac:dyDescent="0.2">
      <c r="A115" s="28"/>
      <c r="B115" s="127" t="s">
        <v>423</v>
      </c>
      <c r="C115" s="109">
        <f>IFERROR(VLOOKUP($B115,MMWR_TRAD_AGG_STATE_PEN[],C$1,0),"ERROR")</f>
        <v>68</v>
      </c>
      <c r="D115" s="110">
        <f>IFERROR(VLOOKUP($B115,MMWR_TRAD_AGG_STATE_PEN[],D$1,0),"ERROR")</f>
        <v>50.911764705899998</v>
      </c>
      <c r="E115" s="111">
        <f>IFERROR(VLOOKUP($B115,MMWR_TRAD_AGG_STATE_PEN[],E$1,0),"ERROR")</f>
        <v>176</v>
      </c>
      <c r="F115" s="112">
        <f>IFERROR(VLOOKUP($B115,MMWR_TRAD_AGG_STATE_PEN[],F$1,0),"ERROR")</f>
        <v>8</v>
      </c>
      <c r="G115" s="113">
        <f t="shared" si="12"/>
        <v>4.5454545454545456E-2</v>
      </c>
      <c r="H115" s="111">
        <f>IFERROR(VLOOKUP($B115,MMWR_TRAD_AGG_STATE_PEN[],H$1,0),"ERROR")</f>
        <v>120</v>
      </c>
      <c r="I115" s="112">
        <f>IFERROR(VLOOKUP($B115,MMWR_TRAD_AGG_STATE_PEN[],I$1,0),"ERROR")</f>
        <v>8</v>
      </c>
      <c r="J115" s="114">
        <f t="shared" si="13"/>
        <v>6.6666666666666666E-2</v>
      </c>
      <c r="K115" s="111">
        <f>IFERROR(VLOOKUP($B115,MMWR_TRAD_AGG_STATE_PEN[],K$1,0),"ERROR")</f>
        <v>1</v>
      </c>
      <c r="L115" s="112">
        <f>IFERROR(VLOOKUP($B115,MMWR_TRAD_AGG_STATE_PEN[],L$1,0),"ERROR")</f>
        <v>1</v>
      </c>
      <c r="M115" s="114">
        <f t="shared" si="14"/>
        <v>1</v>
      </c>
      <c r="N115" s="111">
        <f>IFERROR(VLOOKUP($B115,MMWR_TRAD_AGG_STATE_PEN[],N$1,0),"ERROR")</f>
        <v>10</v>
      </c>
      <c r="O115" s="112">
        <f>IFERROR(VLOOKUP($B115,MMWR_TRAD_AGG_STATE_PEN[],O$1,0),"ERROR")</f>
        <v>5</v>
      </c>
      <c r="P115" s="114">
        <f t="shared" si="15"/>
        <v>0.5</v>
      </c>
      <c r="Q115" s="115">
        <f>IFERROR(VLOOKUP($B115,MMWR_TRAD_AGG_STATE_PEN[],Q$1,0),"ERROR")</f>
        <v>97</v>
      </c>
      <c r="R115" s="115">
        <f>IFERROR(VLOOKUP($B115,MMWR_TRAD_AGG_STATE_PEN[],R$1,0),"ERROR")</f>
        <v>37</v>
      </c>
      <c r="S115" s="115">
        <f>IFERROR(VLOOKUP($B115,MMWR_APP_STATE_PEN[],S$1,0),"ERROR")</f>
        <v>43</v>
      </c>
      <c r="T115" s="28"/>
    </row>
    <row r="116" spans="1:20" s="123" customFormat="1" x14ac:dyDescent="0.2">
      <c r="A116" s="28"/>
      <c r="B116" s="127" t="s">
        <v>415</v>
      </c>
      <c r="C116" s="109">
        <f>IFERROR(VLOOKUP($B116,MMWR_TRAD_AGG_STATE_PEN[],C$1,0),"ERROR")</f>
        <v>38</v>
      </c>
      <c r="D116" s="110">
        <f>IFERROR(VLOOKUP($B116,MMWR_TRAD_AGG_STATE_PEN[],D$1,0),"ERROR")</f>
        <v>47.763157894700001</v>
      </c>
      <c r="E116" s="111">
        <f>IFERROR(VLOOKUP($B116,MMWR_TRAD_AGG_STATE_PEN[],E$1,0),"ERROR")</f>
        <v>149</v>
      </c>
      <c r="F116" s="112">
        <f>IFERROR(VLOOKUP($B116,MMWR_TRAD_AGG_STATE_PEN[],F$1,0),"ERROR")</f>
        <v>3</v>
      </c>
      <c r="G116" s="113">
        <f t="shared" si="12"/>
        <v>2.0134228187919462E-2</v>
      </c>
      <c r="H116" s="111">
        <f>IFERROR(VLOOKUP($B116,MMWR_TRAD_AGG_STATE_PEN[],H$1,0),"ERROR")</f>
        <v>69</v>
      </c>
      <c r="I116" s="112">
        <f>IFERROR(VLOOKUP($B116,MMWR_TRAD_AGG_STATE_PEN[],I$1,0),"ERROR")</f>
        <v>7</v>
      </c>
      <c r="J116" s="114">
        <f t="shared" si="13"/>
        <v>0.10144927536231885</v>
      </c>
      <c r="K116" s="111">
        <f>IFERROR(VLOOKUP($B116,MMWR_TRAD_AGG_STATE_PEN[],K$1,0),"ERROR")</f>
        <v>0</v>
      </c>
      <c r="L116" s="112">
        <f>IFERROR(VLOOKUP($B116,MMWR_TRAD_AGG_STATE_PEN[],L$1,0),"ERROR")</f>
        <v>0</v>
      </c>
      <c r="M116" s="114" t="str">
        <f t="shared" si="14"/>
        <v>0%</v>
      </c>
      <c r="N116" s="111">
        <f>IFERROR(VLOOKUP($B116,MMWR_TRAD_AGG_STATE_PEN[],N$1,0),"ERROR")</f>
        <v>4</v>
      </c>
      <c r="O116" s="112">
        <f>IFERROR(VLOOKUP($B116,MMWR_TRAD_AGG_STATE_PEN[],O$1,0),"ERROR")</f>
        <v>2</v>
      </c>
      <c r="P116" s="114">
        <f t="shared" si="15"/>
        <v>0.5</v>
      </c>
      <c r="Q116" s="115">
        <f>IFERROR(VLOOKUP($B116,MMWR_TRAD_AGG_STATE_PEN[],Q$1,0),"ERROR")</f>
        <v>160</v>
      </c>
      <c r="R116" s="115">
        <f>IFERROR(VLOOKUP($B116,MMWR_TRAD_AGG_STATE_PEN[],R$1,0),"ERROR")</f>
        <v>24</v>
      </c>
      <c r="S116" s="115">
        <f>IFERROR(VLOOKUP($B116,MMWR_APP_STATE_PEN[],S$1,0),"ERROR")</f>
        <v>26</v>
      </c>
      <c r="T116" s="28"/>
    </row>
    <row r="117" spans="1:20" s="123" customFormat="1" x14ac:dyDescent="0.2">
      <c r="A117" s="28"/>
      <c r="B117" s="127" t="s">
        <v>419</v>
      </c>
      <c r="C117" s="109">
        <f>IFERROR(VLOOKUP($B117,MMWR_TRAD_AGG_STATE_PEN[],C$1,0),"ERROR")</f>
        <v>75</v>
      </c>
      <c r="D117" s="110">
        <f>IFERROR(VLOOKUP($B117,MMWR_TRAD_AGG_STATE_PEN[],D$1,0),"ERROR")</f>
        <v>46.2</v>
      </c>
      <c r="E117" s="111">
        <f>IFERROR(VLOOKUP($B117,MMWR_TRAD_AGG_STATE_PEN[],E$1,0),"ERROR")</f>
        <v>291</v>
      </c>
      <c r="F117" s="112">
        <f>IFERROR(VLOOKUP($B117,MMWR_TRAD_AGG_STATE_PEN[],F$1,0),"ERROR")</f>
        <v>10</v>
      </c>
      <c r="G117" s="113">
        <f t="shared" si="12"/>
        <v>3.4364261168384883E-2</v>
      </c>
      <c r="H117" s="111">
        <f>IFERROR(VLOOKUP($B117,MMWR_TRAD_AGG_STATE_PEN[],H$1,0),"ERROR")</f>
        <v>147</v>
      </c>
      <c r="I117" s="112">
        <f>IFERROR(VLOOKUP($B117,MMWR_TRAD_AGG_STATE_PEN[],I$1,0),"ERROR")</f>
        <v>10</v>
      </c>
      <c r="J117" s="114">
        <f t="shared" si="13"/>
        <v>6.8027210884353748E-2</v>
      </c>
      <c r="K117" s="111">
        <f>IFERROR(VLOOKUP($B117,MMWR_TRAD_AGG_STATE_PEN[],K$1,0),"ERROR")</f>
        <v>2</v>
      </c>
      <c r="L117" s="112">
        <f>IFERROR(VLOOKUP($B117,MMWR_TRAD_AGG_STATE_PEN[],L$1,0),"ERROR")</f>
        <v>2</v>
      </c>
      <c r="M117" s="114">
        <f t="shared" si="14"/>
        <v>1</v>
      </c>
      <c r="N117" s="111">
        <f>IFERROR(VLOOKUP($B117,MMWR_TRAD_AGG_STATE_PEN[],N$1,0),"ERROR")</f>
        <v>10</v>
      </c>
      <c r="O117" s="112">
        <f>IFERROR(VLOOKUP($B117,MMWR_TRAD_AGG_STATE_PEN[],O$1,0),"ERROR")</f>
        <v>5</v>
      </c>
      <c r="P117" s="114">
        <f t="shared" si="15"/>
        <v>0.5</v>
      </c>
      <c r="Q117" s="115">
        <f>IFERROR(VLOOKUP($B117,MMWR_TRAD_AGG_STATE_PEN[],Q$1,0),"ERROR")</f>
        <v>235</v>
      </c>
      <c r="R117" s="115">
        <f>IFERROR(VLOOKUP($B117,MMWR_TRAD_AGG_STATE_PEN[],R$1,0),"ERROR")</f>
        <v>45</v>
      </c>
      <c r="S117" s="115">
        <f>IFERROR(VLOOKUP($B117,MMWR_APP_STATE_PEN[],S$1,0),"ERROR")</f>
        <v>43</v>
      </c>
      <c r="T117" s="28"/>
    </row>
    <row r="118" spans="1:20" s="123" customFormat="1" x14ac:dyDescent="0.2">
      <c r="A118" s="28"/>
      <c r="B118" s="127" t="s">
        <v>83</v>
      </c>
      <c r="C118" s="109">
        <f>IFERROR(VLOOKUP($B118,MMWR_TRAD_AGG_STATE_PEN[],C$1,0),"ERROR")</f>
        <v>108</v>
      </c>
      <c r="D118" s="110">
        <f>IFERROR(VLOOKUP($B118,MMWR_TRAD_AGG_STATE_PEN[],D$1,0),"ERROR")</f>
        <v>47.509259259300002</v>
      </c>
      <c r="E118" s="111">
        <f>IFERROR(VLOOKUP($B118,MMWR_TRAD_AGG_STATE_PEN[],E$1,0),"ERROR")</f>
        <v>515</v>
      </c>
      <c r="F118" s="112">
        <f>IFERROR(VLOOKUP($B118,MMWR_TRAD_AGG_STATE_PEN[],F$1,0),"ERROR")</f>
        <v>23</v>
      </c>
      <c r="G118" s="113">
        <f t="shared" si="12"/>
        <v>4.4660194174757278E-2</v>
      </c>
      <c r="H118" s="111">
        <f>IFERROR(VLOOKUP($B118,MMWR_TRAD_AGG_STATE_PEN[],H$1,0),"ERROR")</f>
        <v>273</v>
      </c>
      <c r="I118" s="112">
        <f>IFERROR(VLOOKUP($B118,MMWR_TRAD_AGG_STATE_PEN[],I$1,0),"ERROR")</f>
        <v>30</v>
      </c>
      <c r="J118" s="114">
        <f t="shared" si="13"/>
        <v>0.10989010989010989</v>
      </c>
      <c r="K118" s="111">
        <f>IFERROR(VLOOKUP($B118,MMWR_TRAD_AGG_STATE_PEN[],K$1,0),"ERROR")</f>
        <v>1</v>
      </c>
      <c r="L118" s="112">
        <f>IFERROR(VLOOKUP($B118,MMWR_TRAD_AGG_STATE_PEN[],L$1,0),"ERROR")</f>
        <v>1</v>
      </c>
      <c r="M118" s="114">
        <f t="shared" si="14"/>
        <v>1</v>
      </c>
      <c r="N118" s="111">
        <f>IFERROR(VLOOKUP($B118,MMWR_TRAD_AGG_STATE_PEN[],N$1,0),"ERROR")</f>
        <v>23</v>
      </c>
      <c r="O118" s="112">
        <f>IFERROR(VLOOKUP($B118,MMWR_TRAD_AGG_STATE_PEN[],O$1,0),"ERROR")</f>
        <v>10</v>
      </c>
      <c r="P118" s="114">
        <f t="shared" si="15"/>
        <v>0.43478260869565216</v>
      </c>
      <c r="Q118" s="115">
        <f>IFERROR(VLOOKUP($B118,MMWR_TRAD_AGG_STATE_PEN[],Q$1,0),"ERROR")</f>
        <v>277</v>
      </c>
      <c r="R118" s="115">
        <f>IFERROR(VLOOKUP($B118,MMWR_TRAD_AGG_STATE_PEN[],R$1,0),"ERROR")</f>
        <v>72</v>
      </c>
      <c r="S118" s="115">
        <f>IFERROR(VLOOKUP($B118,MMWR_APP_STATE_PEN[],S$1,0),"ERROR")</f>
        <v>78</v>
      </c>
      <c r="T118" s="28"/>
    </row>
    <row r="119" spans="1:20" s="123" customFormat="1" x14ac:dyDescent="0.2">
      <c r="A119" s="28"/>
      <c r="B119" s="126" t="s">
        <v>390</v>
      </c>
      <c r="C119" s="102">
        <f>IFERROR(VLOOKUP($B119,MMWR_TRAD_AGG_ST_DISTRICT_PEN[],C$1,0),"ERROR")</f>
        <v>6520</v>
      </c>
      <c r="D119" s="103">
        <f>IFERROR(VLOOKUP($B119,MMWR_TRAD_AGG_ST_DISTRICT_PEN[],D$1,0),"ERROR")</f>
        <v>93.631901840500007</v>
      </c>
      <c r="E119" s="102">
        <f>IFERROR(VLOOKUP($B119,MMWR_TRAD_AGG_ST_DISTRICT_PEN[],E$1,0),"ERROR")</f>
        <v>6010</v>
      </c>
      <c r="F119" s="102">
        <f>IFERROR(VLOOKUP($B119,MMWR_TRAD_AGG_ST_DISTRICT_PEN[],F$1,0),"ERROR")</f>
        <v>1065</v>
      </c>
      <c r="G119" s="104">
        <f t="shared" si="12"/>
        <v>0.17720465890183029</v>
      </c>
      <c r="H119" s="102">
        <f>IFERROR(VLOOKUP($B119,MMWR_TRAD_AGG_ST_DISTRICT_PEN[],H$1,0),"ERROR")</f>
        <v>10568</v>
      </c>
      <c r="I119" s="102">
        <f>IFERROR(VLOOKUP($B119,MMWR_TRAD_AGG_ST_DISTRICT_PEN[],I$1,0),"ERROR")</f>
        <v>2613</v>
      </c>
      <c r="J119" s="104">
        <f t="shared" si="13"/>
        <v>0.24725586676760031</v>
      </c>
      <c r="K119" s="102">
        <f>IFERROR(VLOOKUP($B119,MMWR_TRAD_AGG_ST_DISTRICT_PEN[],K$1,0),"ERROR")</f>
        <v>264</v>
      </c>
      <c r="L119" s="102">
        <f>IFERROR(VLOOKUP($B119,MMWR_TRAD_AGG_ST_DISTRICT_PEN[],L$1,0),"ERROR")</f>
        <v>250</v>
      </c>
      <c r="M119" s="104">
        <f t="shared" si="14"/>
        <v>0.94696969696969702</v>
      </c>
      <c r="N119" s="102">
        <f>IFERROR(VLOOKUP($B119,MMWR_TRAD_AGG_ST_DISTRICT_PEN[],N$1,0),"ERROR")</f>
        <v>1733</v>
      </c>
      <c r="O119" s="102">
        <f>IFERROR(VLOOKUP($B119,MMWR_TRAD_AGG_ST_DISTRICT_PEN[],O$1,0),"ERROR")</f>
        <v>279</v>
      </c>
      <c r="P119" s="104">
        <f t="shared" si="15"/>
        <v>0.16099249855741488</v>
      </c>
      <c r="Q119" s="102">
        <f>IFERROR(VLOOKUP($B119,MMWR_TRAD_AGG_ST_DISTRICT_PEN[],Q$1,0),"ERROR")</f>
        <v>1799</v>
      </c>
      <c r="R119" s="106">
        <f>IFERROR(VLOOKUP($B119,MMWR_TRAD_AGG_ST_DISTRICT_PEN[],R$1,0),"ERROR")</f>
        <v>1503</v>
      </c>
      <c r="S119" s="106">
        <f>IFERROR(VLOOKUP($B119,MMWR_APP_STATE_PEN[],S$1,0),"ERROR")</f>
        <v>1572</v>
      </c>
      <c r="T119" s="28"/>
    </row>
    <row r="120" spans="1:20" s="123" customFormat="1" x14ac:dyDescent="0.2">
      <c r="A120" s="28"/>
      <c r="B120" s="127" t="s">
        <v>398</v>
      </c>
      <c r="C120" s="109">
        <f>IFERROR(VLOOKUP($B120,MMWR_TRAD_AGG_STATE_PEN[],C$1,0),"ERROR")</f>
        <v>502</v>
      </c>
      <c r="D120" s="110">
        <f>IFERROR(VLOOKUP($B120,MMWR_TRAD_AGG_STATE_PEN[],D$1,0),"ERROR")</f>
        <v>69.159362549799994</v>
      </c>
      <c r="E120" s="111">
        <f>IFERROR(VLOOKUP($B120,MMWR_TRAD_AGG_STATE_PEN[],E$1,0),"ERROR")</f>
        <v>674</v>
      </c>
      <c r="F120" s="112">
        <f>IFERROR(VLOOKUP($B120,MMWR_TRAD_AGG_STATE_PEN[],F$1,0),"ERROR")</f>
        <v>35</v>
      </c>
      <c r="G120" s="113">
        <f t="shared" si="12"/>
        <v>5.192878338278932E-2</v>
      </c>
      <c r="H120" s="111">
        <f>IFERROR(VLOOKUP($B120,MMWR_TRAD_AGG_STATE_PEN[],H$1,0),"ERROR")</f>
        <v>942</v>
      </c>
      <c r="I120" s="112">
        <f>IFERROR(VLOOKUP($B120,MMWR_TRAD_AGG_STATE_PEN[],I$1,0),"ERROR")</f>
        <v>88</v>
      </c>
      <c r="J120" s="114">
        <f t="shared" si="13"/>
        <v>9.3418259023354558E-2</v>
      </c>
      <c r="K120" s="111">
        <f>IFERROR(VLOOKUP($B120,MMWR_TRAD_AGG_STATE_PEN[],K$1,0),"ERROR")</f>
        <v>15</v>
      </c>
      <c r="L120" s="112">
        <f>IFERROR(VLOOKUP($B120,MMWR_TRAD_AGG_STATE_PEN[],L$1,0),"ERROR")</f>
        <v>15</v>
      </c>
      <c r="M120" s="114">
        <f t="shared" si="14"/>
        <v>1</v>
      </c>
      <c r="N120" s="111">
        <f>IFERROR(VLOOKUP($B120,MMWR_TRAD_AGG_STATE_PEN[],N$1,0),"ERROR")</f>
        <v>57</v>
      </c>
      <c r="O120" s="112">
        <f>IFERROR(VLOOKUP($B120,MMWR_TRAD_AGG_STATE_PEN[],O$1,0),"ERROR")</f>
        <v>18</v>
      </c>
      <c r="P120" s="114">
        <f t="shared" si="15"/>
        <v>0.31578947368421051</v>
      </c>
      <c r="Q120" s="115">
        <f>IFERROR(VLOOKUP($B120,MMWR_TRAD_AGG_STATE_PEN[],Q$1,0),"ERROR")</f>
        <v>402</v>
      </c>
      <c r="R120" s="115">
        <f>IFERROR(VLOOKUP($B120,MMWR_TRAD_AGG_STATE_PEN[],R$1,0),"ERROR")</f>
        <v>48</v>
      </c>
      <c r="S120" s="115">
        <f>IFERROR(VLOOKUP($B120,MMWR_APP_STATE_PEN[],S$1,0),"ERROR")</f>
        <v>182</v>
      </c>
      <c r="T120" s="28"/>
    </row>
    <row r="121" spans="1:20" s="123" customFormat="1" x14ac:dyDescent="0.2">
      <c r="A121" s="28"/>
      <c r="B121" s="127" t="s">
        <v>435</v>
      </c>
      <c r="C121" s="109">
        <f>IFERROR(VLOOKUP($B121,MMWR_TRAD_AGG_STATE_PEN[],C$1,0),"ERROR")</f>
        <v>2282</v>
      </c>
      <c r="D121" s="110">
        <f>IFERROR(VLOOKUP($B121,MMWR_TRAD_AGG_STATE_PEN[],D$1,0),"ERROR")</f>
        <v>94.893076248900002</v>
      </c>
      <c r="E121" s="111">
        <f>IFERROR(VLOOKUP($B121,MMWR_TRAD_AGG_STATE_PEN[],E$1,0),"ERROR")</f>
        <v>2342</v>
      </c>
      <c r="F121" s="112">
        <f>IFERROR(VLOOKUP($B121,MMWR_TRAD_AGG_STATE_PEN[],F$1,0),"ERROR")</f>
        <v>531</v>
      </c>
      <c r="G121" s="113">
        <f t="shared" si="12"/>
        <v>0.22672929120409907</v>
      </c>
      <c r="H121" s="111">
        <f>IFERROR(VLOOKUP($B121,MMWR_TRAD_AGG_STATE_PEN[],H$1,0),"ERROR")</f>
        <v>3581</v>
      </c>
      <c r="I121" s="112">
        <f>IFERROR(VLOOKUP($B121,MMWR_TRAD_AGG_STATE_PEN[],I$1,0),"ERROR")</f>
        <v>937</v>
      </c>
      <c r="J121" s="114">
        <f t="shared" si="13"/>
        <v>0.2616587545378386</v>
      </c>
      <c r="K121" s="111">
        <f>IFERROR(VLOOKUP($B121,MMWR_TRAD_AGG_STATE_PEN[],K$1,0),"ERROR")</f>
        <v>117</v>
      </c>
      <c r="L121" s="112">
        <f>IFERROR(VLOOKUP($B121,MMWR_TRAD_AGG_STATE_PEN[],L$1,0),"ERROR")</f>
        <v>113</v>
      </c>
      <c r="M121" s="114">
        <f t="shared" si="14"/>
        <v>0.96581196581196582</v>
      </c>
      <c r="N121" s="111">
        <f>IFERROR(VLOOKUP($B121,MMWR_TRAD_AGG_STATE_PEN[],N$1,0),"ERROR")</f>
        <v>727</v>
      </c>
      <c r="O121" s="112">
        <f>IFERROR(VLOOKUP($B121,MMWR_TRAD_AGG_STATE_PEN[],O$1,0),"ERROR")</f>
        <v>100</v>
      </c>
      <c r="P121" s="114">
        <f t="shared" si="15"/>
        <v>0.13755158184319119</v>
      </c>
      <c r="Q121" s="115">
        <f>IFERROR(VLOOKUP($B121,MMWR_TRAD_AGG_STATE_PEN[],Q$1,0),"ERROR")</f>
        <v>281</v>
      </c>
      <c r="R121" s="115">
        <f>IFERROR(VLOOKUP($B121,MMWR_TRAD_AGG_STATE_PEN[],R$1,0),"ERROR")</f>
        <v>617</v>
      </c>
      <c r="S121" s="115">
        <f>IFERROR(VLOOKUP($B121,MMWR_APP_STATE_PEN[],S$1,0),"ERROR")</f>
        <v>481</v>
      </c>
      <c r="T121" s="28"/>
    </row>
    <row r="122" spans="1:20" s="123" customFormat="1" x14ac:dyDescent="0.2">
      <c r="A122" s="28"/>
      <c r="B122" s="127" t="s">
        <v>391</v>
      </c>
      <c r="C122" s="109">
        <f>IFERROR(VLOOKUP($B122,MMWR_TRAD_AGG_STATE_PEN[],C$1,0),"ERROR")</f>
        <v>1129</v>
      </c>
      <c r="D122" s="110">
        <f>IFERROR(VLOOKUP($B122,MMWR_TRAD_AGG_STATE_PEN[],D$1,0),"ERROR")</f>
        <v>101.93179805139999</v>
      </c>
      <c r="E122" s="111">
        <f>IFERROR(VLOOKUP($B122,MMWR_TRAD_AGG_STATE_PEN[],E$1,0),"ERROR")</f>
        <v>1059</v>
      </c>
      <c r="F122" s="112">
        <f>IFERROR(VLOOKUP($B122,MMWR_TRAD_AGG_STATE_PEN[],F$1,0),"ERROR")</f>
        <v>219</v>
      </c>
      <c r="G122" s="113">
        <f t="shared" si="12"/>
        <v>0.20679886685552407</v>
      </c>
      <c r="H122" s="111">
        <f>IFERROR(VLOOKUP($B122,MMWR_TRAD_AGG_STATE_PEN[],H$1,0),"ERROR")</f>
        <v>1757</v>
      </c>
      <c r="I122" s="112">
        <f>IFERROR(VLOOKUP($B122,MMWR_TRAD_AGG_STATE_PEN[],I$1,0),"ERROR")</f>
        <v>514</v>
      </c>
      <c r="J122" s="114">
        <f t="shared" si="13"/>
        <v>0.292544109277177</v>
      </c>
      <c r="K122" s="111">
        <f>IFERROR(VLOOKUP($B122,MMWR_TRAD_AGG_STATE_PEN[],K$1,0),"ERROR")</f>
        <v>70</v>
      </c>
      <c r="L122" s="112">
        <f>IFERROR(VLOOKUP($B122,MMWR_TRAD_AGG_STATE_PEN[],L$1,0),"ERROR")</f>
        <v>68</v>
      </c>
      <c r="M122" s="114">
        <f t="shared" si="14"/>
        <v>0.97142857142857142</v>
      </c>
      <c r="N122" s="111">
        <f>IFERROR(VLOOKUP($B122,MMWR_TRAD_AGG_STATE_PEN[],N$1,0),"ERROR")</f>
        <v>419</v>
      </c>
      <c r="O122" s="112">
        <f>IFERROR(VLOOKUP($B122,MMWR_TRAD_AGG_STATE_PEN[],O$1,0),"ERROR")</f>
        <v>71</v>
      </c>
      <c r="P122" s="114">
        <f t="shared" si="15"/>
        <v>0.16945107398568018</v>
      </c>
      <c r="Q122" s="115">
        <f>IFERROR(VLOOKUP($B122,MMWR_TRAD_AGG_STATE_PEN[],Q$1,0),"ERROR")</f>
        <v>159</v>
      </c>
      <c r="R122" s="115">
        <f>IFERROR(VLOOKUP($B122,MMWR_TRAD_AGG_STATE_PEN[],R$1,0),"ERROR")</f>
        <v>403</v>
      </c>
      <c r="S122" s="115">
        <f>IFERROR(VLOOKUP($B122,MMWR_APP_STATE_PEN[],S$1,0),"ERROR")</f>
        <v>323</v>
      </c>
      <c r="T122" s="28"/>
    </row>
    <row r="123" spans="1:20" s="123" customFormat="1" x14ac:dyDescent="0.2">
      <c r="A123" s="28"/>
      <c r="B123" s="127" t="s">
        <v>403</v>
      </c>
      <c r="C123" s="109">
        <f>IFERROR(VLOOKUP($B123,MMWR_TRAD_AGG_STATE_PEN[],C$1,0),"ERROR")</f>
        <v>216</v>
      </c>
      <c r="D123" s="110">
        <f>IFERROR(VLOOKUP($B123,MMWR_TRAD_AGG_STATE_PEN[],D$1,0),"ERROR")</f>
        <v>75.648148148100006</v>
      </c>
      <c r="E123" s="111">
        <f>IFERROR(VLOOKUP($B123,MMWR_TRAD_AGG_STATE_PEN[],E$1,0),"ERROR")</f>
        <v>317</v>
      </c>
      <c r="F123" s="112">
        <f>IFERROR(VLOOKUP($B123,MMWR_TRAD_AGG_STATE_PEN[],F$1,0),"ERROR")</f>
        <v>26</v>
      </c>
      <c r="G123" s="113">
        <f t="shared" si="12"/>
        <v>8.2018927444794956E-2</v>
      </c>
      <c r="H123" s="111">
        <f>IFERROR(VLOOKUP($B123,MMWR_TRAD_AGG_STATE_PEN[],H$1,0),"ERROR")</f>
        <v>398</v>
      </c>
      <c r="I123" s="112">
        <f>IFERROR(VLOOKUP($B123,MMWR_TRAD_AGG_STATE_PEN[],I$1,0),"ERROR")</f>
        <v>50</v>
      </c>
      <c r="J123" s="114">
        <f t="shared" si="13"/>
        <v>0.12562814070351758</v>
      </c>
      <c r="K123" s="111">
        <f>IFERROR(VLOOKUP($B123,MMWR_TRAD_AGG_STATE_PEN[],K$1,0),"ERROR")</f>
        <v>3</v>
      </c>
      <c r="L123" s="112">
        <f>IFERROR(VLOOKUP($B123,MMWR_TRAD_AGG_STATE_PEN[],L$1,0),"ERROR")</f>
        <v>3</v>
      </c>
      <c r="M123" s="114">
        <f t="shared" si="14"/>
        <v>1</v>
      </c>
      <c r="N123" s="111">
        <f>IFERROR(VLOOKUP($B123,MMWR_TRAD_AGG_STATE_PEN[],N$1,0),"ERROR")</f>
        <v>58</v>
      </c>
      <c r="O123" s="112">
        <f>IFERROR(VLOOKUP($B123,MMWR_TRAD_AGG_STATE_PEN[],O$1,0),"ERROR")</f>
        <v>11</v>
      </c>
      <c r="P123" s="114">
        <f t="shared" si="15"/>
        <v>0.18965517241379309</v>
      </c>
      <c r="Q123" s="115">
        <f>IFERROR(VLOOKUP($B123,MMWR_TRAD_AGG_STATE_PEN[],Q$1,0),"ERROR")</f>
        <v>347</v>
      </c>
      <c r="R123" s="115">
        <f>IFERROR(VLOOKUP($B123,MMWR_TRAD_AGG_STATE_PEN[],R$1,0),"ERROR")</f>
        <v>28</v>
      </c>
      <c r="S123" s="115">
        <f>IFERROR(VLOOKUP($B123,MMWR_APP_STATE_PEN[],S$1,0),"ERROR")</f>
        <v>106</v>
      </c>
      <c r="T123" s="28"/>
    </row>
    <row r="124" spans="1:20" s="123" customFormat="1" x14ac:dyDescent="0.2">
      <c r="A124" s="28"/>
      <c r="B124" s="127" t="s">
        <v>437</v>
      </c>
      <c r="C124" s="109">
        <f>IFERROR(VLOOKUP($B124,MMWR_TRAD_AGG_STATE_PEN[],C$1,0),"ERROR")</f>
        <v>1180</v>
      </c>
      <c r="D124" s="110">
        <f>IFERROR(VLOOKUP($B124,MMWR_TRAD_AGG_STATE_PEN[],D$1,0),"ERROR")</f>
        <v>106.3644067797</v>
      </c>
      <c r="E124" s="111">
        <f>IFERROR(VLOOKUP($B124,MMWR_TRAD_AGG_STATE_PEN[],E$1,0),"ERROR")</f>
        <v>411</v>
      </c>
      <c r="F124" s="112">
        <f>IFERROR(VLOOKUP($B124,MMWR_TRAD_AGG_STATE_PEN[],F$1,0),"ERROR")</f>
        <v>90</v>
      </c>
      <c r="G124" s="113">
        <f t="shared" si="12"/>
        <v>0.21897810218978103</v>
      </c>
      <c r="H124" s="111">
        <f>IFERROR(VLOOKUP($B124,MMWR_TRAD_AGG_STATE_PEN[],H$1,0),"ERROR")</f>
        <v>1927</v>
      </c>
      <c r="I124" s="112">
        <f>IFERROR(VLOOKUP($B124,MMWR_TRAD_AGG_STATE_PEN[],I$1,0),"ERROR")</f>
        <v>594</v>
      </c>
      <c r="J124" s="114">
        <f t="shared" si="13"/>
        <v>0.30825116761805915</v>
      </c>
      <c r="K124" s="111">
        <f>IFERROR(VLOOKUP($B124,MMWR_TRAD_AGG_STATE_PEN[],K$1,0),"ERROR")</f>
        <v>29</v>
      </c>
      <c r="L124" s="112">
        <f>IFERROR(VLOOKUP($B124,MMWR_TRAD_AGG_STATE_PEN[],L$1,0),"ERROR")</f>
        <v>21</v>
      </c>
      <c r="M124" s="114">
        <f t="shared" si="14"/>
        <v>0.72413793103448276</v>
      </c>
      <c r="N124" s="111">
        <f>IFERROR(VLOOKUP($B124,MMWR_TRAD_AGG_STATE_PEN[],N$1,0),"ERROR")</f>
        <v>146</v>
      </c>
      <c r="O124" s="112">
        <f>IFERROR(VLOOKUP($B124,MMWR_TRAD_AGG_STATE_PEN[],O$1,0),"ERROR")</f>
        <v>29</v>
      </c>
      <c r="P124" s="114">
        <f t="shared" si="15"/>
        <v>0.19863013698630136</v>
      </c>
      <c r="Q124" s="115">
        <f>IFERROR(VLOOKUP($B124,MMWR_TRAD_AGG_STATE_PEN[],Q$1,0),"ERROR")</f>
        <v>58</v>
      </c>
      <c r="R124" s="115">
        <f>IFERROR(VLOOKUP($B124,MMWR_TRAD_AGG_STATE_PEN[],R$1,0),"ERROR")</f>
        <v>107</v>
      </c>
      <c r="S124" s="115">
        <f>IFERROR(VLOOKUP($B124,MMWR_APP_STATE_PEN[],S$1,0),"ERROR")</f>
        <v>120</v>
      </c>
      <c r="T124" s="28"/>
    </row>
    <row r="125" spans="1:20" s="123" customFormat="1" x14ac:dyDescent="0.2">
      <c r="A125" s="28"/>
      <c r="B125" s="127" t="s">
        <v>393</v>
      </c>
      <c r="C125" s="109">
        <f>IFERROR(VLOOKUP($B125,MMWR_TRAD_AGG_STATE_PEN[],C$1,0),"ERROR")</f>
        <v>807</v>
      </c>
      <c r="D125" s="110">
        <f>IFERROR(VLOOKUP($B125,MMWR_TRAD_AGG_STATE_PEN[],D$1,0),"ERROR")</f>
        <v>94.762081784399996</v>
      </c>
      <c r="E125" s="111">
        <f>IFERROR(VLOOKUP($B125,MMWR_TRAD_AGG_STATE_PEN[],E$1,0),"ERROR")</f>
        <v>668</v>
      </c>
      <c r="F125" s="112">
        <f>IFERROR(VLOOKUP($B125,MMWR_TRAD_AGG_STATE_PEN[],F$1,0),"ERROR")</f>
        <v>133</v>
      </c>
      <c r="G125" s="113">
        <f t="shared" si="12"/>
        <v>0.19910179640718562</v>
      </c>
      <c r="H125" s="111">
        <f>IFERROR(VLOOKUP($B125,MMWR_TRAD_AGG_STATE_PEN[],H$1,0),"ERROR")</f>
        <v>1253</v>
      </c>
      <c r="I125" s="112">
        <f>IFERROR(VLOOKUP($B125,MMWR_TRAD_AGG_STATE_PEN[],I$1,0),"ERROR")</f>
        <v>360</v>
      </c>
      <c r="J125" s="114">
        <f t="shared" si="13"/>
        <v>0.28731045490822027</v>
      </c>
      <c r="K125" s="111">
        <f>IFERROR(VLOOKUP($B125,MMWR_TRAD_AGG_STATE_PEN[],K$1,0),"ERROR")</f>
        <v>21</v>
      </c>
      <c r="L125" s="112">
        <f>IFERROR(VLOOKUP($B125,MMWR_TRAD_AGG_STATE_PEN[],L$1,0),"ERROR")</f>
        <v>21</v>
      </c>
      <c r="M125" s="114">
        <f t="shared" si="14"/>
        <v>1</v>
      </c>
      <c r="N125" s="111">
        <f>IFERROR(VLOOKUP($B125,MMWR_TRAD_AGG_STATE_PEN[],N$1,0),"ERROR")</f>
        <v>263</v>
      </c>
      <c r="O125" s="112">
        <f>IFERROR(VLOOKUP($B125,MMWR_TRAD_AGG_STATE_PEN[],O$1,0),"ERROR")</f>
        <v>32</v>
      </c>
      <c r="P125" s="114">
        <f t="shared" si="15"/>
        <v>0.12167300380228137</v>
      </c>
      <c r="Q125" s="115">
        <f>IFERROR(VLOOKUP($B125,MMWR_TRAD_AGG_STATE_PEN[],Q$1,0),"ERROR")</f>
        <v>99</v>
      </c>
      <c r="R125" s="115">
        <f>IFERROR(VLOOKUP($B125,MMWR_TRAD_AGG_STATE_PEN[],R$1,0),"ERROR")</f>
        <v>241</v>
      </c>
      <c r="S125" s="115">
        <f>IFERROR(VLOOKUP($B125,MMWR_APP_STATE_PEN[],S$1,0),"ERROR")</f>
        <v>145</v>
      </c>
      <c r="T125" s="28"/>
    </row>
    <row r="126" spans="1:20" s="123" customFormat="1" x14ac:dyDescent="0.2">
      <c r="A126" s="28"/>
      <c r="B126" s="127" t="s">
        <v>394</v>
      </c>
      <c r="C126" s="109">
        <f>IFERROR(VLOOKUP($B126,MMWR_TRAD_AGG_STATE_PEN[],C$1,0),"ERROR")</f>
        <v>404</v>
      </c>
      <c r="D126" s="110">
        <f>IFERROR(VLOOKUP($B126,MMWR_TRAD_AGG_STATE_PEN[],D$1,0),"ERROR")</f>
        <v>63.891089108899997</v>
      </c>
      <c r="E126" s="111">
        <f>IFERROR(VLOOKUP($B126,MMWR_TRAD_AGG_STATE_PEN[],E$1,0),"ERROR")</f>
        <v>539</v>
      </c>
      <c r="F126" s="112">
        <f>IFERROR(VLOOKUP($B126,MMWR_TRAD_AGG_STATE_PEN[],F$1,0),"ERROR")</f>
        <v>31</v>
      </c>
      <c r="G126" s="113">
        <f t="shared" si="12"/>
        <v>5.7513914656771803E-2</v>
      </c>
      <c r="H126" s="111">
        <f>IFERROR(VLOOKUP($B126,MMWR_TRAD_AGG_STATE_PEN[],H$1,0),"ERROR")</f>
        <v>710</v>
      </c>
      <c r="I126" s="112">
        <f>IFERROR(VLOOKUP($B126,MMWR_TRAD_AGG_STATE_PEN[],I$1,0),"ERROR")</f>
        <v>70</v>
      </c>
      <c r="J126" s="114">
        <f t="shared" si="13"/>
        <v>9.8591549295774641E-2</v>
      </c>
      <c r="K126" s="111">
        <f>IFERROR(VLOOKUP($B126,MMWR_TRAD_AGG_STATE_PEN[],K$1,0),"ERROR")</f>
        <v>9</v>
      </c>
      <c r="L126" s="112">
        <f>IFERROR(VLOOKUP($B126,MMWR_TRAD_AGG_STATE_PEN[],L$1,0),"ERROR")</f>
        <v>9</v>
      </c>
      <c r="M126" s="114">
        <f t="shared" si="14"/>
        <v>1</v>
      </c>
      <c r="N126" s="111">
        <f>IFERROR(VLOOKUP($B126,MMWR_TRAD_AGG_STATE_PEN[],N$1,0),"ERROR")</f>
        <v>63</v>
      </c>
      <c r="O126" s="112">
        <f>IFERROR(VLOOKUP($B126,MMWR_TRAD_AGG_STATE_PEN[],O$1,0),"ERROR")</f>
        <v>18</v>
      </c>
      <c r="P126" s="114">
        <f t="shared" si="15"/>
        <v>0.2857142857142857</v>
      </c>
      <c r="Q126" s="115">
        <f>IFERROR(VLOOKUP($B126,MMWR_TRAD_AGG_STATE_PEN[],Q$1,0),"ERROR")</f>
        <v>453</v>
      </c>
      <c r="R126" s="115">
        <f>IFERROR(VLOOKUP($B126,MMWR_TRAD_AGG_STATE_PEN[],R$1,0),"ERROR")</f>
        <v>59</v>
      </c>
      <c r="S126" s="115">
        <f>IFERROR(VLOOKUP($B126,MMWR_APP_STATE_PEN[],S$1,0),"ERROR")</f>
        <v>215</v>
      </c>
      <c r="T126" s="28"/>
    </row>
    <row r="127" spans="1:20" s="123" customFormat="1" x14ac:dyDescent="0.2">
      <c r="A127" s="28"/>
      <c r="B127" s="128" t="s">
        <v>8</v>
      </c>
      <c r="C127" s="102">
        <f>IFERROR(VLOOKUP($B127,MMWR_TRAD_AGG_ST_DISTRICT_PEN[],C$1,0),"ERROR")</f>
        <v>212</v>
      </c>
      <c r="D127" s="103">
        <f>IFERROR(VLOOKUP($B127,MMWR_TRAD_AGG_ST_DISTRICT_PEN[],D$1,0),"ERROR")</f>
        <v>88.575471698100003</v>
      </c>
      <c r="E127" s="102">
        <f>IFERROR(VLOOKUP($B127,MMWR_TRAD_AGG_ST_DISTRICT_PEN[],E$1,0),"ERROR")</f>
        <v>178</v>
      </c>
      <c r="F127" s="102">
        <f>IFERROR(VLOOKUP($B127,MMWR_TRAD_AGG_ST_DISTRICT_PEN[],F$1,0),"ERROR")</f>
        <v>72</v>
      </c>
      <c r="G127" s="104">
        <f t="shared" si="12"/>
        <v>0.4044943820224719</v>
      </c>
      <c r="H127" s="102">
        <f>IFERROR(VLOOKUP($B127,MMWR_TRAD_AGG_ST_DISTRICT_PEN[],H$1,0),"ERROR")</f>
        <v>468</v>
      </c>
      <c r="I127" s="102">
        <f>IFERROR(VLOOKUP($B127,MMWR_TRAD_AGG_ST_DISTRICT_PEN[],I$1,0),"ERROR")</f>
        <v>191</v>
      </c>
      <c r="J127" s="104">
        <f t="shared" si="13"/>
        <v>0.40811965811965811</v>
      </c>
      <c r="K127" s="102">
        <f>IFERROR(VLOOKUP($B127,MMWR_TRAD_AGG_ST_DISTRICT_PEN[],K$1,0),"ERROR")</f>
        <v>26</v>
      </c>
      <c r="L127" s="102">
        <f>IFERROR(VLOOKUP($B127,MMWR_TRAD_AGG_ST_DISTRICT_PEN[],L$1,0),"ERROR")</f>
        <v>25</v>
      </c>
      <c r="M127" s="104">
        <f t="shared" si="14"/>
        <v>0.96153846153846156</v>
      </c>
      <c r="N127" s="102">
        <f>IFERROR(VLOOKUP($B127,MMWR_TRAD_AGG_ST_DISTRICT_PEN[],N$1,0),"ERROR")</f>
        <v>124</v>
      </c>
      <c r="O127" s="102">
        <f>IFERROR(VLOOKUP($B127,MMWR_TRAD_AGG_ST_DISTRICT_PEN[],O$1,0),"ERROR")</f>
        <v>36</v>
      </c>
      <c r="P127" s="104">
        <f t="shared" si="15"/>
        <v>0.29032258064516131</v>
      </c>
      <c r="Q127" s="102">
        <f>IFERROR(VLOOKUP($B127,MMWR_TRAD_AGG_ST_DISTRICT_PEN[],Q$1,0),"ERROR")</f>
        <v>69</v>
      </c>
      <c r="R127" s="106">
        <f>IFERROR(VLOOKUP($B127,MMWR_TRAD_AGG_ST_DISTRICT_PEN[],R$1,0),"ERROR")</f>
        <v>20</v>
      </c>
      <c r="S127" s="106">
        <f>IFERROR(VLOOKUP($B127,MMWR_APP_STATE_PEN[],S$1,0),"ERROR")</f>
        <v>6</v>
      </c>
      <c r="T127" s="28"/>
    </row>
    <row r="128" spans="1:20" x14ac:dyDescent="0.2">
      <c r="B128" s="26"/>
      <c r="C128" s="26"/>
      <c r="D128" s="26"/>
      <c r="E128" s="75"/>
      <c r="F128" s="75"/>
      <c r="G128" s="75"/>
      <c r="H128" s="75"/>
      <c r="I128" s="75"/>
      <c r="J128" s="75"/>
      <c r="K128" s="75"/>
      <c r="L128" s="75"/>
      <c r="M128" s="75"/>
      <c r="N128" s="75"/>
      <c r="O128" s="75"/>
      <c r="P128" s="75"/>
      <c r="Q128" s="75"/>
      <c r="R128" s="75"/>
      <c r="S128" s="75"/>
    </row>
  </sheetData>
  <sheetProtection autoFilter="0"/>
  <mergeCells count="13">
    <mergeCell ref="C5:S5"/>
    <mergeCell ref="C2:S2"/>
    <mergeCell ref="C3:D3"/>
    <mergeCell ref="E3:G3"/>
    <mergeCell ref="H3:J3"/>
    <mergeCell ref="K3:M3"/>
    <mergeCell ref="N3:P3"/>
    <mergeCell ref="C66:S66"/>
    <mergeCell ref="C67:D67"/>
    <mergeCell ref="E67:G67"/>
    <mergeCell ref="H67:J67"/>
    <mergeCell ref="K67:M67"/>
    <mergeCell ref="N67:P67"/>
  </mergeCells>
  <conditionalFormatting sqref="A1:T128">
    <cfRule type="expression" dxfId="19" priority="1">
      <formula>IF(A1="ERROR",TRUE,FALSE)</formula>
    </cfRule>
    <cfRule type="expression" dxfId="18"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663</v>
      </c>
      <c r="C2" t="s">
        <v>466</v>
      </c>
      <c r="D2" t="s">
        <v>468</v>
      </c>
      <c r="F2" t="s">
        <v>662</v>
      </c>
      <c r="G2" t="s">
        <v>315</v>
      </c>
      <c r="H2" t="s">
        <v>139</v>
      </c>
      <c r="I2" t="s">
        <v>222</v>
      </c>
      <c r="J2" t="s">
        <v>223</v>
      </c>
      <c r="K2" t="s">
        <v>224</v>
      </c>
      <c r="L2" t="s">
        <v>225</v>
      </c>
      <c r="M2" t="s">
        <v>226</v>
      </c>
      <c r="N2" t="s">
        <v>227</v>
      </c>
      <c r="O2" t="s">
        <v>228</v>
      </c>
      <c r="P2" t="s">
        <v>229</v>
      </c>
      <c r="Q2" t="s">
        <v>230</v>
      </c>
      <c r="R2" t="s">
        <v>231</v>
      </c>
      <c r="T2" t="s">
        <v>661</v>
      </c>
      <c r="U2" t="s">
        <v>315</v>
      </c>
      <c r="V2" t="s">
        <v>139</v>
      </c>
      <c r="W2" t="s">
        <v>222</v>
      </c>
      <c r="X2" t="s">
        <v>469</v>
      </c>
      <c r="Y2" t="s">
        <v>224</v>
      </c>
      <c r="Z2" t="s">
        <v>225</v>
      </c>
      <c r="AA2" t="s">
        <v>226</v>
      </c>
      <c r="AB2" t="s">
        <v>470</v>
      </c>
      <c r="AC2" t="s">
        <v>228</v>
      </c>
      <c r="AD2" t="s">
        <v>229</v>
      </c>
      <c r="AE2" t="s">
        <v>230</v>
      </c>
      <c r="AF2" t="s">
        <v>231</v>
      </c>
      <c r="AH2" t="s">
        <v>660</v>
      </c>
      <c r="AI2" t="s">
        <v>315</v>
      </c>
      <c r="AJ2" t="s">
        <v>139</v>
      </c>
      <c r="AK2" t="s">
        <v>222</v>
      </c>
      <c r="AL2" t="s">
        <v>223</v>
      </c>
      <c r="AM2" t="s">
        <v>224</v>
      </c>
      <c r="AN2" t="s">
        <v>225</v>
      </c>
      <c r="AO2" t="s">
        <v>226</v>
      </c>
      <c r="AP2" t="s">
        <v>227</v>
      </c>
      <c r="AQ2" t="s">
        <v>228</v>
      </c>
      <c r="AR2" t="s">
        <v>229</v>
      </c>
      <c r="AS2" t="s">
        <v>230</v>
      </c>
      <c r="AT2" t="s">
        <v>231</v>
      </c>
      <c r="AV2" t="s">
        <v>659</v>
      </c>
      <c r="AW2" t="s">
        <v>315</v>
      </c>
      <c r="AX2" t="s">
        <v>139</v>
      </c>
      <c r="AY2" t="s">
        <v>222</v>
      </c>
      <c r="AZ2" t="s">
        <v>469</v>
      </c>
      <c r="BA2" t="s">
        <v>224</v>
      </c>
      <c r="BB2" t="s">
        <v>225</v>
      </c>
      <c r="BC2" t="s">
        <v>226</v>
      </c>
      <c r="BD2" t="s">
        <v>470</v>
      </c>
      <c r="BE2" t="s">
        <v>228</v>
      </c>
      <c r="BF2" t="s">
        <v>229</v>
      </c>
      <c r="BG2" t="s">
        <v>230</v>
      </c>
      <c r="BH2" t="s">
        <v>231</v>
      </c>
      <c r="BJ2" t="s">
        <v>721</v>
      </c>
      <c r="BK2" t="s">
        <v>740</v>
      </c>
      <c r="BL2" t="s">
        <v>709</v>
      </c>
      <c r="BM2" t="s">
        <v>710</v>
      </c>
      <c r="BN2" t="s">
        <v>711</v>
      </c>
      <c r="BO2" t="s">
        <v>712</v>
      </c>
      <c r="BP2" t="s">
        <v>713</v>
      </c>
      <c r="BQ2" t="s">
        <v>722</v>
      </c>
      <c r="BR2" t="s">
        <v>723</v>
      </c>
      <c r="BS2" t="s">
        <v>714</v>
      </c>
      <c r="BT2" t="s">
        <v>715</v>
      </c>
      <c r="BU2" t="s">
        <v>716</v>
      </c>
      <c r="BV2" t="s">
        <v>717</v>
      </c>
      <c r="BW2" t="s">
        <v>718</v>
      </c>
      <c r="BX2" t="s">
        <v>719</v>
      </c>
      <c r="BY2" t="s">
        <v>720</v>
      </c>
      <c r="CA2" t="s">
        <v>1043</v>
      </c>
      <c r="CB2" t="s">
        <v>745</v>
      </c>
      <c r="CC2" t="s">
        <v>746</v>
      </c>
      <c r="CD2" t="s">
        <v>724</v>
      </c>
      <c r="CE2" t="s">
        <v>725</v>
      </c>
      <c r="CF2" t="s">
        <v>726</v>
      </c>
      <c r="CG2" t="s">
        <v>727</v>
      </c>
      <c r="CH2" t="s">
        <v>728</v>
      </c>
      <c r="CI2" t="s">
        <v>729</v>
      </c>
      <c r="CJ2" t="s">
        <v>730</v>
      </c>
      <c r="CL2" t="s">
        <v>1044</v>
      </c>
      <c r="CM2" t="s">
        <v>745</v>
      </c>
      <c r="CN2" t="s">
        <v>746</v>
      </c>
      <c r="CO2" t="s">
        <v>724</v>
      </c>
      <c r="CP2" t="s">
        <v>725</v>
      </c>
      <c r="CQ2" t="s">
        <v>726</v>
      </c>
      <c r="CR2" t="s">
        <v>727</v>
      </c>
      <c r="CS2" t="s">
        <v>728</v>
      </c>
      <c r="CT2" t="s">
        <v>729</v>
      </c>
      <c r="CU2" t="s">
        <v>730</v>
      </c>
      <c r="CW2" t="s">
        <v>1045</v>
      </c>
      <c r="CX2" t="s">
        <v>745</v>
      </c>
      <c r="CY2" t="s">
        <v>746</v>
      </c>
      <c r="CZ2" t="s">
        <v>724</v>
      </c>
      <c r="DA2" t="s">
        <v>725</v>
      </c>
      <c r="DB2" t="s">
        <v>726</v>
      </c>
      <c r="DC2" t="s">
        <v>727</v>
      </c>
      <c r="DD2" t="s">
        <v>728</v>
      </c>
      <c r="DE2" t="s">
        <v>729</v>
      </c>
      <c r="DF2" t="s">
        <v>730</v>
      </c>
      <c r="DH2" t="s">
        <v>1046</v>
      </c>
      <c r="DI2" t="s">
        <v>745</v>
      </c>
      <c r="DJ2" t="s">
        <v>746</v>
      </c>
      <c r="DK2" t="s">
        <v>724</v>
      </c>
      <c r="DL2" t="s">
        <v>725</v>
      </c>
      <c r="DM2" t="s">
        <v>726</v>
      </c>
      <c r="DN2" t="s">
        <v>727</v>
      </c>
      <c r="DO2" t="s">
        <v>728</v>
      </c>
      <c r="DP2" t="s">
        <v>729</v>
      </c>
      <c r="DQ2" t="s">
        <v>730</v>
      </c>
    </row>
    <row r="3" spans="2:121" x14ac:dyDescent="0.2">
      <c r="C3">
        <v>335023</v>
      </c>
      <c r="D3">
        <v>257040</v>
      </c>
      <c r="F3" t="s">
        <v>34</v>
      </c>
      <c r="G3">
        <v>1306</v>
      </c>
      <c r="H3">
        <v>130.1026033691</v>
      </c>
      <c r="I3">
        <v>2866</v>
      </c>
      <c r="J3">
        <v>850</v>
      </c>
      <c r="K3">
        <v>1863</v>
      </c>
      <c r="L3">
        <v>529</v>
      </c>
      <c r="M3">
        <v>187</v>
      </c>
      <c r="N3">
        <v>101</v>
      </c>
      <c r="O3">
        <v>346</v>
      </c>
      <c r="P3">
        <v>183</v>
      </c>
      <c r="Q3">
        <v>0</v>
      </c>
      <c r="R3">
        <v>19</v>
      </c>
      <c r="T3" t="s">
        <v>217</v>
      </c>
      <c r="U3">
        <v>3855</v>
      </c>
      <c r="V3">
        <v>68.039429312600006</v>
      </c>
      <c r="W3">
        <v>6331</v>
      </c>
      <c r="X3">
        <v>512</v>
      </c>
      <c r="Y3">
        <v>6883</v>
      </c>
      <c r="Z3">
        <v>559</v>
      </c>
      <c r="AA3">
        <v>61</v>
      </c>
      <c r="AB3">
        <v>61</v>
      </c>
      <c r="AC3">
        <v>443</v>
      </c>
      <c r="AD3">
        <v>106</v>
      </c>
      <c r="AE3">
        <v>4984</v>
      </c>
      <c r="AF3">
        <v>473</v>
      </c>
      <c r="AH3" t="s">
        <v>398</v>
      </c>
      <c r="AI3">
        <v>14462</v>
      </c>
      <c r="AJ3">
        <v>365.14984096249998</v>
      </c>
      <c r="AK3">
        <v>8254</v>
      </c>
      <c r="AL3">
        <v>2182</v>
      </c>
      <c r="AM3">
        <v>16976</v>
      </c>
      <c r="AN3">
        <v>11976</v>
      </c>
      <c r="AO3">
        <v>4315</v>
      </c>
      <c r="AP3">
        <v>3920</v>
      </c>
      <c r="AQ3">
        <v>3315</v>
      </c>
      <c r="AR3">
        <v>2076</v>
      </c>
      <c r="AS3">
        <v>18</v>
      </c>
      <c r="AT3">
        <v>359</v>
      </c>
      <c r="AV3" t="s">
        <v>423</v>
      </c>
      <c r="AW3">
        <v>68</v>
      </c>
      <c r="AX3">
        <v>50.911764705899998</v>
      </c>
      <c r="AY3">
        <v>176</v>
      </c>
      <c r="AZ3">
        <v>8</v>
      </c>
      <c r="BA3">
        <v>120</v>
      </c>
      <c r="BB3">
        <v>8</v>
      </c>
      <c r="BC3">
        <v>1</v>
      </c>
      <c r="BD3">
        <v>1</v>
      </c>
      <c r="BE3">
        <v>10</v>
      </c>
      <c r="BF3">
        <v>5</v>
      </c>
      <c r="BG3">
        <v>97</v>
      </c>
      <c r="BH3">
        <v>37</v>
      </c>
      <c r="BJ3" t="s">
        <v>738</v>
      </c>
      <c r="BK3" t="s">
        <v>741</v>
      </c>
      <c r="BL3">
        <v>325853</v>
      </c>
      <c r="BM3">
        <v>94368</v>
      </c>
      <c r="BN3">
        <v>109.9391044428</v>
      </c>
      <c r="BO3">
        <v>1061280</v>
      </c>
      <c r="BP3">
        <v>72855</v>
      </c>
      <c r="BQ3">
        <v>187.1755917383</v>
      </c>
      <c r="BR3">
        <v>159.07958273279999</v>
      </c>
      <c r="BS3">
        <v>325853</v>
      </c>
      <c r="BT3">
        <v>94368</v>
      </c>
      <c r="BU3">
        <v>109.9391044428</v>
      </c>
      <c r="BV3">
        <v>1061279</v>
      </c>
      <c r="BW3">
        <v>72855</v>
      </c>
      <c r="BX3">
        <v>187.1753619925</v>
      </c>
      <c r="BY3">
        <v>159.07958273279999</v>
      </c>
      <c r="CA3" t="s">
        <v>1049</v>
      </c>
      <c r="CB3" t="s">
        <v>741</v>
      </c>
      <c r="CC3" t="s">
        <v>927</v>
      </c>
      <c r="CD3">
        <v>9106</v>
      </c>
      <c r="CE3">
        <v>1095</v>
      </c>
      <c r="CF3">
        <v>70.623874368499997</v>
      </c>
      <c r="CG3">
        <v>22932</v>
      </c>
      <c r="CH3">
        <v>1289</v>
      </c>
      <c r="CI3">
        <v>151.35300017439999</v>
      </c>
      <c r="CJ3">
        <v>134.55236617529999</v>
      </c>
      <c r="CL3" t="s">
        <v>1049</v>
      </c>
      <c r="CM3" t="s">
        <v>741</v>
      </c>
      <c r="CN3" t="s">
        <v>927</v>
      </c>
      <c r="CO3">
        <v>9106</v>
      </c>
      <c r="CP3">
        <v>1095</v>
      </c>
      <c r="CQ3">
        <v>70.623874368499997</v>
      </c>
      <c r="CR3">
        <v>22932</v>
      </c>
      <c r="CS3">
        <v>1289</v>
      </c>
      <c r="CT3">
        <v>151.35300017439999</v>
      </c>
      <c r="CU3">
        <v>134.55236617529999</v>
      </c>
      <c r="CW3" t="s">
        <v>1049</v>
      </c>
      <c r="CX3" t="s">
        <v>741</v>
      </c>
      <c r="CY3" t="s">
        <v>927</v>
      </c>
      <c r="CZ3">
        <v>9106</v>
      </c>
      <c r="DA3">
        <v>1095</v>
      </c>
      <c r="DB3">
        <v>70.623874368499997</v>
      </c>
      <c r="DC3">
        <v>22932</v>
      </c>
      <c r="DD3">
        <v>1289</v>
      </c>
      <c r="DE3">
        <v>151.35300017439999</v>
      </c>
      <c r="DF3">
        <v>134.55236617529999</v>
      </c>
      <c r="DH3" t="s">
        <v>1049</v>
      </c>
      <c r="DI3" t="s">
        <v>741</v>
      </c>
      <c r="DJ3" t="s">
        <v>927</v>
      </c>
      <c r="DK3">
        <v>9106</v>
      </c>
      <c r="DL3">
        <v>1095</v>
      </c>
      <c r="DM3">
        <v>70.623874368499997</v>
      </c>
      <c r="DN3">
        <v>22932</v>
      </c>
      <c r="DO3">
        <v>1289</v>
      </c>
      <c r="DP3">
        <v>151.35300017439999</v>
      </c>
      <c r="DQ3">
        <v>134.55236617529999</v>
      </c>
    </row>
    <row r="4" spans="2:121" x14ac:dyDescent="0.2">
      <c r="B4" t="s">
        <v>113</v>
      </c>
      <c r="C4">
        <v>111106</v>
      </c>
      <c r="D4">
        <v>72461</v>
      </c>
      <c r="F4" t="s">
        <v>80</v>
      </c>
      <c r="G4">
        <v>14880</v>
      </c>
      <c r="H4">
        <v>303.95241935479999</v>
      </c>
      <c r="I4">
        <v>22390</v>
      </c>
      <c r="J4">
        <v>7694</v>
      </c>
      <c r="K4">
        <v>18439</v>
      </c>
      <c r="L4">
        <v>10941</v>
      </c>
      <c r="M4">
        <v>2396</v>
      </c>
      <c r="N4">
        <v>1666</v>
      </c>
      <c r="O4">
        <v>10268</v>
      </c>
      <c r="P4">
        <v>6372</v>
      </c>
      <c r="Q4">
        <v>9</v>
      </c>
      <c r="R4">
        <v>240</v>
      </c>
      <c r="T4" t="s">
        <v>232</v>
      </c>
      <c r="U4">
        <v>0</v>
      </c>
      <c r="W4">
        <v>231</v>
      </c>
      <c r="X4">
        <v>98</v>
      </c>
      <c r="Y4">
        <v>876</v>
      </c>
      <c r="Z4">
        <v>718</v>
      </c>
      <c r="AA4">
        <v>273</v>
      </c>
      <c r="AB4">
        <v>264</v>
      </c>
      <c r="AC4">
        <v>298</v>
      </c>
      <c r="AD4">
        <v>240</v>
      </c>
      <c r="AE4">
        <v>115</v>
      </c>
      <c r="AF4">
        <v>0</v>
      </c>
      <c r="AH4" t="s">
        <v>434</v>
      </c>
      <c r="AI4">
        <v>2196</v>
      </c>
      <c r="AJ4">
        <v>469.98269581059998</v>
      </c>
      <c r="AK4">
        <v>995</v>
      </c>
      <c r="AL4">
        <v>160</v>
      </c>
      <c r="AM4">
        <v>2954</v>
      </c>
      <c r="AN4">
        <v>2052</v>
      </c>
      <c r="AO4">
        <v>1578</v>
      </c>
      <c r="AP4">
        <v>1427</v>
      </c>
      <c r="AQ4">
        <v>311</v>
      </c>
      <c r="AR4">
        <v>186</v>
      </c>
      <c r="AS4">
        <v>0</v>
      </c>
      <c r="AT4">
        <v>3</v>
      </c>
      <c r="AV4" t="s">
        <v>437</v>
      </c>
      <c r="AW4">
        <v>1180</v>
      </c>
      <c r="AX4">
        <v>106.3644067797</v>
      </c>
      <c r="AY4">
        <v>411</v>
      </c>
      <c r="AZ4">
        <v>90</v>
      </c>
      <c r="BA4">
        <v>1927</v>
      </c>
      <c r="BB4">
        <v>594</v>
      </c>
      <c r="BC4">
        <v>29</v>
      </c>
      <c r="BD4">
        <v>21</v>
      </c>
      <c r="BE4">
        <v>146</v>
      </c>
      <c r="BF4">
        <v>29</v>
      </c>
      <c r="BG4">
        <v>58</v>
      </c>
      <c r="BH4">
        <v>107</v>
      </c>
      <c r="BJ4" t="s">
        <v>647</v>
      </c>
      <c r="BK4" t="s">
        <v>395</v>
      </c>
      <c r="BL4">
        <v>891</v>
      </c>
      <c r="BM4">
        <v>203</v>
      </c>
      <c r="BN4">
        <v>90.2682379349</v>
      </c>
      <c r="BO4">
        <v>2661</v>
      </c>
      <c r="BP4">
        <v>164</v>
      </c>
      <c r="BQ4">
        <v>134.0533633972</v>
      </c>
      <c r="BR4">
        <v>124.5365853659</v>
      </c>
      <c r="BS4">
        <v>1022</v>
      </c>
      <c r="BT4">
        <v>283</v>
      </c>
      <c r="BU4">
        <v>99.968688845399996</v>
      </c>
      <c r="BV4">
        <v>3125</v>
      </c>
      <c r="BW4">
        <v>194</v>
      </c>
      <c r="BX4">
        <v>151.64416</v>
      </c>
      <c r="BY4">
        <v>131.15979381439999</v>
      </c>
      <c r="CA4" t="s">
        <v>1048</v>
      </c>
      <c r="CB4" t="s">
        <v>741</v>
      </c>
      <c r="CC4" t="s">
        <v>927</v>
      </c>
      <c r="CD4">
        <v>325853</v>
      </c>
      <c r="CE4">
        <v>94368</v>
      </c>
      <c r="CF4">
        <v>109.9391044428</v>
      </c>
      <c r="CG4">
        <v>1061279</v>
      </c>
      <c r="CH4">
        <v>72855</v>
      </c>
      <c r="CI4">
        <v>187.1753619925</v>
      </c>
      <c r="CJ4">
        <v>159.07958273279999</v>
      </c>
      <c r="CL4" t="s">
        <v>1048</v>
      </c>
      <c r="CM4" t="s">
        <v>741</v>
      </c>
      <c r="CN4" t="s">
        <v>927</v>
      </c>
      <c r="CO4">
        <v>325853</v>
      </c>
      <c r="CP4">
        <v>94368</v>
      </c>
      <c r="CQ4">
        <v>109.9391044428</v>
      </c>
      <c r="CR4">
        <v>1061279</v>
      </c>
      <c r="CS4">
        <v>72855</v>
      </c>
      <c r="CT4">
        <v>187.1753619925</v>
      </c>
      <c r="CU4">
        <v>159.07958273279999</v>
      </c>
      <c r="CW4" t="s">
        <v>1048</v>
      </c>
      <c r="CX4" t="s">
        <v>741</v>
      </c>
      <c r="CY4" t="s">
        <v>927</v>
      </c>
      <c r="CZ4">
        <v>325853</v>
      </c>
      <c r="DA4">
        <v>94368</v>
      </c>
      <c r="DB4">
        <v>109.9391044428</v>
      </c>
      <c r="DC4">
        <v>1061279</v>
      </c>
      <c r="DD4">
        <v>72855</v>
      </c>
      <c r="DE4">
        <v>187.1753619925</v>
      </c>
      <c r="DF4">
        <v>159.07958273279999</v>
      </c>
      <c r="DH4" t="s">
        <v>1048</v>
      </c>
      <c r="DI4" t="s">
        <v>741</v>
      </c>
      <c r="DJ4" t="s">
        <v>927</v>
      </c>
      <c r="DK4">
        <v>325853</v>
      </c>
      <c r="DL4">
        <v>94368</v>
      </c>
      <c r="DM4">
        <v>109.9391044428</v>
      </c>
      <c r="DN4">
        <v>1061279</v>
      </c>
      <c r="DO4">
        <v>72855</v>
      </c>
      <c r="DP4">
        <v>187.1753619925</v>
      </c>
      <c r="DQ4">
        <v>159.07958273279999</v>
      </c>
    </row>
    <row r="5" spans="2:121" x14ac:dyDescent="0.2">
      <c r="B5" t="s">
        <v>101</v>
      </c>
      <c r="C5">
        <v>131010</v>
      </c>
      <c r="D5">
        <v>89485</v>
      </c>
      <c r="F5" t="s">
        <v>54</v>
      </c>
      <c r="G5">
        <v>4688</v>
      </c>
      <c r="H5">
        <v>328.89782423209999</v>
      </c>
      <c r="I5">
        <v>3383</v>
      </c>
      <c r="J5">
        <v>652</v>
      </c>
      <c r="K5">
        <v>8445</v>
      </c>
      <c r="L5">
        <v>3775</v>
      </c>
      <c r="M5">
        <v>3965</v>
      </c>
      <c r="N5">
        <v>2207</v>
      </c>
      <c r="O5">
        <v>6711</v>
      </c>
      <c r="P5">
        <v>5945</v>
      </c>
      <c r="Q5">
        <v>1</v>
      </c>
      <c r="R5">
        <v>162</v>
      </c>
      <c r="T5" t="s">
        <v>218</v>
      </c>
      <c r="U5">
        <v>12250</v>
      </c>
      <c r="V5">
        <v>96.752408163300004</v>
      </c>
      <c r="W5">
        <v>11369</v>
      </c>
      <c r="X5">
        <v>2522</v>
      </c>
      <c r="Y5">
        <v>18773</v>
      </c>
      <c r="Z5">
        <v>5184</v>
      </c>
      <c r="AA5">
        <v>479</v>
      </c>
      <c r="AB5">
        <v>468</v>
      </c>
      <c r="AC5">
        <v>4198</v>
      </c>
      <c r="AD5">
        <v>521</v>
      </c>
      <c r="AE5">
        <v>1376</v>
      </c>
      <c r="AF5">
        <v>3499</v>
      </c>
      <c r="AH5" t="s">
        <v>436</v>
      </c>
      <c r="AI5">
        <v>7477</v>
      </c>
      <c r="AJ5">
        <v>296.35776380900001</v>
      </c>
      <c r="AK5">
        <v>6353</v>
      </c>
      <c r="AL5">
        <v>1660</v>
      </c>
      <c r="AM5">
        <v>9734</v>
      </c>
      <c r="AN5">
        <v>5677</v>
      </c>
      <c r="AO5">
        <v>627</v>
      </c>
      <c r="AP5">
        <v>479</v>
      </c>
      <c r="AQ5">
        <v>3276</v>
      </c>
      <c r="AR5">
        <v>2395</v>
      </c>
      <c r="AS5">
        <v>5</v>
      </c>
      <c r="AT5">
        <v>80</v>
      </c>
      <c r="AV5" t="s">
        <v>410</v>
      </c>
      <c r="AW5">
        <v>33</v>
      </c>
      <c r="AX5">
        <v>45.878787878799997</v>
      </c>
      <c r="AY5">
        <v>93</v>
      </c>
      <c r="AZ5">
        <v>3</v>
      </c>
      <c r="BA5">
        <v>52</v>
      </c>
      <c r="BC5">
        <v>0</v>
      </c>
      <c r="BE5">
        <v>2</v>
      </c>
      <c r="BG5">
        <v>148</v>
      </c>
      <c r="BH5">
        <v>20</v>
      </c>
      <c r="BJ5" t="s">
        <v>395</v>
      </c>
      <c r="BK5" t="s">
        <v>395</v>
      </c>
      <c r="BL5">
        <v>66251</v>
      </c>
      <c r="BM5">
        <v>19105</v>
      </c>
      <c r="BN5">
        <v>110.98584172309999</v>
      </c>
      <c r="BO5">
        <v>191448</v>
      </c>
      <c r="BP5">
        <v>13331</v>
      </c>
      <c r="BQ5">
        <v>192.51105783290001</v>
      </c>
      <c r="BR5">
        <v>173.9267121746</v>
      </c>
      <c r="BS5">
        <v>66946</v>
      </c>
      <c r="BT5">
        <v>19311</v>
      </c>
      <c r="BU5">
        <v>109.12674394290001</v>
      </c>
      <c r="BV5">
        <v>193591</v>
      </c>
      <c r="BW5">
        <v>13676</v>
      </c>
      <c r="BX5">
        <v>192.94982204749999</v>
      </c>
      <c r="BY5">
        <v>169.75394852299999</v>
      </c>
      <c r="CA5" t="s">
        <v>1050</v>
      </c>
      <c r="CB5" t="s">
        <v>741</v>
      </c>
      <c r="CC5" t="s">
        <v>927</v>
      </c>
      <c r="CD5">
        <v>19557</v>
      </c>
      <c r="CE5">
        <v>1915</v>
      </c>
      <c r="CF5">
        <v>61.343150790000003</v>
      </c>
      <c r="CG5">
        <v>136416</v>
      </c>
      <c r="CH5">
        <v>7917</v>
      </c>
      <c r="CI5">
        <v>64.438042458400005</v>
      </c>
      <c r="CJ5">
        <v>66.383604900799995</v>
      </c>
      <c r="CL5" t="s">
        <v>1050</v>
      </c>
      <c r="CM5" t="s">
        <v>741</v>
      </c>
      <c r="CN5" t="s">
        <v>927</v>
      </c>
      <c r="CO5">
        <v>19557</v>
      </c>
      <c r="CP5">
        <v>1915</v>
      </c>
      <c r="CQ5">
        <v>61.343150790000003</v>
      </c>
      <c r="CR5">
        <v>136416</v>
      </c>
      <c r="CS5">
        <v>7917</v>
      </c>
      <c r="CT5">
        <v>64.438042458400005</v>
      </c>
      <c r="CU5">
        <v>66.383604900799995</v>
      </c>
      <c r="CW5" t="s">
        <v>1050</v>
      </c>
      <c r="CX5" t="s">
        <v>741</v>
      </c>
      <c r="CY5" t="s">
        <v>927</v>
      </c>
      <c r="CZ5">
        <v>19557</v>
      </c>
      <c r="DA5">
        <v>1915</v>
      </c>
      <c r="DB5">
        <v>61.343150790000003</v>
      </c>
      <c r="DC5">
        <v>136416</v>
      </c>
      <c r="DD5">
        <v>7917</v>
      </c>
      <c r="DE5">
        <v>64.438042458400005</v>
      </c>
      <c r="DF5">
        <v>66.383604900799995</v>
      </c>
      <c r="DH5" t="s">
        <v>1050</v>
      </c>
      <c r="DI5" t="s">
        <v>741</v>
      </c>
      <c r="DJ5" t="s">
        <v>927</v>
      </c>
      <c r="DK5">
        <v>19557</v>
      </c>
      <c r="DL5">
        <v>1915</v>
      </c>
      <c r="DM5">
        <v>61.343150790000003</v>
      </c>
      <c r="DN5">
        <v>136416</v>
      </c>
      <c r="DO5">
        <v>7917</v>
      </c>
      <c r="DP5">
        <v>64.438042458400005</v>
      </c>
      <c r="DQ5">
        <v>66.383604900799995</v>
      </c>
    </row>
    <row r="6" spans="2:121" x14ac:dyDescent="0.2">
      <c r="B6" t="s">
        <v>93</v>
      </c>
      <c r="C6">
        <v>6636</v>
      </c>
      <c r="D6">
        <v>1124</v>
      </c>
      <c r="F6" t="s">
        <v>187</v>
      </c>
      <c r="G6">
        <v>746</v>
      </c>
      <c r="H6">
        <v>211.94638069710001</v>
      </c>
      <c r="I6">
        <v>823</v>
      </c>
      <c r="J6">
        <v>79</v>
      </c>
      <c r="K6">
        <v>1226</v>
      </c>
      <c r="L6">
        <v>415</v>
      </c>
      <c r="M6">
        <v>323</v>
      </c>
      <c r="N6">
        <v>189</v>
      </c>
      <c r="O6">
        <v>95</v>
      </c>
      <c r="P6">
        <v>34</v>
      </c>
      <c r="Q6">
        <v>0</v>
      </c>
      <c r="R6">
        <v>2</v>
      </c>
      <c r="T6" t="s">
        <v>220</v>
      </c>
      <c r="U6">
        <v>1842</v>
      </c>
      <c r="V6">
        <v>37.190553745899997</v>
      </c>
      <c r="W6">
        <v>7068</v>
      </c>
      <c r="X6">
        <v>231</v>
      </c>
      <c r="Y6">
        <v>3449</v>
      </c>
      <c r="Z6">
        <v>26</v>
      </c>
      <c r="AA6">
        <v>12</v>
      </c>
      <c r="AB6">
        <v>5</v>
      </c>
      <c r="AC6">
        <v>105</v>
      </c>
      <c r="AD6">
        <v>32</v>
      </c>
      <c r="AE6">
        <v>4830</v>
      </c>
      <c r="AF6">
        <v>1144</v>
      </c>
      <c r="AH6" t="s">
        <v>421</v>
      </c>
      <c r="AI6">
        <v>5416</v>
      </c>
      <c r="AJ6">
        <v>340.75055391429999</v>
      </c>
      <c r="AK6">
        <v>3611</v>
      </c>
      <c r="AL6">
        <v>701</v>
      </c>
      <c r="AM6">
        <v>7746</v>
      </c>
      <c r="AN6">
        <v>4375</v>
      </c>
      <c r="AO6">
        <v>2383</v>
      </c>
      <c r="AP6">
        <v>1505</v>
      </c>
      <c r="AQ6">
        <v>4717</v>
      </c>
      <c r="AR6">
        <v>3721</v>
      </c>
      <c r="AS6">
        <v>8</v>
      </c>
      <c r="AT6">
        <v>156</v>
      </c>
      <c r="AV6" t="s">
        <v>430</v>
      </c>
      <c r="AW6">
        <v>18</v>
      </c>
      <c r="AX6">
        <v>66.5</v>
      </c>
      <c r="AY6">
        <v>56</v>
      </c>
      <c r="AZ6">
        <v>2</v>
      </c>
      <c r="BA6">
        <v>31</v>
      </c>
      <c r="BB6">
        <v>2</v>
      </c>
      <c r="BC6">
        <v>0</v>
      </c>
      <c r="BE6">
        <v>1</v>
      </c>
      <c r="BF6">
        <v>1</v>
      </c>
      <c r="BG6">
        <v>81</v>
      </c>
      <c r="BH6">
        <v>7</v>
      </c>
      <c r="BJ6" t="s">
        <v>594</v>
      </c>
      <c r="BK6" t="s">
        <v>395</v>
      </c>
      <c r="BL6">
        <v>6972</v>
      </c>
      <c r="BM6">
        <v>2470</v>
      </c>
      <c r="BN6">
        <v>123.4434882387</v>
      </c>
      <c r="BO6">
        <v>18866</v>
      </c>
      <c r="BP6">
        <v>1501</v>
      </c>
      <c r="BQ6">
        <v>203.0790310612</v>
      </c>
      <c r="BR6">
        <v>184.05996002660001</v>
      </c>
      <c r="BS6">
        <v>6868</v>
      </c>
      <c r="BT6">
        <v>2292</v>
      </c>
      <c r="BU6">
        <v>116.8663366337</v>
      </c>
      <c r="BV6">
        <v>18391</v>
      </c>
      <c r="BW6">
        <v>1329</v>
      </c>
      <c r="BX6">
        <v>201.609972269</v>
      </c>
      <c r="BY6">
        <v>170.2437923251</v>
      </c>
      <c r="CA6" t="s">
        <v>1051</v>
      </c>
      <c r="CB6" t="s">
        <v>741</v>
      </c>
      <c r="CC6" t="s">
        <v>927</v>
      </c>
      <c r="CD6">
        <v>8283</v>
      </c>
      <c r="CE6">
        <v>1157</v>
      </c>
      <c r="CF6">
        <v>70.354098756499994</v>
      </c>
      <c r="CG6">
        <v>23037</v>
      </c>
      <c r="CH6">
        <v>1325</v>
      </c>
      <c r="CI6">
        <v>133.30980596430001</v>
      </c>
      <c r="CJ6">
        <v>125.8203773585</v>
      </c>
      <c r="CL6" t="s">
        <v>1051</v>
      </c>
      <c r="CM6" t="s">
        <v>741</v>
      </c>
      <c r="CN6" t="s">
        <v>927</v>
      </c>
      <c r="CO6">
        <v>8283</v>
      </c>
      <c r="CP6">
        <v>1157</v>
      </c>
      <c r="CQ6">
        <v>70.354098756499994</v>
      </c>
      <c r="CR6">
        <v>23037</v>
      </c>
      <c r="CS6">
        <v>1325</v>
      </c>
      <c r="CT6">
        <v>133.30980596430001</v>
      </c>
      <c r="CU6">
        <v>125.8203773585</v>
      </c>
      <c r="CW6" t="s">
        <v>1051</v>
      </c>
      <c r="CX6" t="s">
        <v>741</v>
      </c>
      <c r="CY6" t="s">
        <v>927</v>
      </c>
      <c r="CZ6">
        <v>8283</v>
      </c>
      <c r="DA6">
        <v>1157</v>
      </c>
      <c r="DB6">
        <v>70.354098756499994</v>
      </c>
      <c r="DC6">
        <v>23037</v>
      </c>
      <c r="DD6">
        <v>1325</v>
      </c>
      <c r="DE6">
        <v>133.30980596430001</v>
      </c>
      <c r="DF6">
        <v>125.8203773585</v>
      </c>
      <c r="DH6" t="s">
        <v>1051</v>
      </c>
      <c r="DI6" t="s">
        <v>741</v>
      </c>
      <c r="DJ6" t="s">
        <v>927</v>
      </c>
      <c r="DK6">
        <v>8283</v>
      </c>
      <c r="DL6">
        <v>1157</v>
      </c>
      <c r="DM6">
        <v>70.354098756499994</v>
      </c>
      <c r="DN6">
        <v>23037</v>
      </c>
      <c r="DO6">
        <v>1325</v>
      </c>
      <c r="DP6">
        <v>133.30980596430001</v>
      </c>
      <c r="DQ6">
        <v>125.8203773585</v>
      </c>
    </row>
    <row r="7" spans="2:121" x14ac:dyDescent="0.2">
      <c r="B7" t="s">
        <v>94</v>
      </c>
      <c r="C7">
        <v>218</v>
      </c>
      <c r="D7">
        <v>42</v>
      </c>
      <c r="F7" t="s">
        <v>27</v>
      </c>
      <c r="G7">
        <v>2519</v>
      </c>
      <c r="H7">
        <v>134.2231044065</v>
      </c>
      <c r="I7">
        <v>6710</v>
      </c>
      <c r="J7">
        <v>1607</v>
      </c>
      <c r="K7">
        <v>9914</v>
      </c>
      <c r="L7">
        <v>2571</v>
      </c>
      <c r="M7">
        <v>1170</v>
      </c>
      <c r="N7">
        <v>499</v>
      </c>
      <c r="O7">
        <v>542</v>
      </c>
      <c r="P7">
        <v>188</v>
      </c>
      <c r="Q7">
        <v>0</v>
      </c>
      <c r="R7">
        <v>63</v>
      </c>
      <c r="T7" t="s">
        <v>472</v>
      </c>
      <c r="U7">
        <v>17947</v>
      </c>
      <c r="V7">
        <v>84.471722293400006</v>
      </c>
      <c r="W7">
        <v>24999</v>
      </c>
      <c r="X7">
        <v>3363</v>
      </c>
      <c r="Y7">
        <v>29981</v>
      </c>
      <c r="Z7">
        <v>6487</v>
      </c>
      <c r="AA7">
        <v>825</v>
      </c>
      <c r="AB7">
        <v>798</v>
      </c>
      <c r="AC7">
        <v>5044</v>
      </c>
      <c r="AD7">
        <v>899</v>
      </c>
      <c r="AE7">
        <v>11305</v>
      </c>
      <c r="AF7">
        <v>5116</v>
      </c>
      <c r="AH7" t="s">
        <v>417</v>
      </c>
      <c r="AI7">
        <v>32229</v>
      </c>
      <c r="AJ7">
        <v>363.12010921839999</v>
      </c>
      <c r="AK7">
        <v>32095</v>
      </c>
      <c r="AL7">
        <v>8746</v>
      </c>
      <c r="AM7">
        <v>45670</v>
      </c>
      <c r="AN7">
        <v>28588</v>
      </c>
      <c r="AO7">
        <v>7425</v>
      </c>
      <c r="AP7">
        <v>5653</v>
      </c>
      <c r="AQ7">
        <v>11660</v>
      </c>
      <c r="AR7">
        <v>7682</v>
      </c>
      <c r="AS7">
        <v>52</v>
      </c>
      <c r="AT7">
        <v>166</v>
      </c>
      <c r="AV7" t="s">
        <v>398</v>
      </c>
      <c r="AW7">
        <v>502</v>
      </c>
      <c r="AX7">
        <v>69.159362549799994</v>
      </c>
      <c r="AY7">
        <v>674</v>
      </c>
      <c r="AZ7">
        <v>35</v>
      </c>
      <c r="BA7">
        <v>942</v>
      </c>
      <c r="BB7">
        <v>88</v>
      </c>
      <c r="BC7">
        <v>15</v>
      </c>
      <c r="BD7">
        <v>15</v>
      </c>
      <c r="BE7">
        <v>57</v>
      </c>
      <c r="BF7">
        <v>18</v>
      </c>
      <c r="BG7">
        <v>402</v>
      </c>
      <c r="BH7">
        <v>48</v>
      </c>
      <c r="BJ7" t="s">
        <v>641</v>
      </c>
      <c r="BK7" t="s">
        <v>395</v>
      </c>
      <c r="BL7">
        <v>856</v>
      </c>
      <c r="BM7">
        <v>79</v>
      </c>
      <c r="BN7">
        <v>65.935747663599997</v>
      </c>
      <c r="BO7">
        <v>3195</v>
      </c>
      <c r="BP7">
        <v>283</v>
      </c>
      <c r="BQ7">
        <v>105.03192488259999</v>
      </c>
      <c r="BR7">
        <v>102.89045936399999</v>
      </c>
      <c r="BS7">
        <v>1687</v>
      </c>
      <c r="BT7">
        <v>466</v>
      </c>
      <c r="BU7">
        <v>117.31772377</v>
      </c>
      <c r="BV7">
        <v>5828</v>
      </c>
      <c r="BW7">
        <v>487</v>
      </c>
      <c r="BX7">
        <v>170.4871310913</v>
      </c>
      <c r="BY7">
        <v>161.33470225869999</v>
      </c>
      <c r="CA7" t="s">
        <v>421</v>
      </c>
      <c r="CB7" t="s">
        <v>777</v>
      </c>
      <c r="CC7" t="s">
        <v>1006</v>
      </c>
      <c r="CD7">
        <v>3740</v>
      </c>
      <c r="CE7">
        <v>672</v>
      </c>
      <c r="CF7">
        <v>85.790909090900001</v>
      </c>
      <c r="CG7">
        <v>12576</v>
      </c>
      <c r="CH7">
        <v>763</v>
      </c>
      <c r="CI7">
        <v>167.95817430029999</v>
      </c>
      <c r="CJ7">
        <v>153.3053735256</v>
      </c>
      <c r="CL7" t="s">
        <v>421</v>
      </c>
      <c r="CM7" t="s">
        <v>758</v>
      </c>
      <c r="CN7" t="s">
        <v>757</v>
      </c>
      <c r="CO7">
        <v>228</v>
      </c>
      <c r="CP7">
        <v>21</v>
      </c>
      <c r="CQ7">
        <v>56.157894736800003</v>
      </c>
      <c r="CR7">
        <v>1806</v>
      </c>
      <c r="CS7">
        <v>87</v>
      </c>
      <c r="CT7">
        <v>49.586932447400002</v>
      </c>
      <c r="CU7">
        <v>54.8505747126</v>
      </c>
      <c r="CW7" t="s">
        <v>421</v>
      </c>
      <c r="CX7" t="s">
        <v>768</v>
      </c>
      <c r="CY7" t="s">
        <v>767</v>
      </c>
      <c r="CZ7">
        <v>30</v>
      </c>
      <c r="DA7">
        <v>3</v>
      </c>
      <c r="DB7">
        <v>63.1</v>
      </c>
      <c r="DC7">
        <v>130</v>
      </c>
      <c r="DD7">
        <v>2</v>
      </c>
      <c r="DE7">
        <v>137.14615384620001</v>
      </c>
      <c r="DF7">
        <v>163.5</v>
      </c>
      <c r="DH7" t="s">
        <v>421</v>
      </c>
      <c r="DI7" t="s">
        <v>748</v>
      </c>
      <c r="DJ7" t="s">
        <v>747</v>
      </c>
      <c r="DK7">
        <v>33</v>
      </c>
      <c r="DL7">
        <v>4</v>
      </c>
      <c r="DM7">
        <v>77.606060606100002</v>
      </c>
      <c r="DN7">
        <v>103</v>
      </c>
      <c r="DO7">
        <v>1</v>
      </c>
      <c r="DP7">
        <v>146.9223300971</v>
      </c>
      <c r="DQ7">
        <v>126</v>
      </c>
    </row>
    <row r="8" spans="2:121" x14ac:dyDescent="0.2">
      <c r="B8" t="s">
        <v>103</v>
      </c>
      <c r="C8">
        <v>226</v>
      </c>
      <c r="D8">
        <v>155</v>
      </c>
      <c r="F8" t="s">
        <v>61</v>
      </c>
      <c r="G8">
        <v>5325</v>
      </c>
      <c r="H8">
        <v>219.62798122070001</v>
      </c>
      <c r="I8">
        <v>8918</v>
      </c>
      <c r="J8">
        <v>2179</v>
      </c>
      <c r="K8">
        <v>8358</v>
      </c>
      <c r="L8">
        <v>4058</v>
      </c>
      <c r="M8">
        <v>1705</v>
      </c>
      <c r="N8">
        <v>1411</v>
      </c>
      <c r="O8">
        <v>1651</v>
      </c>
      <c r="P8">
        <v>1289</v>
      </c>
      <c r="Q8">
        <v>5</v>
      </c>
      <c r="R8">
        <v>222</v>
      </c>
      <c r="AH8" t="s">
        <v>413</v>
      </c>
      <c r="AI8">
        <v>7749</v>
      </c>
      <c r="AJ8">
        <v>398.6138856627</v>
      </c>
      <c r="AK8">
        <v>7486</v>
      </c>
      <c r="AL8">
        <v>2533</v>
      </c>
      <c r="AM8">
        <v>10520</v>
      </c>
      <c r="AN8">
        <v>6772</v>
      </c>
      <c r="AO8">
        <v>2086</v>
      </c>
      <c r="AP8">
        <v>1710</v>
      </c>
      <c r="AQ8">
        <v>4823</v>
      </c>
      <c r="AR8">
        <v>3427</v>
      </c>
      <c r="AS8">
        <v>11</v>
      </c>
      <c r="AT8">
        <v>69</v>
      </c>
      <c r="AV8" t="s">
        <v>419</v>
      </c>
      <c r="AW8">
        <v>75</v>
      </c>
      <c r="AX8">
        <v>46.2</v>
      </c>
      <c r="AY8">
        <v>291</v>
      </c>
      <c r="AZ8">
        <v>10</v>
      </c>
      <c r="BA8">
        <v>147</v>
      </c>
      <c r="BB8">
        <v>10</v>
      </c>
      <c r="BC8">
        <v>2</v>
      </c>
      <c r="BD8">
        <v>2</v>
      </c>
      <c r="BE8">
        <v>10</v>
      </c>
      <c r="BF8">
        <v>5</v>
      </c>
      <c r="BG8">
        <v>235</v>
      </c>
      <c r="BH8">
        <v>45</v>
      </c>
      <c r="BJ8" t="s">
        <v>629</v>
      </c>
      <c r="BK8" t="s">
        <v>395</v>
      </c>
      <c r="BL8">
        <v>17725</v>
      </c>
      <c r="BM8">
        <v>5504</v>
      </c>
      <c r="BN8">
        <v>118.8701269394</v>
      </c>
      <c r="BO8">
        <v>46762</v>
      </c>
      <c r="BP8">
        <v>3180</v>
      </c>
      <c r="BQ8">
        <v>213.08188272530001</v>
      </c>
      <c r="BR8">
        <v>201.14591194970001</v>
      </c>
      <c r="BS8">
        <v>13722</v>
      </c>
      <c r="BT8">
        <v>3383</v>
      </c>
      <c r="BU8">
        <v>104.0776854686</v>
      </c>
      <c r="BV8">
        <v>33851</v>
      </c>
      <c r="BW8">
        <v>2395</v>
      </c>
      <c r="BX8">
        <v>213.08953945229999</v>
      </c>
      <c r="BY8">
        <v>185.73068893530001</v>
      </c>
      <c r="CA8" t="s">
        <v>413</v>
      </c>
      <c r="CB8" t="s">
        <v>777</v>
      </c>
      <c r="CC8" t="s">
        <v>1007</v>
      </c>
      <c r="CD8">
        <v>7110</v>
      </c>
      <c r="CE8">
        <v>2493</v>
      </c>
      <c r="CF8">
        <v>122.87552742619999</v>
      </c>
      <c r="CG8">
        <v>20618</v>
      </c>
      <c r="CH8">
        <v>1668</v>
      </c>
      <c r="CI8">
        <v>189.99369482980001</v>
      </c>
      <c r="CJ8">
        <v>173.00419664270001</v>
      </c>
      <c r="CL8" t="s">
        <v>413</v>
      </c>
      <c r="CM8" t="s">
        <v>758</v>
      </c>
      <c r="CN8" t="s">
        <v>759</v>
      </c>
      <c r="CO8">
        <v>293</v>
      </c>
      <c r="CP8">
        <v>34</v>
      </c>
      <c r="CQ8">
        <v>64.873720136499998</v>
      </c>
      <c r="CR8">
        <v>1898</v>
      </c>
      <c r="CS8">
        <v>112</v>
      </c>
      <c r="CT8">
        <v>60.825605900900001</v>
      </c>
      <c r="CU8">
        <v>61.232142857100001</v>
      </c>
      <c r="CW8" t="s">
        <v>413</v>
      </c>
      <c r="CX8" t="s">
        <v>768</v>
      </c>
      <c r="CY8" t="s">
        <v>769</v>
      </c>
      <c r="CZ8">
        <v>211</v>
      </c>
      <c r="DA8">
        <v>30</v>
      </c>
      <c r="DB8">
        <v>71.227488151700001</v>
      </c>
      <c r="DC8">
        <v>740</v>
      </c>
      <c r="DD8">
        <v>51</v>
      </c>
      <c r="DE8">
        <v>121.7689189189</v>
      </c>
      <c r="DF8">
        <v>112.568627451</v>
      </c>
      <c r="DH8" t="s">
        <v>413</v>
      </c>
      <c r="DI8" t="s">
        <v>748</v>
      </c>
      <c r="DJ8" t="s">
        <v>749</v>
      </c>
      <c r="DK8">
        <v>351</v>
      </c>
      <c r="DL8">
        <v>16</v>
      </c>
      <c r="DM8">
        <v>59.353276353299997</v>
      </c>
      <c r="DN8">
        <v>1052</v>
      </c>
      <c r="DO8">
        <v>67</v>
      </c>
      <c r="DP8">
        <v>157.09980988589999</v>
      </c>
      <c r="DQ8">
        <v>124.6268656716</v>
      </c>
    </row>
    <row r="9" spans="2:121" x14ac:dyDescent="0.2">
      <c r="B9" t="s">
        <v>95</v>
      </c>
      <c r="C9">
        <v>11</v>
      </c>
      <c r="D9">
        <v>5</v>
      </c>
      <c r="F9" t="s">
        <v>62</v>
      </c>
      <c r="G9">
        <v>5699</v>
      </c>
      <c r="H9">
        <v>407.63835760659998</v>
      </c>
      <c r="I9">
        <v>5504</v>
      </c>
      <c r="J9">
        <v>1424</v>
      </c>
      <c r="K9">
        <v>7049</v>
      </c>
      <c r="L9">
        <v>4546</v>
      </c>
      <c r="M9">
        <v>573</v>
      </c>
      <c r="N9">
        <v>466</v>
      </c>
      <c r="O9">
        <v>911</v>
      </c>
      <c r="P9">
        <v>449</v>
      </c>
      <c r="Q9">
        <v>2</v>
      </c>
      <c r="R9">
        <v>313</v>
      </c>
      <c r="AH9" t="s">
        <v>383</v>
      </c>
      <c r="AI9">
        <v>2048</v>
      </c>
      <c r="AJ9">
        <v>253.15087890629999</v>
      </c>
      <c r="AK9">
        <v>2017</v>
      </c>
      <c r="AL9">
        <v>514</v>
      </c>
      <c r="AM9">
        <v>3669</v>
      </c>
      <c r="AN9">
        <v>1835</v>
      </c>
      <c r="AO9">
        <v>399</v>
      </c>
      <c r="AP9">
        <v>300</v>
      </c>
      <c r="AQ9">
        <v>819</v>
      </c>
      <c r="AR9">
        <v>497</v>
      </c>
      <c r="AS9">
        <v>186</v>
      </c>
      <c r="AT9">
        <v>3</v>
      </c>
      <c r="AV9" t="s">
        <v>427</v>
      </c>
      <c r="AW9">
        <v>27</v>
      </c>
      <c r="AX9">
        <v>103.0740740741</v>
      </c>
      <c r="AY9">
        <v>30</v>
      </c>
      <c r="AZ9">
        <v>7</v>
      </c>
      <c r="BA9">
        <v>38</v>
      </c>
      <c r="BB9">
        <v>15</v>
      </c>
      <c r="BC9">
        <v>1</v>
      </c>
      <c r="BD9">
        <v>1</v>
      </c>
      <c r="BE9">
        <v>9</v>
      </c>
      <c r="BF9">
        <v>1</v>
      </c>
      <c r="BG9">
        <v>9</v>
      </c>
      <c r="BH9">
        <v>6</v>
      </c>
      <c r="BJ9" t="s">
        <v>565</v>
      </c>
      <c r="BK9" t="s">
        <v>395</v>
      </c>
      <c r="BL9">
        <v>3939</v>
      </c>
      <c r="BM9">
        <v>1594</v>
      </c>
      <c r="BN9">
        <v>152.3442498096</v>
      </c>
      <c r="BO9">
        <v>14413</v>
      </c>
      <c r="BP9">
        <v>998</v>
      </c>
      <c r="BQ9">
        <v>242.95295913410001</v>
      </c>
      <c r="BR9">
        <v>199.50501001999999</v>
      </c>
      <c r="BS9">
        <v>4308</v>
      </c>
      <c r="BT9">
        <v>1669</v>
      </c>
      <c r="BU9">
        <v>138.19405756730001</v>
      </c>
      <c r="BV9">
        <v>13464</v>
      </c>
      <c r="BW9">
        <v>1002</v>
      </c>
      <c r="BX9">
        <v>235.42357397500001</v>
      </c>
      <c r="BY9">
        <v>182.0169660679</v>
      </c>
      <c r="CA9" t="s">
        <v>397</v>
      </c>
      <c r="CB9" t="s">
        <v>777</v>
      </c>
      <c r="CC9" t="s">
        <v>1008</v>
      </c>
      <c r="CD9">
        <v>5929</v>
      </c>
      <c r="CE9">
        <v>1514</v>
      </c>
      <c r="CF9">
        <v>98.598920559999996</v>
      </c>
      <c r="CG9">
        <v>17457</v>
      </c>
      <c r="CH9">
        <v>1202</v>
      </c>
      <c r="CI9">
        <v>178.5417883943</v>
      </c>
      <c r="CJ9">
        <v>156.8585690516</v>
      </c>
      <c r="CL9" t="s">
        <v>397</v>
      </c>
      <c r="CM9" t="s">
        <v>758</v>
      </c>
      <c r="CN9" t="s">
        <v>760</v>
      </c>
      <c r="CO9">
        <v>336</v>
      </c>
      <c r="CP9">
        <v>36</v>
      </c>
      <c r="CQ9">
        <v>60.958333333299997</v>
      </c>
      <c r="CR9">
        <v>2699</v>
      </c>
      <c r="CS9">
        <v>120</v>
      </c>
      <c r="CT9">
        <v>52.326787699100002</v>
      </c>
      <c r="CU9">
        <v>56.4083333333</v>
      </c>
      <c r="CW9" t="s">
        <v>397</v>
      </c>
      <c r="CX9" t="s">
        <v>768</v>
      </c>
      <c r="CY9" t="s">
        <v>770</v>
      </c>
      <c r="CZ9">
        <v>70</v>
      </c>
      <c r="DA9">
        <v>13</v>
      </c>
      <c r="DB9">
        <v>76.128571428599997</v>
      </c>
      <c r="DC9">
        <v>226</v>
      </c>
      <c r="DD9">
        <v>13</v>
      </c>
      <c r="DE9">
        <v>133.5707964602</v>
      </c>
      <c r="DF9">
        <v>102.76923076920001</v>
      </c>
      <c r="DH9" t="s">
        <v>397</v>
      </c>
      <c r="DI9" t="s">
        <v>748</v>
      </c>
      <c r="DJ9" t="s">
        <v>750</v>
      </c>
      <c r="DK9">
        <v>117</v>
      </c>
      <c r="DL9">
        <v>9</v>
      </c>
      <c r="DM9">
        <v>63.598290598299997</v>
      </c>
      <c r="DN9">
        <v>444</v>
      </c>
      <c r="DO9">
        <v>20</v>
      </c>
      <c r="DP9">
        <v>156.3626126126</v>
      </c>
      <c r="DQ9">
        <v>113.3</v>
      </c>
    </row>
    <row r="10" spans="2:121" x14ac:dyDescent="0.2">
      <c r="B10" t="s">
        <v>323</v>
      </c>
      <c r="C10">
        <v>1</v>
      </c>
      <c r="D10">
        <v>1</v>
      </c>
      <c r="F10" t="s">
        <v>24</v>
      </c>
      <c r="G10">
        <v>1148</v>
      </c>
      <c r="H10">
        <v>86.877177700299995</v>
      </c>
      <c r="I10">
        <v>4480</v>
      </c>
      <c r="J10">
        <v>1315</v>
      </c>
      <c r="K10">
        <v>1997</v>
      </c>
      <c r="L10">
        <v>406</v>
      </c>
      <c r="M10">
        <v>232</v>
      </c>
      <c r="N10">
        <v>41</v>
      </c>
      <c r="O10">
        <v>476</v>
      </c>
      <c r="P10">
        <v>303</v>
      </c>
      <c r="Q10">
        <v>0</v>
      </c>
      <c r="R10">
        <v>0</v>
      </c>
      <c r="AH10" t="s">
        <v>433</v>
      </c>
      <c r="AI10">
        <v>1050</v>
      </c>
      <c r="AJ10">
        <v>347.04</v>
      </c>
      <c r="AK10">
        <v>1051</v>
      </c>
      <c r="AL10">
        <v>363</v>
      </c>
      <c r="AM10">
        <v>1271</v>
      </c>
      <c r="AN10">
        <v>702</v>
      </c>
      <c r="AO10">
        <v>66</v>
      </c>
      <c r="AP10">
        <v>51</v>
      </c>
      <c r="AQ10">
        <v>462</v>
      </c>
      <c r="AR10">
        <v>192</v>
      </c>
      <c r="AS10">
        <v>41</v>
      </c>
      <c r="AT10">
        <v>1</v>
      </c>
      <c r="AV10" t="s">
        <v>381</v>
      </c>
      <c r="AW10">
        <v>339</v>
      </c>
      <c r="AX10">
        <v>92.141592920400001</v>
      </c>
      <c r="AY10">
        <v>377</v>
      </c>
      <c r="AZ10">
        <v>80</v>
      </c>
      <c r="BA10">
        <v>550</v>
      </c>
      <c r="BB10">
        <v>162</v>
      </c>
      <c r="BC10">
        <v>10</v>
      </c>
      <c r="BD10">
        <v>9</v>
      </c>
      <c r="BE10">
        <v>164</v>
      </c>
      <c r="BF10">
        <v>23</v>
      </c>
      <c r="BG10">
        <v>48</v>
      </c>
      <c r="BH10">
        <v>138</v>
      </c>
      <c r="BJ10" t="s">
        <v>617</v>
      </c>
      <c r="BK10" t="s">
        <v>395</v>
      </c>
      <c r="BL10">
        <v>3707</v>
      </c>
      <c r="BM10">
        <v>656</v>
      </c>
      <c r="BN10">
        <v>86.656595629899996</v>
      </c>
      <c r="BO10">
        <v>12107</v>
      </c>
      <c r="BP10">
        <v>742</v>
      </c>
      <c r="BQ10">
        <v>170.20533575619999</v>
      </c>
      <c r="BR10">
        <v>158.37601078169999</v>
      </c>
      <c r="BS10">
        <v>4418</v>
      </c>
      <c r="BT10">
        <v>1265</v>
      </c>
      <c r="BU10">
        <v>102.50882752379999</v>
      </c>
      <c r="BV10">
        <v>14441</v>
      </c>
      <c r="BW10">
        <v>1044</v>
      </c>
      <c r="BX10">
        <v>174.85430371859999</v>
      </c>
      <c r="BY10">
        <v>169.74329501919999</v>
      </c>
      <c r="CA10" t="s">
        <v>399</v>
      </c>
      <c r="CB10" t="s">
        <v>777</v>
      </c>
      <c r="CC10" t="s">
        <v>1009</v>
      </c>
      <c r="CD10">
        <v>3573</v>
      </c>
      <c r="CE10">
        <v>1181</v>
      </c>
      <c r="CF10">
        <v>130.84606773019999</v>
      </c>
      <c r="CG10">
        <v>14184</v>
      </c>
      <c r="CH10">
        <v>957</v>
      </c>
      <c r="CI10">
        <v>224.8413705584</v>
      </c>
      <c r="CJ10">
        <v>187.3009404389</v>
      </c>
      <c r="CL10" t="s">
        <v>399</v>
      </c>
      <c r="CM10" t="s">
        <v>758</v>
      </c>
      <c r="CN10" t="s">
        <v>761</v>
      </c>
      <c r="CO10">
        <v>278</v>
      </c>
      <c r="CP10">
        <v>36</v>
      </c>
      <c r="CQ10">
        <v>67.895683453199993</v>
      </c>
      <c r="CR10">
        <v>1921</v>
      </c>
      <c r="CS10">
        <v>96</v>
      </c>
      <c r="CT10">
        <v>59.595002602800001</v>
      </c>
      <c r="CU10">
        <v>67.21875</v>
      </c>
      <c r="CW10" t="s">
        <v>399</v>
      </c>
      <c r="CX10" t="s">
        <v>768</v>
      </c>
      <c r="CY10" t="s">
        <v>771</v>
      </c>
      <c r="CZ10">
        <v>74</v>
      </c>
      <c r="DA10">
        <v>12</v>
      </c>
      <c r="DB10">
        <v>76.972972972999997</v>
      </c>
      <c r="DC10">
        <v>148</v>
      </c>
      <c r="DD10">
        <v>14</v>
      </c>
      <c r="DE10">
        <v>150.1351351351</v>
      </c>
      <c r="DF10">
        <v>166.07142857139999</v>
      </c>
      <c r="DH10" t="s">
        <v>399</v>
      </c>
      <c r="DI10" t="s">
        <v>748</v>
      </c>
      <c r="DJ10" t="s">
        <v>751</v>
      </c>
      <c r="DK10">
        <v>69</v>
      </c>
      <c r="DL10">
        <v>15</v>
      </c>
      <c r="DM10">
        <v>82.710144927499996</v>
      </c>
      <c r="DN10">
        <v>205</v>
      </c>
      <c r="DO10">
        <v>7</v>
      </c>
      <c r="DP10">
        <v>129.49756097560001</v>
      </c>
      <c r="DQ10">
        <v>138.28571428570001</v>
      </c>
    </row>
    <row r="11" spans="2:121" x14ac:dyDescent="0.2">
      <c r="B11" t="s">
        <v>127</v>
      </c>
      <c r="C11">
        <v>663</v>
      </c>
      <c r="D11">
        <v>346</v>
      </c>
      <c r="F11" t="s">
        <v>60</v>
      </c>
      <c r="G11">
        <v>12508</v>
      </c>
      <c r="H11">
        <v>369.14158938280002</v>
      </c>
      <c r="I11">
        <v>7558</v>
      </c>
      <c r="J11">
        <v>1932</v>
      </c>
      <c r="K11">
        <v>14093</v>
      </c>
      <c r="L11">
        <v>9991</v>
      </c>
      <c r="M11">
        <v>4271</v>
      </c>
      <c r="N11">
        <v>3934</v>
      </c>
      <c r="O11">
        <v>2384</v>
      </c>
      <c r="P11">
        <v>1831</v>
      </c>
      <c r="Q11">
        <v>2</v>
      </c>
      <c r="R11">
        <v>361</v>
      </c>
      <c r="AH11" t="s">
        <v>424</v>
      </c>
      <c r="AI11">
        <v>486</v>
      </c>
      <c r="AJ11">
        <v>487.9526748971</v>
      </c>
      <c r="AK11">
        <v>524</v>
      </c>
      <c r="AL11">
        <v>185</v>
      </c>
      <c r="AM11">
        <v>677</v>
      </c>
      <c r="AN11">
        <v>453</v>
      </c>
      <c r="AO11">
        <v>108</v>
      </c>
      <c r="AP11">
        <v>89</v>
      </c>
      <c r="AQ11">
        <v>330</v>
      </c>
      <c r="AR11">
        <v>235</v>
      </c>
      <c r="AS11">
        <v>21</v>
      </c>
      <c r="AT11">
        <v>1</v>
      </c>
      <c r="AV11" t="s">
        <v>418</v>
      </c>
      <c r="AW11">
        <v>24</v>
      </c>
      <c r="AX11">
        <v>31.583333333300001</v>
      </c>
      <c r="AY11">
        <v>93</v>
      </c>
      <c r="AZ11">
        <v>6</v>
      </c>
      <c r="BA11">
        <v>45</v>
      </c>
      <c r="BB11">
        <v>1</v>
      </c>
      <c r="BC11">
        <v>1</v>
      </c>
      <c r="BD11">
        <v>1</v>
      </c>
      <c r="BE11">
        <v>0</v>
      </c>
      <c r="BG11">
        <v>65</v>
      </c>
      <c r="BH11">
        <v>12</v>
      </c>
      <c r="BJ11" t="s">
        <v>619</v>
      </c>
      <c r="BK11" t="s">
        <v>395</v>
      </c>
      <c r="BL11">
        <v>6769</v>
      </c>
      <c r="BM11">
        <v>1598</v>
      </c>
      <c r="BN11">
        <v>97.077707194599995</v>
      </c>
      <c r="BO11">
        <v>20952</v>
      </c>
      <c r="BP11">
        <v>1258</v>
      </c>
      <c r="BQ11">
        <v>161.02625047730001</v>
      </c>
      <c r="BR11">
        <v>148.53020667729999</v>
      </c>
      <c r="BS11">
        <v>8380</v>
      </c>
      <c r="BT11">
        <v>2598</v>
      </c>
      <c r="BU11">
        <v>111.8060859189</v>
      </c>
      <c r="BV11">
        <v>30110</v>
      </c>
      <c r="BW11">
        <v>1792</v>
      </c>
      <c r="BX11">
        <v>176.62866157420001</v>
      </c>
      <c r="BY11">
        <v>165.99609375</v>
      </c>
      <c r="CA11" t="s">
        <v>428</v>
      </c>
      <c r="CB11" t="s">
        <v>777</v>
      </c>
      <c r="CC11" t="s">
        <v>1010</v>
      </c>
      <c r="CD11">
        <v>908</v>
      </c>
      <c r="CE11">
        <v>109</v>
      </c>
      <c r="CF11">
        <v>73.851321585899996</v>
      </c>
      <c r="CG11">
        <v>3576</v>
      </c>
      <c r="CH11">
        <v>310</v>
      </c>
      <c r="CI11">
        <v>113.7340604027</v>
      </c>
      <c r="CJ11">
        <v>109.1709677419</v>
      </c>
      <c r="CL11" t="s">
        <v>428</v>
      </c>
      <c r="CM11" t="s">
        <v>758</v>
      </c>
      <c r="CN11" t="s">
        <v>762</v>
      </c>
      <c r="CO11">
        <v>90</v>
      </c>
      <c r="CP11">
        <v>4</v>
      </c>
      <c r="CQ11">
        <v>50.322222222199997</v>
      </c>
      <c r="CR11">
        <v>533</v>
      </c>
      <c r="CS11">
        <v>32</v>
      </c>
      <c r="CT11">
        <v>53.058161350799999</v>
      </c>
      <c r="CU11">
        <v>75.84375</v>
      </c>
      <c r="CW11" t="s">
        <v>428</v>
      </c>
      <c r="CX11" t="s">
        <v>768</v>
      </c>
      <c r="CY11" t="s">
        <v>772</v>
      </c>
      <c r="CZ11">
        <v>18</v>
      </c>
      <c r="DA11">
        <v>3</v>
      </c>
      <c r="DB11">
        <v>67.333333333300004</v>
      </c>
      <c r="DC11">
        <v>78</v>
      </c>
      <c r="DD11">
        <v>5</v>
      </c>
      <c r="DE11">
        <v>131.44871794869999</v>
      </c>
      <c r="DF11">
        <v>77.8</v>
      </c>
      <c r="DH11" t="s">
        <v>428</v>
      </c>
      <c r="DI11" t="s">
        <v>748</v>
      </c>
      <c r="DJ11" t="s">
        <v>752</v>
      </c>
      <c r="DK11">
        <v>9</v>
      </c>
      <c r="DL11">
        <v>1</v>
      </c>
      <c r="DM11">
        <v>52.222222222200003</v>
      </c>
      <c r="DN11">
        <v>55</v>
      </c>
      <c r="DO11">
        <v>0</v>
      </c>
      <c r="DP11">
        <v>171.16363636360001</v>
      </c>
      <c r="DQ11">
        <v>0</v>
      </c>
    </row>
    <row r="12" spans="2:121" x14ac:dyDescent="0.2">
      <c r="B12" t="s">
        <v>100</v>
      </c>
      <c r="C12">
        <v>183</v>
      </c>
      <c r="D12">
        <v>98</v>
      </c>
      <c r="F12" t="s">
        <v>36</v>
      </c>
      <c r="G12">
        <v>8197</v>
      </c>
      <c r="H12">
        <v>647.62510674639998</v>
      </c>
      <c r="I12">
        <v>4842</v>
      </c>
      <c r="J12">
        <v>1449</v>
      </c>
      <c r="K12">
        <v>9534</v>
      </c>
      <c r="L12">
        <v>7885</v>
      </c>
      <c r="M12">
        <v>1037</v>
      </c>
      <c r="N12">
        <v>919</v>
      </c>
      <c r="O12">
        <v>6165</v>
      </c>
      <c r="P12">
        <v>5250</v>
      </c>
      <c r="Q12">
        <v>31</v>
      </c>
      <c r="R12">
        <v>5</v>
      </c>
      <c r="T12" t="s">
        <v>658</v>
      </c>
      <c r="U12" t="s">
        <v>315</v>
      </c>
      <c r="V12" t="s">
        <v>139</v>
      </c>
      <c r="W12" t="s">
        <v>222</v>
      </c>
      <c r="X12" t="s">
        <v>223</v>
      </c>
      <c r="Y12" t="s">
        <v>224</v>
      </c>
      <c r="Z12" t="s">
        <v>225</v>
      </c>
      <c r="AA12" t="s">
        <v>226</v>
      </c>
      <c r="AB12" t="s">
        <v>227</v>
      </c>
      <c r="AC12" t="s">
        <v>228</v>
      </c>
      <c r="AD12" t="s">
        <v>229</v>
      </c>
      <c r="AE12" t="s">
        <v>230</v>
      </c>
      <c r="AF12" t="s">
        <v>231</v>
      </c>
      <c r="AH12" t="s">
        <v>435</v>
      </c>
      <c r="AI12">
        <v>20287</v>
      </c>
      <c r="AJ12">
        <v>325.56134470350003</v>
      </c>
      <c r="AK12">
        <v>24715</v>
      </c>
      <c r="AL12">
        <v>8422</v>
      </c>
      <c r="AM12">
        <v>28425</v>
      </c>
      <c r="AN12">
        <v>17127</v>
      </c>
      <c r="AO12">
        <v>3767</v>
      </c>
      <c r="AP12">
        <v>2672</v>
      </c>
      <c r="AQ12">
        <v>11598</v>
      </c>
      <c r="AR12">
        <v>6795</v>
      </c>
      <c r="AS12">
        <v>1338</v>
      </c>
      <c r="AT12">
        <v>254</v>
      </c>
      <c r="AV12" t="s">
        <v>435</v>
      </c>
      <c r="AW12">
        <v>2282</v>
      </c>
      <c r="AX12">
        <v>94.893076248900002</v>
      </c>
      <c r="AY12">
        <v>2342</v>
      </c>
      <c r="AZ12">
        <v>531</v>
      </c>
      <c r="BA12">
        <v>3581</v>
      </c>
      <c r="BB12">
        <v>937</v>
      </c>
      <c r="BC12">
        <v>117</v>
      </c>
      <c r="BD12">
        <v>113</v>
      </c>
      <c r="BE12">
        <v>727</v>
      </c>
      <c r="BF12">
        <v>100</v>
      </c>
      <c r="BG12">
        <v>281</v>
      </c>
      <c r="BH12">
        <v>617</v>
      </c>
      <c r="BJ12" t="s">
        <v>561</v>
      </c>
      <c r="BK12" t="s">
        <v>395</v>
      </c>
      <c r="BL12">
        <v>5754</v>
      </c>
      <c r="BM12">
        <v>1426</v>
      </c>
      <c r="BN12">
        <v>96.684393465400007</v>
      </c>
      <c r="BO12">
        <v>15943</v>
      </c>
      <c r="BP12">
        <v>1107</v>
      </c>
      <c r="BQ12">
        <v>185.24593865649999</v>
      </c>
      <c r="BR12">
        <v>163.61969286359999</v>
      </c>
      <c r="BS12">
        <v>5106</v>
      </c>
      <c r="BT12">
        <v>795</v>
      </c>
      <c r="BU12">
        <v>79.066196631400004</v>
      </c>
      <c r="BV12">
        <v>12157</v>
      </c>
      <c r="BW12">
        <v>867</v>
      </c>
      <c r="BX12">
        <v>179.8576951551</v>
      </c>
      <c r="BY12">
        <v>144.9965397924</v>
      </c>
      <c r="CA12" t="s">
        <v>422</v>
      </c>
      <c r="CB12" t="s">
        <v>777</v>
      </c>
      <c r="CC12" t="s">
        <v>1011</v>
      </c>
      <c r="CD12">
        <v>6860</v>
      </c>
      <c r="CE12">
        <v>1612</v>
      </c>
      <c r="CF12">
        <v>93.703935860100003</v>
      </c>
      <c r="CG12">
        <v>22073</v>
      </c>
      <c r="CH12">
        <v>1348</v>
      </c>
      <c r="CI12">
        <v>156.8145698365</v>
      </c>
      <c r="CJ12">
        <v>147.3256676558</v>
      </c>
      <c r="CL12" t="s">
        <v>422</v>
      </c>
      <c r="CM12" t="s">
        <v>758</v>
      </c>
      <c r="CN12" t="s">
        <v>763</v>
      </c>
      <c r="CO12">
        <v>434</v>
      </c>
      <c r="CP12">
        <v>28</v>
      </c>
      <c r="CQ12">
        <v>55.306451612899998</v>
      </c>
      <c r="CR12">
        <v>2699</v>
      </c>
      <c r="CS12">
        <v>171</v>
      </c>
      <c r="CT12">
        <v>60.908484623900002</v>
      </c>
      <c r="CU12">
        <v>70.555555555599994</v>
      </c>
      <c r="CW12" t="s">
        <v>422</v>
      </c>
      <c r="CX12" t="s">
        <v>768</v>
      </c>
      <c r="CY12" t="s">
        <v>773</v>
      </c>
      <c r="CZ12">
        <v>119</v>
      </c>
      <c r="DA12">
        <v>16</v>
      </c>
      <c r="DB12">
        <v>65.823529411799996</v>
      </c>
      <c r="DC12">
        <v>384</v>
      </c>
      <c r="DD12">
        <v>21</v>
      </c>
      <c r="DE12">
        <v>125.859375</v>
      </c>
      <c r="DF12">
        <v>137.4761904762</v>
      </c>
      <c r="DH12" t="s">
        <v>422</v>
      </c>
      <c r="DI12" t="s">
        <v>748</v>
      </c>
      <c r="DJ12" t="s">
        <v>753</v>
      </c>
      <c r="DK12">
        <v>176</v>
      </c>
      <c r="DL12">
        <v>14</v>
      </c>
      <c r="DM12">
        <v>70.3125</v>
      </c>
      <c r="DN12">
        <v>687</v>
      </c>
      <c r="DO12">
        <v>35</v>
      </c>
      <c r="DP12">
        <v>158.73944687049999</v>
      </c>
      <c r="DQ12">
        <v>137.19999999999999</v>
      </c>
    </row>
    <row r="13" spans="2:121" x14ac:dyDescent="0.2">
      <c r="B13" t="s">
        <v>117</v>
      </c>
      <c r="C13">
        <v>5758</v>
      </c>
      <c r="D13">
        <v>238</v>
      </c>
      <c r="F13" t="s">
        <v>37</v>
      </c>
      <c r="G13">
        <v>364</v>
      </c>
      <c r="H13">
        <v>91.667582417600002</v>
      </c>
      <c r="I13">
        <v>1479</v>
      </c>
      <c r="J13">
        <v>390</v>
      </c>
      <c r="K13">
        <v>936</v>
      </c>
      <c r="L13">
        <v>94</v>
      </c>
      <c r="M13">
        <v>91</v>
      </c>
      <c r="N13">
        <v>15</v>
      </c>
      <c r="O13">
        <v>116</v>
      </c>
      <c r="P13">
        <v>45</v>
      </c>
      <c r="Q13">
        <v>0</v>
      </c>
      <c r="R13">
        <v>12</v>
      </c>
      <c r="T13" t="s">
        <v>395</v>
      </c>
      <c r="U13">
        <v>59983</v>
      </c>
      <c r="V13">
        <v>321.53315105950003</v>
      </c>
      <c r="W13">
        <v>67767</v>
      </c>
      <c r="X13">
        <v>19804</v>
      </c>
      <c r="Y13">
        <v>93467</v>
      </c>
      <c r="Z13">
        <v>49393</v>
      </c>
      <c r="AA13">
        <v>14234</v>
      </c>
      <c r="AB13">
        <v>9687</v>
      </c>
      <c r="AC13">
        <v>23239</v>
      </c>
      <c r="AD13">
        <v>16741</v>
      </c>
      <c r="AE13">
        <v>118</v>
      </c>
      <c r="AF13">
        <v>1255</v>
      </c>
      <c r="AH13" t="s">
        <v>391</v>
      </c>
      <c r="AI13">
        <v>16023</v>
      </c>
      <c r="AJ13">
        <v>358.24901703799998</v>
      </c>
      <c r="AK13">
        <v>15808</v>
      </c>
      <c r="AL13">
        <v>4855</v>
      </c>
      <c r="AM13">
        <v>24038</v>
      </c>
      <c r="AN13">
        <v>15148</v>
      </c>
      <c r="AO13">
        <v>5450</v>
      </c>
      <c r="AP13">
        <v>4457</v>
      </c>
      <c r="AQ13">
        <v>18134</v>
      </c>
      <c r="AR13">
        <v>8950</v>
      </c>
      <c r="AS13">
        <v>654</v>
      </c>
      <c r="AT13">
        <v>42</v>
      </c>
      <c r="AV13" t="s">
        <v>397</v>
      </c>
      <c r="AW13">
        <v>293</v>
      </c>
      <c r="AX13">
        <v>70.416382252600002</v>
      </c>
      <c r="AY13">
        <v>372</v>
      </c>
      <c r="AZ13">
        <v>29</v>
      </c>
      <c r="BA13">
        <v>485</v>
      </c>
      <c r="BB13">
        <v>45</v>
      </c>
      <c r="BC13">
        <v>3</v>
      </c>
      <c r="BD13">
        <v>3</v>
      </c>
      <c r="BE13">
        <v>22</v>
      </c>
      <c r="BF13">
        <v>8</v>
      </c>
      <c r="BG13">
        <v>226</v>
      </c>
      <c r="BH13">
        <v>34</v>
      </c>
      <c r="BJ13" t="s">
        <v>598</v>
      </c>
      <c r="BK13" t="s">
        <v>395</v>
      </c>
      <c r="BL13">
        <v>1868</v>
      </c>
      <c r="BM13">
        <v>437</v>
      </c>
      <c r="BN13">
        <v>94.2569593148</v>
      </c>
      <c r="BO13">
        <v>5012</v>
      </c>
      <c r="BP13">
        <v>423</v>
      </c>
      <c r="BQ13">
        <v>147.6705905826</v>
      </c>
      <c r="BR13">
        <v>147.43026004730001</v>
      </c>
      <c r="BS13">
        <v>4351</v>
      </c>
      <c r="BT13">
        <v>1604</v>
      </c>
      <c r="BU13">
        <v>121.54424270280001</v>
      </c>
      <c r="BV13">
        <v>11175</v>
      </c>
      <c r="BW13">
        <v>996</v>
      </c>
      <c r="BX13">
        <v>179.6697986577</v>
      </c>
      <c r="BY13">
        <v>175.41164658630001</v>
      </c>
      <c r="CA13" t="s">
        <v>420</v>
      </c>
      <c r="CB13" t="s">
        <v>777</v>
      </c>
      <c r="CC13" t="s">
        <v>1012</v>
      </c>
      <c r="CD13">
        <v>36419</v>
      </c>
      <c r="CE13">
        <v>10861</v>
      </c>
      <c r="CF13">
        <v>113.7321453088</v>
      </c>
      <c r="CG13">
        <v>106343</v>
      </c>
      <c r="CH13">
        <v>7458</v>
      </c>
      <c r="CI13">
        <v>190.33438966360001</v>
      </c>
      <c r="CJ13">
        <v>171.10860820600001</v>
      </c>
      <c r="CL13" t="s">
        <v>420</v>
      </c>
      <c r="CM13" t="s">
        <v>758</v>
      </c>
      <c r="CN13" t="s">
        <v>764</v>
      </c>
      <c r="CO13">
        <v>1749</v>
      </c>
      <c r="CP13">
        <v>136</v>
      </c>
      <c r="CQ13">
        <v>56.668953687799998</v>
      </c>
      <c r="CR13">
        <v>10993</v>
      </c>
      <c r="CS13">
        <v>736</v>
      </c>
      <c r="CT13">
        <v>62.194487401099998</v>
      </c>
      <c r="CU13">
        <v>68.978260869600007</v>
      </c>
      <c r="CW13" t="s">
        <v>420</v>
      </c>
      <c r="CX13" t="s">
        <v>768</v>
      </c>
      <c r="CY13" t="s">
        <v>774</v>
      </c>
      <c r="CZ13">
        <v>897</v>
      </c>
      <c r="DA13">
        <v>118</v>
      </c>
      <c r="DB13">
        <v>69.288740245300005</v>
      </c>
      <c r="DC13">
        <v>2587</v>
      </c>
      <c r="DD13">
        <v>163</v>
      </c>
      <c r="DE13">
        <v>135.53150367219999</v>
      </c>
      <c r="DF13">
        <v>133.0920245399</v>
      </c>
      <c r="DH13" t="s">
        <v>420</v>
      </c>
      <c r="DI13" t="s">
        <v>748</v>
      </c>
      <c r="DJ13" t="s">
        <v>754</v>
      </c>
      <c r="DK13">
        <v>908</v>
      </c>
      <c r="DL13">
        <v>120</v>
      </c>
      <c r="DM13">
        <v>73.4063876652</v>
      </c>
      <c r="DN13">
        <v>3039</v>
      </c>
      <c r="DO13">
        <v>184</v>
      </c>
      <c r="DP13">
        <v>165.08950312600001</v>
      </c>
      <c r="DQ13">
        <v>131.90760869569999</v>
      </c>
    </row>
    <row r="14" spans="2:121" x14ac:dyDescent="0.2">
      <c r="B14" t="s">
        <v>134</v>
      </c>
      <c r="C14">
        <v>936</v>
      </c>
      <c r="D14">
        <v>69</v>
      </c>
      <c r="F14" t="s">
        <v>41</v>
      </c>
      <c r="G14">
        <v>8098</v>
      </c>
      <c r="H14">
        <v>524.06137317859998</v>
      </c>
      <c r="I14">
        <v>8359</v>
      </c>
      <c r="J14">
        <v>2104</v>
      </c>
      <c r="K14">
        <v>10452</v>
      </c>
      <c r="L14">
        <v>8279</v>
      </c>
      <c r="M14">
        <v>1508</v>
      </c>
      <c r="N14">
        <v>1461</v>
      </c>
      <c r="O14">
        <v>6471</v>
      </c>
      <c r="P14">
        <v>4043</v>
      </c>
      <c r="Q14">
        <v>14</v>
      </c>
      <c r="R14">
        <v>340</v>
      </c>
      <c r="T14" t="s">
        <v>400</v>
      </c>
      <c r="U14">
        <v>51552</v>
      </c>
      <c r="V14">
        <v>385.45538485409998</v>
      </c>
      <c r="W14">
        <v>56006</v>
      </c>
      <c r="X14">
        <v>13884</v>
      </c>
      <c r="Y14">
        <v>81960</v>
      </c>
      <c r="Z14">
        <v>43230</v>
      </c>
      <c r="AA14">
        <v>9390</v>
      </c>
      <c r="AB14">
        <v>7984</v>
      </c>
      <c r="AC14">
        <v>22397</v>
      </c>
      <c r="AD14">
        <v>16432</v>
      </c>
      <c r="AE14">
        <v>173</v>
      </c>
      <c r="AF14">
        <v>1174</v>
      </c>
      <c r="AH14" t="s">
        <v>438</v>
      </c>
      <c r="AI14">
        <v>1937</v>
      </c>
      <c r="AJ14">
        <v>267.62777490970001</v>
      </c>
      <c r="AK14">
        <v>2057</v>
      </c>
      <c r="AL14">
        <v>487</v>
      </c>
      <c r="AM14">
        <v>2664</v>
      </c>
      <c r="AN14">
        <v>1484</v>
      </c>
      <c r="AO14">
        <v>380</v>
      </c>
      <c r="AP14">
        <v>314</v>
      </c>
      <c r="AQ14">
        <v>366</v>
      </c>
      <c r="AR14">
        <v>242</v>
      </c>
      <c r="AS14">
        <v>6</v>
      </c>
      <c r="AT14">
        <v>2</v>
      </c>
      <c r="AV14" t="s">
        <v>403</v>
      </c>
      <c r="AW14">
        <v>216</v>
      </c>
      <c r="AX14">
        <v>75.648148148100006</v>
      </c>
      <c r="AY14">
        <v>317</v>
      </c>
      <c r="AZ14">
        <v>26</v>
      </c>
      <c r="BA14">
        <v>398</v>
      </c>
      <c r="BB14">
        <v>50</v>
      </c>
      <c r="BC14">
        <v>3</v>
      </c>
      <c r="BD14">
        <v>3</v>
      </c>
      <c r="BE14">
        <v>58</v>
      </c>
      <c r="BF14">
        <v>11</v>
      </c>
      <c r="BG14">
        <v>347</v>
      </c>
      <c r="BH14">
        <v>28</v>
      </c>
      <c r="BJ14" t="s">
        <v>615</v>
      </c>
      <c r="BK14" t="s">
        <v>395</v>
      </c>
      <c r="BL14">
        <v>17770</v>
      </c>
      <c r="BM14">
        <v>5138</v>
      </c>
      <c r="BN14">
        <v>109.0376477209</v>
      </c>
      <c r="BO14">
        <v>51537</v>
      </c>
      <c r="BP14">
        <v>3675</v>
      </c>
      <c r="BQ14">
        <v>188.96055261270001</v>
      </c>
      <c r="BR14">
        <v>164.95102040820001</v>
      </c>
      <c r="BS14">
        <v>17084</v>
      </c>
      <c r="BT14">
        <v>4956</v>
      </c>
      <c r="BU14">
        <v>108.6990166237</v>
      </c>
      <c r="BV14">
        <v>51049</v>
      </c>
      <c r="BW14">
        <v>3570</v>
      </c>
      <c r="BX14">
        <v>191.1362808282</v>
      </c>
      <c r="BY14">
        <v>164.98067226890001</v>
      </c>
      <c r="CA14" t="s">
        <v>416</v>
      </c>
      <c r="CB14" t="s">
        <v>777</v>
      </c>
      <c r="CC14" t="s">
        <v>1013</v>
      </c>
      <c r="CD14">
        <v>1816</v>
      </c>
      <c r="CE14">
        <v>450</v>
      </c>
      <c r="CF14">
        <v>98.032488986800004</v>
      </c>
      <c r="CG14">
        <v>4964</v>
      </c>
      <c r="CH14">
        <v>402</v>
      </c>
      <c r="CI14">
        <v>147.24858984689999</v>
      </c>
      <c r="CJ14">
        <v>145.63432835820001</v>
      </c>
      <c r="CL14" t="s">
        <v>416</v>
      </c>
      <c r="CM14" t="s">
        <v>758</v>
      </c>
      <c r="CN14" t="s">
        <v>765</v>
      </c>
      <c r="CO14">
        <v>153</v>
      </c>
      <c r="CP14">
        <v>14</v>
      </c>
      <c r="CQ14">
        <v>57.588235294100002</v>
      </c>
      <c r="CR14">
        <v>1080</v>
      </c>
      <c r="CS14">
        <v>71</v>
      </c>
      <c r="CT14">
        <v>65.436111111100004</v>
      </c>
      <c r="CU14">
        <v>67.633802816900001</v>
      </c>
      <c r="CW14" t="s">
        <v>416</v>
      </c>
      <c r="CX14" t="s">
        <v>768</v>
      </c>
      <c r="CY14" t="s">
        <v>775</v>
      </c>
      <c r="CZ14">
        <v>64</v>
      </c>
      <c r="DA14">
        <v>9</v>
      </c>
      <c r="DB14">
        <v>72.078125</v>
      </c>
      <c r="DC14">
        <v>195</v>
      </c>
      <c r="DD14">
        <v>8</v>
      </c>
      <c r="DE14">
        <v>132.32820512820001</v>
      </c>
      <c r="DF14">
        <v>131.375</v>
      </c>
      <c r="DH14" t="s">
        <v>416</v>
      </c>
      <c r="DI14" t="s">
        <v>748</v>
      </c>
      <c r="DJ14" t="s">
        <v>755</v>
      </c>
      <c r="DK14">
        <v>63</v>
      </c>
      <c r="DL14">
        <v>5</v>
      </c>
      <c r="DM14">
        <v>65.126984127</v>
      </c>
      <c r="DN14">
        <v>194</v>
      </c>
      <c r="DO14">
        <v>11</v>
      </c>
      <c r="DP14">
        <v>159.8505154639</v>
      </c>
      <c r="DQ14">
        <v>115.63636363640001</v>
      </c>
    </row>
    <row r="15" spans="2:121" x14ac:dyDescent="0.2">
      <c r="B15" t="s">
        <v>124</v>
      </c>
      <c r="C15">
        <v>15</v>
      </c>
      <c r="D15">
        <v>5</v>
      </c>
      <c r="F15" t="s">
        <v>39</v>
      </c>
      <c r="G15">
        <v>632</v>
      </c>
      <c r="H15">
        <v>241.13607594940001</v>
      </c>
      <c r="I15">
        <v>853</v>
      </c>
      <c r="J15">
        <v>204</v>
      </c>
      <c r="K15">
        <v>932</v>
      </c>
      <c r="L15">
        <v>403</v>
      </c>
      <c r="M15">
        <v>127</v>
      </c>
      <c r="N15">
        <v>102</v>
      </c>
      <c r="O15">
        <v>114</v>
      </c>
      <c r="P15">
        <v>33</v>
      </c>
      <c r="Q15">
        <v>25</v>
      </c>
      <c r="R15">
        <v>8</v>
      </c>
      <c r="T15" t="s">
        <v>379</v>
      </c>
      <c r="U15">
        <v>105583</v>
      </c>
      <c r="V15">
        <v>426.37508879270001</v>
      </c>
      <c r="W15">
        <v>79814</v>
      </c>
      <c r="X15">
        <v>22969</v>
      </c>
      <c r="Y15">
        <v>135377</v>
      </c>
      <c r="Z15">
        <v>95565</v>
      </c>
      <c r="AA15">
        <v>20610</v>
      </c>
      <c r="AB15">
        <v>15538</v>
      </c>
      <c r="AC15">
        <v>36267</v>
      </c>
      <c r="AD15">
        <v>24984</v>
      </c>
      <c r="AE15">
        <v>8395</v>
      </c>
      <c r="AF15">
        <v>107</v>
      </c>
      <c r="AH15" t="s">
        <v>418</v>
      </c>
      <c r="AI15">
        <v>954</v>
      </c>
      <c r="AJ15">
        <v>259.86582809219999</v>
      </c>
      <c r="AK15">
        <v>1666</v>
      </c>
      <c r="AL15">
        <v>448</v>
      </c>
      <c r="AM15">
        <v>1702</v>
      </c>
      <c r="AN15">
        <v>632</v>
      </c>
      <c r="AO15">
        <v>182</v>
      </c>
      <c r="AP15">
        <v>103</v>
      </c>
      <c r="AQ15">
        <v>294</v>
      </c>
      <c r="AR15">
        <v>144</v>
      </c>
      <c r="AS15">
        <v>1</v>
      </c>
      <c r="AT15">
        <v>12</v>
      </c>
      <c r="AV15" t="s">
        <v>422</v>
      </c>
      <c r="AW15">
        <v>92</v>
      </c>
      <c r="AX15">
        <v>49.010869565199997</v>
      </c>
      <c r="AY15">
        <v>260</v>
      </c>
      <c r="AZ15">
        <v>10</v>
      </c>
      <c r="BA15">
        <v>182</v>
      </c>
      <c r="BB15">
        <v>12</v>
      </c>
      <c r="BC15">
        <v>2</v>
      </c>
      <c r="BD15">
        <v>2</v>
      </c>
      <c r="BE15">
        <v>12</v>
      </c>
      <c r="BF15">
        <v>5</v>
      </c>
      <c r="BG15">
        <v>353</v>
      </c>
      <c r="BH15">
        <v>62</v>
      </c>
      <c r="BJ15" t="s">
        <v>577</v>
      </c>
      <c r="BK15" t="s">
        <v>400</v>
      </c>
      <c r="BL15">
        <v>6846</v>
      </c>
      <c r="BM15">
        <v>2119</v>
      </c>
      <c r="BN15">
        <v>122.29550102250001</v>
      </c>
      <c r="BO15">
        <v>21852</v>
      </c>
      <c r="BP15">
        <v>1537</v>
      </c>
      <c r="BQ15">
        <v>229.97693574959999</v>
      </c>
      <c r="BR15">
        <v>182.99674690960001</v>
      </c>
      <c r="BS15">
        <v>4636</v>
      </c>
      <c r="BT15">
        <v>1071</v>
      </c>
      <c r="BU15">
        <v>105.4059534081</v>
      </c>
      <c r="BV15">
        <v>14109</v>
      </c>
      <c r="BW15">
        <v>1073</v>
      </c>
      <c r="BX15">
        <v>245.1755616982</v>
      </c>
      <c r="BY15">
        <v>159.4370922647</v>
      </c>
      <c r="CA15" t="s">
        <v>431</v>
      </c>
      <c r="CB15" t="s">
        <v>777</v>
      </c>
      <c r="CC15" t="s">
        <v>1014</v>
      </c>
      <c r="CD15">
        <v>929</v>
      </c>
      <c r="CE15">
        <v>242</v>
      </c>
      <c r="CF15">
        <v>99.164693218500005</v>
      </c>
      <c r="CG15">
        <v>2771</v>
      </c>
      <c r="CH15">
        <v>163</v>
      </c>
      <c r="CI15">
        <v>136.349332371</v>
      </c>
      <c r="CJ15">
        <v>132.60122699390001</v>
      </c>
      <c r="CL15" t="s">
        <v>431</v>
      </c>
      <c r="CM15" t="s">
        <v>758</v>
      </c>
      <c r="CN15" t="s">
        <v>766</v>
      </c>
      <c r="CO15">
        <v>38</v>
      </c>
      <c r="CP15">
        <v>3</v>
      </c>
      <c r="CQ15">
        <v>54.315789473700001</v>
      </c>
      <c r="CR15">
        <v>256</v>
      </c>
      <c r="CS15">
        <v>18</v>
      </c>
      <c r="CT15">
        <v>68.0703125</v>
      </c>
      <c r="CU15">
        <v>79.944444444400006</v>
      </c>
      <c r="CW15" t="s">
        <v>431</v>
      </c>
      <c r="CX15" t="s">
        <v>768</v>
      </c>
      <c r="CY15" t="s">
        <v>776</v>
      </c>
      <c r="CZ15">
        <v>19</v>
      </c>
      <c r="DA15">
        <v>2</v>
      </c>
      <c r="DB15">
        <v>56.368421052599999</v>
      </c>
      <c r="DC15">
        <v>32</v>
      </c>
      <c r="DD15">
        <v>0</v>
      </c>
      <c r="DE15">
        <v>130.21875</v>
      </c>
      <c r="DF15">
        <v>0</v>
      </c>
      <c r="DH15" t="s">
        <v>431</v>
      </c>
      <c r="DI15" t="s">
        <v>748</v>
      </c>
      <c r="DJ15" t="s">
        <v>756</v>
      </c>
      <c r="DK15">
        <v>10</v>
      </c>
      <c r="DL15">
        <v>3</v>
      </c>
      <c r="DM15">
        <v>78.5</v>
      </c>
      <c r="DN15">
        <v>47</v>
      </c>
      <c r="DO15">
        <v>3</v>
      </c>
      <c r="DP15">
        <v>128.8723404255</v>
      </c>
      <c r="DQ15">
        <v>129.3333333333</v>
      </c>
    </row>
    <row r="16" spans="2:121" x14ac:dyDescent="0.2">
      <c r="B16" t="s">
        <v>988</v>
      </c>
      <c r="C16">
        <v>6</v>
      </c>
      <c r="F16" t="s">
        <v>64</v>
      </c>
      <c r="G16">
        <v>861</v>
      </c>
      <c r="H16">
        <v>102.6655052265</v>
      </c>
      <c r="I16">
        <v>2590</v>
      </c>
      <c r="J16">
        <v>716</v>
      </c>
      <c r="K16">
        <v>1663</v>
      </c>
      <c r="L16">
        <v>472</v>
      </c>
      <c r="M16">
        <v>548</v>
      </c>
      <c r="N16">
        <v>195</v>
      </c>
      <c r="O16">
        <v>2613</v>
      </c>
      <c r="P16">
        <v>1332</v>
      </c>
      <c r="Q16">
        <v>0</v>
      </c>
      <c r="R16">
        <v>2</v>
      </c>
      <c r="T16" t="s">
        <v>8</v>
      </c>
      <c r="U16">
        <v>50</v>
      </c>
      <c r="V16">
        <v>803.3</v>
      </c>
      <c r="W16">
        <v>0</v>
      </c>
      <c r="Y16">
        <v>51</v>
      </c>
      <c r="Z16">
        <v>51</v>
      </c>
      <c r="AA16">
        <v>1</v>
      </c>
      <c r="AB16">
        <v>1</v>
      </c>
      <c r="AC16">
        <v>18759</v>
      </c>
      <c r="AD16">
        <v>5444</v>
      </c>
      <c r="AE16">
        <v>0</v>
      </c>
      <c r="AF16">
        <v>0</v>
      </c>
      <c r="AH16" t="s">
        <v>404</v>
      </c>
      <c r="AI16">
        <v>8004</v>
      </c>
      <c r="AJ16">
        <v>473.3996751624</v>
      </c>
      <c r="AK16">
        <v>7535</v>
      </c>
      <c r="AL16">
        <v>2275</v>
      </c>
      <c r="AM16">
        <v>10498</v>
      </c>
      <c r="AN16">
        <v>7112</v>
      </c>
      <c r="AO16">
        <v>1487</v>
      </c>
      <c r="AP16">
        <v>1372</v>
      </c>
      <c r="AQ16">
        <v>2717</v>
      </c>
      <c r="AR16">
        <v>1946</v>
      </c>
      <c r="AS16">
        <v>22</v>
      </c>
      <c r="AT16">
        <v>282</v>
      </c>
      <c r="AV16" t="s">
        <v>385</v>
      </c>
      <c r="AW16">
        <v>1475</v>
      </c>
      <c r="AX16">
        <v>90.753898305099995</v>
      </c>
      <c r="AY16">
        <v>1728</v>
      </c>
      <c r="AZ16">
        <v>408</v>
      </c>
      <c r="BA16">
        <v>2318</v>
      </c>
      <c r="BB16">
        <v>625</v>
      </c>
      <c r="BC16">
        <v>56</v>
      </c>
      <c r="BD16">
        <v>56</v>
      </c>
      <c r="BE16">
        <v>575</v>
      </c>
      <c r="BF16">
        <v>65</v>
      </c>
      <c r="BG16">
        <v>115</v>
      </c>
      <c r="BH16">
        <v>399</v>
      </c>
      <c r="BJ16" t="s">
        <v>569</v>
      </c>
      <c r="BK16" t="s">
        <v>400</v>
      </c>
      <c r="BL16">
        <v>8607</v>
      </c>
      <c r="BM16">
        <v>2126</v>
      </c>
      <c r="BN16">
        <v>103.6722435227</v>
      </c>
      <c r="BO16">
        <v>26676</v>
      </c>
      <c r="BP16">
        <v>1767</v>
      </c>
      <c r="BQ16">
        <v>163.365497076</v>
      </c>
      <c r="BR16">
        <v>149.44708545559999</v>
      </c>
      <c r="BS16">
        <v>10298</v>
      </c>
      <c r="BT16">
        <v>3623</v>
      </c>
      <c r="BU16">
        <v>127.6642066421</v>
      </c>
      <c r="BV16">
        <v>34445</v>
      </c>
      <c r="BW16">
        <v>2385</v>
      </c>
      <c r="BX16">
        <v>179.62740600960001</v>
      </c>
      <c r="BY16">
        <v>172.44989517819999</v>
      </c>
      <c r="CA16" t="s">
        <v>395</v>
      </c>
      <c r="CB16" t="s">
        <v>777</v>
      </c>
      <c r="CD16">
        <v>67284</v>
      </c>
      <c r="CE16">
        <v>19134</v>
      </c>
      <c r="CF16">
        <v>109.515442007</v>
      </c>
      <c r="CG16">
        <v>204562</v>
      </c>
      <c r="CH16">
        <v>14271</v>
      </c>
      <c r="CI16">
        <v>183.57790303179999</v>
      </c>
      <c r="CJ16">
        <v>165.5146100483</v>
      </c>
      <c r="CL16" t="s">
        <v>395</v>
      </c>
      <c r="CM16" t="s">
        <v>758</v>
      </c>
      <c r="CO16">
        <v>3599</v>
      </c>
      <c r="CP16">
        <v>312</v>
      </c>
      <c r="CQ16">
        <v>58.263406501799999</v>
      </c>
      <c r="CR16">
        <v>23885</v>
      </c>
      <c r="CS16">
        <v>1443</v>
      </c>
      <c r="CT16">
        <v>59.668662340399997</v>
      </c>
      <c r="CU16">
        <v>66.772695772700004</v>
      </c>
      <c r="CW16" t="s">
        <v>395</v>
      </c>
      <c r="CX16" t="s">
        <v>768</v>
      </c>
      <c r="CZ16">
        <v>1502</v>
      </c>
      <c r="DA16">
        <v>206</v>
      </c>
      <c r="DB16">
        <v>69.792276963999996</v>
      </c>
      <c r="DC16">
        <v>4520</v>
      </c>
      <c r="DD16">
        <v>277</v>
      </c>
      <c r="DE16">
        <v>132.6369469027</v>
      </c>
      <c r="DF16">
        <v>129.06137184120001</v>
      </c>
      <c r="DH16" t="s">
        <v>395</v>
      </c>
      <c r="DI16" t="s">
        <v>748</v>
      </c>
      <c r="DK16">
        <v>1736</v>
      </c>
      <c r="DL16">
        <v>187</v>
      </c>
      <c r="DM16">
        <v>69.658986175099997</v>
      </c>
      <c r="DN16">
        <v>5826</v>
      </c>
      <c r="DO16">
        <v>328</v>
      </c>
      <c r="DP16">
        <v>160.25008582219999</v>
      </c>
      <c r="DQ16">
        <v>129.3993902439</v>
      </c>
    </row>
    <row r="17" spans="2:121" x14ac:dyDescent="0.2">
      <c r="B17" t="s">
        <v>97</v>
      </c>
      <c r="C17">
        <v>29</v>
      </c>
      <c r="D17">
        <v>6</v>
      </c>
      <c r="F17" t="s">
        <v>73</v>
      </c>
      <c r="G17">
        <v>7912</v>
      </c>
      <c r="H17">
        <v>220.46359959559999</v>
      </c>
      <c r="I17">
        <v>4924</v>
      </c>
      <c r="J17">
        <v>704</v>
      </c>
      <c r="K17">
        <v>16958</v>
      </c>
      <c r="L17">
        <v>6995</v>
      </c>
      <c r="M17">
        <v>810</v>
      </c>
      <c r="N17">
        <v>452</v>
      </c>
      <c r="O17">
        <v>80</v>
      </c>
      <c r="P17">
        <v>43</v>
      </c>
      <c r="Q17">
        <v>0</v>
      </c>
      <c r="R17">
        <v>5</v>
      </c>
      <c r="T17" t="s">
        <v>414</v>
      </c>
      <c r="U17">
        <v>65331</v>
      </c>
      <c r="V17">
        <v>366.5095130949</v>
      </c>
      <c r="W17">
        <v>62888</v>
      </c>
      <c r="X17">
        <v>17411</v>
      </c>
      <c r="Y17">
        <v>90138</v>
      </c>
      <c r="Z17">
        <v>55412</v>
      </c>
      <c r="AA17">
        <v>19141</v>
      </c>
      <c r="AB17">
        <v>15650</v>
      </c>
      <c r="AC17">
        <v>23783</v>
      </c>
      <c r="AD17">
        <v>17391</v>
      </c>
      <c r="AE17">
        <v>342</v>
      </c>
      <c r="AF17">
        <v>721</v>
      </c>
      <c r="AH17" t="s">
        <v>402</v>
      </c>
      <c r="AI17">
        <v>8259</v>
      </c>
      <c r="AJ17">
        <v>660.91572829639995</v>
      </c>
      <c r="AK17">
        <v>5131</v>
      </c>
      <c r="AL17">
        <v>1338</v>
      </c>
      <c r="AM17">
        <v>11059</v>
      </c>
      <c r="AN17">
        <v>7996</v>
      </c>
      <c r="AO17">
        <v>1136</v>
      </c>
      <c r="AP17">
        <v>964</v>
      </c>
      <c r="AQ17">
        <v>2218</v>
      </c>
      <c r="AR17">
        <v>1491</v>
      </c>
      <c r="AS17">
        <v>21</v>
      </c>
      <c r="AT17">
        <v>201</v>
      </c>
      <c r="AV17" t="s">
        <v>438</v>
      </c>
      <c r="AW17">
        <v>14</v>
      </c>
      <c r="AX17">
        <v>55.571428571399998</v>
      </c>
      <c r="AY17">
        <v>22</v>
      </c>
      <c r="BA17">
        <v>25</v>
      </c>
      <c r="BB17">
        <v>3</v>
      </c>
      <c r="BC17">
        <v>3</v>
      </c>
      <c r="BD17">
        <v>2</v>
      </c>
      <c r="BE17">
        <v>0</v>
      </c>
      <c r="BG17">
        <v>45</v>
      </c>
      <c r="BH17">
        <v>6</v>
      </c>
      <c r="BJ17" t="s">
        <v>586</v>
      </c>
      <c r="BK17" t="s">
        <v>400</v>
      </c>
      <c r="BL17">
        <v>2267</v>
      </c>
      <c r="BM17">
        <v>554</v>
      </c>
      <c r="BN17">
        <v>89.408910454299999</v>
      </c>
      <c r="BO17">
        <v>7771</v>
      </c>
      <c r="BP17">
        <v>603</v>
      </c>
      <c r="BQ17">
        <v>148.53944151330001</v>
      </c>
      <c r="BR17">
        <v>124.2620232172</v>
      </c>
      <c r="BS17">
        <v>2881</v>
      </c>
      <c r="BT17">
        <v>999</v>
      </c>
      <c r="BU17">
        <v>120.2769871572</v>
      </c>
      <c r="BV17">
        <v>10866</v>
      </c>
      <c r="BW17">
        <v>753</v>
      </c>
      <c r="BX17">
        <v>179.03902079880001</v>
      </c>
      <c r="BY17">
        <v>163.02523240369999</v>
      </c>
      <c r="CA17" t="s">
        <v>404</v>
      </c>
      <c r="CB17" t="s">
        <v>817</v>
      </c>
      <c r="CC17" t="s">
        <v>1015</v>
      </c>
      <c r="CD17">
        <v>7154</v>
      </c>
      <c r="CE17">
        <v>2217</v>
      </c>
      <c r="CF17">
        <v>122.7352530053</v>
      </c>
      <c r="CG17">
        <v>22715</v>
      </c>
      <c r="CH17">
        <v>1603</v>
      </c>
      <c r="CI17">
        <v>220.89465111160001</v>
      </c>
      <c r="CJ17">
        <v>179.1696818465</v>
      </c>
      <c r="CL17" t="s">
        <v>404</v>
      </c>
      <c r="CM17" t="s">
        <v>792</v>
      </c>
      <c r="CN17" t="s">
        <v>791</v>
      </c>
      <c r="CO17">
        <v>594</v>
      </c>
      <c r="CP17">
        <v>55</v>
      </c>
      <c r="CQ17">
        <v>56.444444444399998</v>
      </c>
      <c r="CR17">
        <v>4113</v>
      </c>
      <c r="CS17">
        <v>187</v>
      </c>
      <c r="CT17">
        <v>51.326282518799999</v>
      </c>
      <c r="CU17">
        <v>49.566844919799998</v>
      </c>
      <c r="CW17" t="s">
        <v>404</v>
      </c>
      <c r="CX17" t="s">
        <v>805</v>
      </c>
      <c r="CY17" t="s">
        <v>804</v>
      </c>
      <c r="CZ17">
        <v>175</v>
      </c>
      <c r="DA17">
        <v>27</v>
      </c>
      <c r="DB17">
        <v>75.245714285700004</v>
      </c>
      <c r="DC17">
        <v>548</v>
      </c>
      <c r="DD17">
        <v>32</v>
      </c>
      <c r="DE17">
        <v>138.1496350365</v>
      </c>
      <c r="DF17">
        <v>120.40625</v>
      </c>
      <c r="DH17" t="s">
        <v>404</v>
      </c>
      <c r="DI17" t="s">
        <v>779</v>
      </c>
      <c r="DJ17" t="s">
        <v>778</v>
      </c>
      <c r="DK17">
        <v>171</v>
      </c>
      <c r="DL17">
        <v>23</v>
      </c>
      <c r="DM17">
        <v>71.4795321637</v>
      </c>
      <c r="DN17">
        <v>492</v>
      </c>
      <c r="DO17">
        <v>24</v>
      </c>
      <c r="DP17">
        <v>149.08943089429999</v>
      </c>
      <c r="DQ17">
        <v>177.5416666667</v>
      </c>
    </row>
    <row r="18" spans="2:121" x14ac:dyDescent="0.2">
      <c r="B18" t="s">
        <v>125</v>
      </c>
      <c r="C18">
        <v>270</v>
      </c>
      <c r="D18">
        <v>262</v>
      </c>
      <c r="F18" t="s">
        <v>86</v>
      </c>
      <c r="G18">
        <v>16321</v>
      </c>
      <c r="H18">
        <v>310.0913546964</v>
      </c>
      <c r="I18">
        <v>23399</v>
      </c>
      <c r="J18">
        <v>6420</v>
      </c>
      <c r="K18">
        <v>25974</v>
      </c>
      <c r="L18">
        <v>14284</v>
      </c>
      <c r="M18">
        <v>4570</v>
      </c>
      <c r="N18">
        <v>4098</v>
      </c>
      <c r="O18">
        <v>6985</v>
      </c>
      <c r="P18">
        <v>3969</v>
      </c>
      <c r="Q18">
        <v>0</v>
      </c>
      <c r="R18">
        <v>24</v>
      </c>
      <c r="T18" t="s">
        <v>390</v>
      </c>
      <c r="U18">
        <v>69897</v>
      </c>
      <c r="V18">
        <v>338.02671073149997</v>
      </c>
      <c r="W18">
        <v>71111</v>
      </c>
      <c r="X18">
        <v>22862</v>
      </c>
      <c r="Y18">
        <v>98483</v>
      </c>
      <c r="Z18">
        <v>61741</v>
      </c>
      <c r="AA18">
        <v>19178</v>
      </c>
      <c r="AB18">
        <v>15406</v>
      </c>
      <c r="AC18">
        <v>38378</v>
      </c>
      <c r="AD18">
        <v>21942</v>
      </c>
      <c r="AE18">
        <v>160</v>
      </c>
      <c r="AF18">
        <v>1167</v>
      </c>
      <c r="AH18" t="s">
        <v>409</v>
      </c>
      <c r="AI18">
        <v>1733</v>
      </c>
      <c r="AJ18">
        <v>177.3768032314</v>
      </c>
      <c r="AK18">
        <v>2407</v>
      </c>
      <c r="AL18">
        <v>602</v>
      </c>
      <c r="AM18">
        <v>3357</v>
      </c>
      <c r="AN18">
        <v>1228</v>
      </c>
      <c r="AO18">
        <v>272</v>
      </c>
      <c r="AP18">
        <v>222</v>
      </c>
      <c r="AQ18">
        <v>1283</v>
      </c>
      <c r="AR18">
        <v>1065</v>
      </c>
      <c r="AS18">
        <v>0</v>
      </c>
      <c r="AT18">
        <v>12</v>
      </c>
      <c r="AV18" t="s">
        <v>409</v>
      </c>
      <c r="AW18">
        <v>81</v>
      </c>
      <c r="AX18">
        <v>37.407407407400001</v>
      </c>
      <c r="AY18">
        <v>292</v>
      </c>
      <c r="AZ18">
        <v>9</v>
      </c>
      <c r="BA18">
        <v>151</v>
      </c>
      <c r="BB18">
        <v>6</v>
      </c>
      <c r="BC18">
        <v>0</v>
      </c>
      <c r="BE18">
        <v>5</v>
      </c>
      <c r="BG18">
        <v>177</v>
      </c>
      <c r="BH18">
        <v>30</v>
      </c>
      <c r="BJ18" t="s">
        <v>579</v>
      </c>
      <c r="BK18" t="s">
        <v>400</v>
      </c>
      <c r="BL18">
        <v>7618</v>
      </c>
      <c r="BM18">
        <v>2166</v>
      </c>
      <c r="BN18">
        <v>106.82685744290001</v>
      </c>
      <c r="BO18">
        <v>22749</v>
      </c>
      <c r="BP18">
        <v>1701</v>
      </c>
      <c r="BQ18">
        <v>175.08404765040001</v>
      </c>
      <c r="BR18">
        <v>155.6631393298</v>
      </c>
      <c r="BS18">
        <v>7389</v>
      </c>
      <c r="BT18">
        <v>2179</v>
      </c>
      <c r="BU18">
        <v>107.6604411964</v>
      </c>
      <c r="BV18">
        <v>24991</v>
      </c>
      <c r="BW18">
        <v>1755</v>
      </c>
      <c r="BX18">
        <v>176.6713616902</v>
      </c>
      <c r="BY18">
        <v>159.1264957265</v>
      </c>
      <c r="CA18" t="s">
        <v>402</v>
      </c>
      <c r="CB18" t="s">
        <v>817</v>
      </c>
      <c r="CC18" t="s">
        <v>1016</v>
      </c>
      <c r="CD18">
        <v>5223</v>
      </c>
      <c r="CE18">
        <v>1388</v>
      </c>
      <c r="CF18">
        <v>105.8788052843</v>
      </c>
      <c r="CG18">
        <v>20008</v>
      </c>
      <c r="CH18">
        <v>1403</v>
      </c>
      <c r="CI18">
        <v>205.23235705720001</v>
      </c>
      <c r="CJ18">
        <v>181.70705630789999</v>
      </c>
      <c r="CL18" t="s">
        <v>402</v>
      </c>
      <c r="CM18" t="s">
        <v>792</v>
      </c>
      <c r="CN18" t="s">
        <v>793</v>
      </c>
      <c r="CO18">
        <v>392</v>
      </c>
      <c r="CP18">
        <v>31</v>
      </c>
      <c r="CQ18">
        <v>55.017857142899999</v>
      </c>
      <c r="CR18">
        <v>2613</v>
      </c>
      <c r="CS18">
        <v>115</v>
      </c>
      <c r="CT18">
        <v>54.568694986600001</v>
      </c>
      <c r="CU18">
        <v>55.373913043500004</v>
      </c>
      <c r="CW18" t="s">
        <v>402</v>
      </c>
      <c r="CX18" t="s">
        <v>805</v>
      </c>
      <c r="CY18" t="s">
        <v>806</v>
      </c>
      <c r="CZ18">
        <v>90</v>
      </c>
      <c r="DA18">
        <v>16</v>
      </c>
      <c r="DB18">
        <v>75.011111111100007</v>
      </c>
      <c r="DC18">
        <v>250</v>
      </c>
      <c r="DD18">
        <v>15</v>
      </c>
      <c r="DE18">
        <v>134.94</v>
      </c>
      <c r="DF18">
        <v>131.26666666669999</v>
      </c>
      <c r="DH18" t="s">
        <v>402</v>
      </c>
      <c r="DI18" t="s">
        <v>779</v>
      </c>
      <c r="DJ18" t="s">
        <v>780</v>
      </c>
      <c r="DK18">
        <v>78</v>
      </c>
      <c r="DL18">
        <v>9</v>
      </c>
      <c r="DM18">
        <v>71.551282051300007</v>
      </c>
      <c r="DN18">
        <v>182</v>
      </c>
      <c r="DO18">
        <v>10</v>
      </c>
      <c r="DP18">
        <v>139.7582417582</v>
      </c>
      <c r="DQ18">
        <v>109.8</v>
      </c>
    </row>
    <row r="19" spans="2:121" x14ac:dyDescent="0.2">
      <c r="B19" t="s">
        <v>129</v>
      </c>
      <c r="C19">
        <v>43</v>
      </c>
      <c r="D19">
        <v>25</v>
      </c>
      <c r="F19" t="s">
        <v>71</v>
      </c>
      <c r="G19">
        <v>3576</v>
      </c>
      <c r="H19">
        <v>476.6317114094</v>
      </c>
      <c r="I19">
        <v>3628</v>
      </c>
      <c r="J19">
        <v>1200</v>
      </c>
      <c r="K19">
        <v>4237</v>
      </c>
      <c r="L19">
        <v>2952</v>
      </c>
      <c r="M19">
        <v>401</v>
      </c>
      <c r="N19">
        <v>361</v>
      </c>
      <c r="O19">
        <v>1200</v>
      </c>
      <c r="P19">
        <v>754</v>
      </c>
      <c r="Q19">
        <v>1</v>
      </c>
      <c r="R19">
        <v>114</v>
      </c>
      <c r="T19" t="s">
        <v>471</v>
      </c>
      <c r="U19">
        <v>352396</v>
      </c>
      <c r="V19">
        <v>373.97453716839999</v>
      </c>
      <c r="W19">
        <v>337586</v>
      </c>
      <c r="X19">
        <v>96930</v>
      </c>
      <c r="Y19">
        <v>499476</v>
      </c>
      <c r="Z19">
        <v>305392</v>
      </c>
      <c r="AA19">
        <v>82554</v>
      </c>
      <c r="AB19">
        <v>64266</v>
      </c>
      <c r="AC19">
        <v>162823</v>
      </c>
      <c r="AD19">
        <v>102934</v>
      </c>
      <c r="AE19">
        <v>9188</v>
      </c>
      <c r="AF19">
        <v>4424</v>
      </c>
      <c r="AH19" t="s">
        <v>432</v>
      </c>
      <c r="AI19">
        <v>1944</v>
      </c>
      <c r="AJ19">
        <v>241.9819958848</v>
      </c>
      <c r="AK19">
        <v>2665</v>
      </c>
      <c r="AL19">
        <v>619</v>
      </c>
      <c r="AM19">
        <v>3540</v>
      </c>
      <c r="AN19">
        <v>1414</v>
      </c>
      <c r="AO19">
        <v>401</v>
      </c>
      <c r="AP19">
        <v>250</v>
      </c>
      <c r="AQ19">
        <v>429</v>
      </c>
      <c r="AR19">
        <v>201</v>
      </c>
      <c r="AS19">
        <v>1</v>
      </c>
      <c r="AT19">
        <v>15</v>
      </c>
      <c r="AV19" t="s">
        <v>8</v>
      </c>
      <c r="AW19">
        <v>212</v>
      </c>
      <c r="AX19">
        <v>88.575471698100003</v>
      </c>
      <c r="AY19">
        <v>178</v>
      </c>
      <c r="AZ19">
        <v>72</v>
      </c>
      <c r="BA19">
        <v>468</v>
      </c>
      <c r="BB19">
        <v>191</v>
      </c>
      <c r="BC19">
        <v>26</v>
      </c>
      <c r="BD19">
        <v>25</v>
      </c>
      <c r="BE19">
        <v>124</v>
      </c>
      <c r="BF19">
        <v>36</v>
      </c>
      <c r="BG19">
        <v>69</v>
      </c>
      <c r="BH19">
        <v>20</v>
      </c>
      <c r="BJ19" t="s">
        <v>643</v>
      </c>
      <c r="BK19" t="s">
        <v>400</v>
      </c>
      <c r="BL19">
        <v>872</v>
      </c>
      <c r="BM19">
        <v>172</v>
      </c>
      <c r="BN19">
        <v>84.332568807300007</v>
      </c>
      <c r="BO19">
        <v>3228</v>
      </c>
      <c r="BP19">
        <v>220</v>
      </c>
      <c r="BQ19">
        <v>131.2218091698</v>
      </c>
      <c r="BR19">
        <v>108.0636363636</v>
      </c>
      <c r="BS19">
        <v>1254</v>
      </c>
      <c r="BT19">
        <v>503</v>
      </c>
      <c r="BU19">
        <v>130.0837320574</v>
      </c>
      <c r="BV19">
        <v>4231</v>
      </c>
      <c r="BW19">
        <v>304</v>
      </c>
      <c r="BX19">
        <v>156.1437012527</v>
      </c>
      <c r="BY19">
        <v>158.44078947369999</v>
      </c>
      <c r="CA19" t="s">
        <v>409</v>
      </c>
      <c r="CB19" t="s">
        <v>817</v>
      </c>
      <c r="CC19" t="s">
        <v>1017</v>
      </c>
      <c r="CD19">
        <v>2337</v>
      </c>
      <c r="CE19">
        <v>582</v>
      </c>
      <c r="CF19">
        <v>91.043645699600006</v>
      </c>
      <c r="CG19">
        <v>8069</v>
      </c>
      <c r="CH19">
        <v>622</v>
      </c>
      <c r="CI19">
        <v>147.88932953279999</v>
      </c>
      <c r="CJ19">
        <v>121.64308681670001</v>
      </c>
      <c r="CL19" t="s">
        <v>409</v>
      </c>
      <c r="CM19" t="s">
        <v>792</v>
      </c>
      <c r="CN19" t="s">
        <v>794</v>
      </c>
      <c r="CO19">
        <v>267</v>
      </c>
      <c r="CP19">
        <v>16</v>
      </c>
      <c r="CQ19">
        <v>52.026217228500002</v>
      </c>
      <c r="CR19">
        <v>1722</v>
      </c>
      <c r="CS19">
        <v>107</v>
      </c>
      <c r="CT19">
        <v>56.149245063899997</v>
      </c>
      <c r="CU19">
        <v>56.355140186900002</v>
      </c>
      <c r="CW19" t="s">
        <v>409</v>
      </c>
      <c r="CX19" t="s">
        <v>805</v>
      </c>
      <c r="CY19" t="s">
        <v>807</v>
      </c>
      <c r="CZ19">
        <v>43</v>
      </c>
      <c r="DA19">
        <v>5</v>
      </c>
      <c r="DB19">
        <v>65.837209302299996</v>
      </c>
      <c r="DC19">
        <v>135</v>
      </c>
      <c r="DD19">
        <v>11</v>
      </c>
      <c r="DE19">
        <v>114.1555555556</v>
      </c>
      <c r="DF19">
        <v>68.818181818200003</v>
      </c>
      <c r="DH19" t="s">
        <v>409</v>
      </c>
      <c r="DI19" t="s">
        <v>779</v>
      </c>
      <c r="DJ19" t="s">
        <v>781</v>
      </c>
      <c r="DK19">
        <v>34</v>
      </c>
      <c r="DL19">
        <v>5</v>
      </c>
      <c r="DM19">
        <v>79.264705882399994</v>
      </c>
      <c r="DN19">
        <v>87</v>
      </c>
      <c r="DO19">
        <v>6</v>
      </c>
      <c r="DP19">
        <v>148.85057471260001</v>
      </c>
      <c r="DQ19">
        <v>112.1666666667</v>
      </c>
    </row>
    <row r="20" spans="2:121" x14ac:dyDescent="0.2">
      <c r="B20" t="s">
        <v>122</v>
      </c>
      <c r="C20">
        <v>11464</v>
      </c>
      <c r="D20">
        <v>2576</v>
      </c>
      <c r="F20" t="s">
        <v>77</v>
      </c>
      <c r="G20">
        <v>503</v>
      </c>
      <c r="H20">
        <v>96.111332008000005</v>
      </c>
      <c r="I20">
        <v>833</v>
      </c>
      <c r="J20">
        <v>191</v>
      </c>
      <c r="K20">
        <v>851</v>
      </c>
      <c r="L20">
        <v>97</v>
      </c>
      <c r="M20">
        <v>399</v>
      </c>
      <c r="N20">
        <v>101</v>
      </c>
      <c r="O20">
        <v>42</v>
      </c>
      <c r="P20">
        <v>13</v>
      </c>
      <c r="Q20">
        <v>0</v>
      </c>
      <c r="R20">
        <v>1</v>
      </c>
      <c r="AH20" t="s">
        <v>403</v>
      </c>
      <c r="AI20">
        <v>7913</v>
      </c>
      <c r="AJ20">
        <v>520.32869960820005</v>
      </c>
      <c r="AK20">
        <v>4465</v>
      </c>
      <c r="AL20">
        <v>1311</v>
      </c>
      <c r="AM20">
        <v>10810</v>
      </c>
      <c r="AN20">
        <v>7405</v>
      </c>
      <c r="AO20">
        <v>2564</v>
      </c>
      <c r="AP20">
        <v>2054</v>
      </c>
      <c r="AQ20">
        <v>984</v>
      </c>
      <c r="AR20">
        <v>577</v>
      </c>
      <c r="AS20">
        <v>44</v>
      </c>
      <c r="AT20">
        <v>157</v>
      </c>
      <c r="AV20" t="s">
        <v>392</v>
      </c>
      <c r="AW20">
        <v>1247</v>
      </c>
      <c r="AX20">
        <v>98.181234963899996</v>
      </c>
      <c r="AY20">
        <v>1030</v>
      </c>
      <c r="AZ20">
        <v>231</v>
      </c>
      <c r="BA20">
        <v>1985</v>
      </c>
      <c r="BB20">
        <v>599</v>
      </c>
      <c r="BC20">
        <v>68</v>
      </c>
      <c r="BD20">
        <v>66</v>
      </c>
      <c r="BE20">
        <v>465</v>
      </c>
      <c r="BF20">
        <v>64</v>
      </c>
      <c r="BG20">
        <v>212</v>
      </c>
      <c r="BH20">
        <v>343</v>
      </c>
      <c r="BJ20" t="s">
        <v>571</v>
      </c>
      <c r="BK20" t="s">
        <v>400</v>
      </c>
      <c r="BL20">
        <v>5125</v>
      </c>
      <c r="BM20">
        <v>1362</v>
      </c>
      <c r="BN20">
        <v>106.10497560979999</v>
      </c>
      <c r="BO20">
        <v>19083</v>
      </c>
      <c r="BP20">
        <v>1342</v>
      </c>
      <c r="BQ20">
        <v>212.50615731280001</v>
      </c>
      <c r="BR20">
        <v>186.38375558870001</v>
      </c>
      <c r="BS20">
        <v>5257</v>
      </c>
      <c r="BT20">
        <v>1251</v>
      </c>
      <c r="BU20">
        <v>110.374738444</v>
      </c>
      <c r="BV20">
        <v>14814</v>
      </c>
      <c r="BW20">
        <v>1240</v>
      </c>
      <c r="BX20">
        <v>214.4420143108</v>
      </c>
      <c r="BY20">
        <v>181.98790322580001</v>
      </c>
      <c r="CA20" t="s">
        <v>432</v>
      </c>
      <c r="CB20" t="s">
        <v>817</v>
      </c>
      <c r="CC20" t="s">
        <v>1018</v>
      </c>
      <c r="CD20">
        <v>2627</v>
      </c>
      <c r="CE20">
        <v>601</v>
      </c>
      <c r="CF20">
        <v>95.547011800500002</v>
      </c>
      <c r="CG20">
        <v>8371</v>
      </c>
      <c r="CH20">
        <v>545</v>
      </c>
      <c r="CI20">
        <v>163.7977541512</v>
      </c>
      <c r="CJ20">
        <v>139.69724770639999</v>
      </c>
      <c r="CL20" t="s">
        <v>432</v>
      </c>
      <c r="CM20" t="s">
        <v>792</v>
      </c>
      <c r="CN20" t="s">
        <v>795</v>
      </c>
      <c r="CO20">
        <v>261</v>
      </c>
      <c r="CP20">
        <v>18</v>
      </c>
      <c r="CQ20">
        <v>57.490421455899998</v>
      </c>
      <c r="CR20">
        <v>1500</v>
      </c>
      <c r="CS20">
        <v>99</v>
      </c>
      <c r="CT20">
        <v>62.5333333333</v>
      </c>
      <c r="CU20">
        <v>60.717171717200003</v>
      </c>
      <c r="CW20" t="s">
        <v>432</v>
      </c>
      <c r="CX20" t="s">
        <v>805</v>
      </c>
      <c r="CY20" t="s">
        <v>808</v>
      </c>
      <c r="CZ20">
        <v>61</v>
      </c>
      <c r="DA20">
        <v>6</v>
      </c>
      <c r="DB20">
        <v>60.032786885199997</v>
      </c>
      <c r="DC20">
        <v>270</v>
      </c>
      <c r="DD20">
        <v>19</v>
      </c>
      <c r="DE20">
        <v>123.8111111111</v>
      </c>
      <c r="DF20">
        <v>110.1578947368</v>
      </c>
      <c r="DH20" t="s">
        <v>432</v>
      </c>
      <c r="DI20" t="s">
        <v>779</v>
      </c>
      <c r="DJ20" t="s">
        <v>782</v>
      </c>
      <c r="DK20">
        <v>117</v>
      </c>
      <c r="DL20">
        <v>10</v>
      </c>
      <c r="DM20">
        <v>59.1965811966</v>
      </c>
      <c r="DN20">
        <v>302</v>
      </c>
      <c r="DO20">
        <v>24</v>
      </c>
      <c r="DP20">
        <v>158.39072847680001</v>
      </c>
      <c r="DQ20">
        <v>120.9583333333</v>
      </c>
    </row>
    <row r="21" spans="2:121" x14ac:dyDescent="0.2">
      <c r="B21" t="s">
        <v>324</v>
      </c>
      <c r="C21">
        <v>1</v>
      </c>
      <c r="D21">
        <v>1</v>
      </c>
      <c r="F21" t="s">
        <v>8</v>
      </c>
      <c r="G21">
        <v>50</v>
      </c>
      <c r="H21">
        <v>803.3</v>
      </c>
      <c r="I21">
        <v>0</v>
      </c>
      <c r="K21">
        <v>51</v>
      </c>
      <c r="L21">
        <v>51</v>
      </c>
      <c r="M21">
        <v>1</v>
      </c>
      <c r="N21">
        <v>1</v>
      </c>
      <c r="O21">
        <v>18759</v>
      </c>
      <c r="P21">
        <v>5444</v>
      </c>
      <c r="Q21">
        <v>0</v>
      </c>
      <c r="R21">
        <v>0</v>
      </c>
      <c r="AH21" t="s">
        <v>397</v>
      </c>
      <c r="AI21">
        <v>6792</v>
      </c>
      <c r="AJ21">
        <v>403.20008833920002</v>
      </c>
      <c r="AK21">
        <v>5965</v>
      </c>
      <c r="AL21">
        <v>1558</v>
      </c>
      <c r="AM21">
        <v>9443</v>
      </c>
      <c r="AN21">
        <v>5861</v>
      </c>
      <c r="AO21">
        <v>741</v>
      </c>
      <c r="AP21">
        <v>568</v>
      </c>
      <c r="AQ21">
        <v>1374</v>
      </c>
      <c r="AR21">
        <v>610</v>
      </c>
      <c r="AS21">
        <v>7</v>
      </c>
      <c r="AT21">
        <v>310</v>
      </c>
      <c r="AV21" t="s">
        <v>386</v>
      </c>
      <c r="AW21">
        <v>343</v>
      </c>
      <c r="AX21">
        <v>99.915451895000004</v>
      </c>
      <c r="AY21">
        <v>406</v>
      </c>
      <c r="AZ21">
        <v>88</v>
      </c>
      <c r="BA21">
        <v>521</v>
      </c>
      <c r="BB21">
        <v>165</v>
      </c>
      <c r="BC21">
        <v>19</v>
      </c>
      <c r="BD21">
        <v>18</v>
      </c>
      <c r="BE21">
        <v>156</v>
      </c>
      <c r="BF21">
        <v>21</v>
      </c>
      <c r="BG21">
        <v>61</v>
      </c>
      <c r="BH21">
        <v>150</v>
      </c>
      <c r="BJ21" t="s">
        <v>588</v>
      </c>
      <c r="BK21" t="s">
        <v>400</v>
      </c>
      <c r="BL21">
        <v>1870</v>
      </c>
      <c r="BM21">
        <v>314</v>
      </c>
      <c r="BN21">
        <v>77.635828876999994</v>
      </c>
      <c r="BO21">
        <v>6506</v>
      </c>
      <c r="BP21">
        <v>681</v>
      </c>
      <c r="BQ21">
        <v>122.5250537965</v>
      </c>
      <c r="BR21">
        <v>113.9001468429</v>
      </c>
      <c r="BS21">
        <v>5222</v>
      </c>
      <c r="BT21">
        <v>1536</v>
      </c>
      <c r="BU21">
        <v>113.15338950589999</v>
      </c>
      <c r="BV21">
        <v>17629</v>
      </c>
      <c r="BW21">
        <v>1612</v>
      </c>
      <c r="BX21">
        <v>174.5262919054</v>
      </c>
      <c r="BY21">
        <v>140.07940446649999</v>
      </c>
      <c r="CA21" t="s">
        <v>405</v>
      </c>
      <c r="CB21" t="s">
        <v>817</v>
      </c>
      <c r="CC21" t="s">
        <v>1019</v>
      </c>
      <c r="CD21">
        <v>7574</v>
      </c>
      <c r="CE21">
        <v>2201</v>
      </c>
      <c r="CF21">
        <v>108.1425930816</v>
      </c>
      <c r="CG21">
        <v>23333</v>
      </c>
      <c r="CH21">
        <v>1763</v>
      </c>
      <c r="CI21">
        <v>171.38713410189999</v>
      </c>
      <c r="CJ21">
        <v>153.0555870675</v>
      </c>
      <c r="CL21" t="s">
        <v>405</v>
      </c>
      <c r="CM21" t="s">
        <v>792</v>
      </c>
      <c r="CN21" t="s">
        <v>796</v>
      </c>
      <c r="CO21">
        <v>648</v>
      </c>
      <c r="CP21">
        <v>57</v>
      </c>
      <c r="CQ21">
        <v>59.223765432100002</v>
      </c>
      <c r="CR21">
        <v>4597</v>
      </c>
      <c r="CS21">
        <v>224</v>
      </c>
      <c r="CT21">
        <v>57.771807700700002</v>
      </c>
      <c r="CU21">
        <v>54.267857142899999</v>
      </c>
      <c r="CW21" t="s">
        <v>405</v>
      </c>
      <c r="CX21" t="s">
        <v>805</v>
      </c>
      <c r="CY21" t="s">
        <v>809</v>
      </c>
      <c r="CZ21">
        <v>132</v>
      </c>
      <c r="DA21">
        <v>13</v>
      </c>
      <c r="DB21">
        <v>68.409090909100001</v>
      </c>
      <c r="DC21">
        <v>357</v>
      </c>
      <c r="DD21">
        <v>17</v>
      </c>
      <c r="DE21">
        <v>137.80112044820001</v>
      </c>
      <c r="DF21">
        <v>121.0588235294</v>
      </c>
      <c r="DH21" t="s">
        <v>405</v>
      </c>
      <c r="DI21" t="s">
        <v>779</v>
      </c>
      <c r="DJ21" t="s">
        <v>783</v>
      </c>
      <c r="DK21">
        <v>106</v>
      </c>
      <c r="DL21">
        <v>12</v>
      </c>
      <c r="DM21">
        <v>74.716981132100003</v>
      </c>
      <c r="DN21">
        <v>235</v>
      </c>
      <c r="DO21">
        <v>20</v>
      </c>
      <c r="DP21">
        <v>143.6127659574</v>
      </c>
      <c r="DQ21">
        <v>108.85</v>
      </c>
    </row>
    <row r="22" spans="2:121" x14ac:dyDescent="0.2">
      <c r="B22" t="s">
        <v>115</v>
      </c>
      <c r="C22">
        <v>18891</v>
      </c>
      <c r="D22">
        <v>16272</v>
      </c>
      <c r="F22" t="s">
        <v>47</v>
      </c>
      <c r="G22">
        <v>1846</v>
      </c>
      <c r="H22">
        <v>231.93391115930001</v>
      </c>
      <c r="I22">
        <v>1859</v>
      </c>
      <c r="J22">
        <v>475</v>
      </c>
      <c r="K22">
        <v>3469</v>
      </c>
      <c r="L22">
        <v>1721</v>
      </c>
      <c r="M22">
        <v>375</v>
      </c>
      <c r="N22">
        <v>300</v>
      </c>
      <c r="O22">
        <v>713</v>
      </c>
      <c r="P22">
        <v>488</v>
      </c>
      <c r="Q22">
        <v>0</v>
      </c>
      <c r="R22">
        <v>3</v>
      </c>
      <c r="AH22" t="s">
        <v>426</v>
      </c>
      <c r="AI22">
        <v>1587</v>
      </c>
      <c r="AJ22">
        <v>259.23881537490001</v>
      </c>
      <c r="AK22">
        <v>1313</v>
      </c>
      <c r="AL22">
        <v>207</v>
      </c>
      <c r="AM22">
        <v>2184</v>
      </c>
      <c r="AN22">
        <v>1078</v>
      </c>
      <c r="AO22">
        <v>909</v>
      </c>
      <c r="AP22">
        <v>513</v>
      </c>
      <c r="AQ22">
        <v>316</v>
      </c>
      <c r="AR22">
        <v>175</v>
      </c>
      <c r="AS22">
        <v>254</v>
      </c>
      <c r="AT22">
        <v>2</v>
      </c>
      <c r="AV22" t="s">
        <v>432</v>
      </c>
      <c r="AW22">
        <v>46</v>
      </c>
      <c r="AX22">
        <v>43.347826087000001</v>
      </c>
      <c r="AY22">
        <v>273</v>
      </c>
      <c r="AZ22">
        <v>16</v>
      </c>
      <c r="BA22">
        <v>116</v>
      </c>
      <c r="BB22">
        <v>6</v>
      </c>
      <c r="BC22">
        <v>2</v>
      </c>
      <c r="BD22">
        <v>2</v>
      </c>
      <c r="BE22">
        <v>10</v>
      </c>
      <c r="BF22">
        <v>2</v>
      </c>
      <c r="BG22">
        <v>125</v>
      </c>
      <c r="BH22">
        <v>40</v>
      </c>
      <c r="BJ22" t="s">
        <v>400</v>
      </c>
      <c r="BK22" t="s">
        <v>400</v>
      </c>
      <c r="BL22">
        <v>53068</v>
      </c>
      <c r="BM22">
        <v>13480</v>
      </c>
      <c r="BN22">
        <v>101.6620185422</v>
      </c>
      <c r="BO22">
        <v>174028</v>
      </c>
      <c r="BP22">
        <v>12446</v>
      </c>
      <c r="BQ22">
        <v>175.7879823936</v>
      </c>
      <c r="BR22">
        <v>151.2358187369</v>
      </c>
      <c r="BS22">
        <v>61115</v>
      </c>
      <c r="BT22">
        <v>18693</v>
      </c>
      <c r="BU22">
        <v>114.3045733453</v>
      </c>
      <c r="BV22">
        <v>204350</v>
      </c>
      <c r="BW22">
        <v>14839</v>
      </c>
      <c r="BX22">
        <v>184.05425984830001</v>
      </c>
      <c r="BY22">
        <v>161.0558662983</v>
      </c>
      <c r="CA22" t="s">
        <v>411</v>
      </c>
      <c r="CB22" t="s">
        <v>817</v>
      </c>
      <c r="CC22" t="s">
        <v>1020</v>
      </c>
      <c r="CD22">
        <v>5486</v>
      </c>
      <c r="CE22">
        <v>1268</v>
      </c>
      <c r="CF22">
        <v>92.230586948600006</v>
      </c>
      <c r="CG22">
        <v>17217</v>
      </c>
      <c r="CH22">
        <v>1154</v>
      </c>
      <c r="CI22">
        <v>142.48086193879999</v>
      </c>
      <c r="CJ22">
        <v>132.30849220100001</v>
      </c>
      <c r="CL22" t="s">
        <v>411</v>
      </c>
      <c r="CM22" t="s">
        <v>792</v>
      </c>
      <c r="CN22" t="s">
        <v>797</v>
      </c>
      <c r="CO22">
        <v>301</v>
      </c>
      <c r="CP22">
        <v>15</v>
      </c>
      <c r="CQ22">
        <v>52.063122923599998</v>
      </c>
      <c r="CR22">
        <v>1805</v>
      </c>
      <c r="CS22">
        <v>118</v>
      </c>
      <c r="CT22">
        <v>52.542936288100002</v>
      </c>
      <c r="CU22">
        <v>54.5508474576</v>
      </c>
      <c r="CW22" t="s">
        <v>411</v>
      </c>
      <c r="CX22" t="s">
        <v>805</v>
      </c>
      <c r="CY22" t="s">
        <v>810</v>
      </c>
      <c r="CZ22">
        <v>59</v>
      </c>
      <c r="DA22">
        <v>2</v>
      </c>
      <c r="DB22">
        <v>53.271186440699999</v>
      </c>
      <c r="DC22">
        <v>180</v>
      </c>
      <c r="DD22">
        <v>4</v>
      </c>
      <c r="DE22">
        <v>127.8222222222</v>
      </c>
      <c r="DF22">
        <v>129</v>
      </c>
      <c r="DH22" t="s">
        <v>411</v>
      </c>
      <c r="DI22" t="s">
        <v>779</v>
      </c>
      <c r="DJ22" t="s">
        <v>784</v>
      </c>
      <c r="DK22">
        <v>23</v>
      </c>
      <c r="DL22">
        <v>1</v>
      </c>
      <c r="DM22">
        <v>44.5217391304</v>
      </c>
      <c r="DN22">
        <v>95</v>
      </c>
      <c r="DO22">
        <v>4</v>
      </c>
      <c r="DP22">
        <v>145.42105263159999</v>
      </c>
      <c r="DQ22">
        <v>96</v>
      </c>
    </row>
    <row r="23" spans="2:121" x14ac:dyDescent="0.2">
      <c r="B23" t="s">
        <v>116</v>
      </c>
      <c r="C23">
        <v>1778</v>
      </c>
      <c r="D23">
        <v>473</v>
      </c>
      <c r="F23" t="s">
        <v>46</v>
      </c>
      <c r="G23">
        <v>175</v>
      </c>
      <c r="H23">
        <v>53.5942857143</v>
      </c>
      <c r="I23">
        <v>825</v>
      </c>
      <c r="J23">
        <v>172</v>
      </c>
      <c r="K23">
        <v>574</v>
      </c>
      <c r="L23">
        <v>29</v>
      </c>
      <c r="M23">
        <v>73</v>
      </c>
      <c r="N23">
        <v>20</v>
      </c>
      <c r="O23">
        <v>43</v>
      </c>
      <c r="P23">
        <v>13</v>
      </c>
      <c r="Q23">
        <v>0</v>
      </c>
      <c r="R23">
        <v>0</v>
      </c>
      <c r="AH23" t="s">
        <v>386</v>
      </c>
      <c r="AI23">
        <v>8669</v>
      </c>
      <c r="AJ23">
        <v>575.30349521280004</v>
      </c>
      <c r="AK23">
        <v>5707</v>
      </c>
      <c r="AL23">
        <v>1608</v>
      </c>
      <c r="AM23">
        <v>10715</v>
      </c>
      <c r="AN23">
        <v>8095</v>
      </c>
      <c r="AO23">
        <v>1257</v>
      </c>
      <c r="AP23">
        <v>1044</v>
      </c>
      <c r="AQ23">
        <v>6600</v>
      </c>
      <c r="AR23">
        <v>5414</v>
      </c>
      <c r="AS23">
        <v>314</v>
      </c>
      <c r="AT23">
        <v>7</v>
      </c>
      <c r="AV23" t="s">
        <v>413</v>
      </c>
      <c r="AW23">
        <v>76</v>
      </c>
      <c r="AX23">
        <v>40.644736842100002</v>
      </c>
      <c r="AY23">
        <v>231</v>
      </c>
      <c r="AZ23">
        <v>11</v>
      </c>
      <c r="BA23">
        <v>174</v>
      </c>
      <c r="BB23">
        <v>17</v>
      </c>
      <c r="BC23">
        <v>4</v>
      </c>
      <c r="BD23">
        <v>4</v>
      </c>
      <c r="BE23">
        <v>19</v>
      </c>
      <c r="BF23">
        <v>9</v>
      </c>
      <c r="BG23">
        <v>229</v>
      </c>
      <c r="BH23">
        <v>43</v>
      </c>
      <c r="BJ23" t="s">
        <v>581</v>
      </c>
      <c r="BK23" t="s">
        <v>400</v>
      </c>
      <c r="BL23">
        <v>3838</v>
      </c>
      <c r="BM23">
        <v>928</v>
      </c>
      <c r="BN23">
        <v>93.627410109400003</v>
      </c>
      <c r="BO23">
        <v>13411</v>
      </c>
      <c r="BP23">
        <v>1010</v>
      </c>
      <c r="BQ23">
        <v>155.92513608230001</v>
      </c>
      <c r="BR23">
        <v>135.0841584158</v>
      </c>
      <c r="BS23">
        <v>5242</v>
      </c>
      <c r="BT23">
        <v>1674</v>
      </c>
      <c r="BU23">
        <v>114.4656619611</v>
      </c>
      <c r="BV23">
        <v>16940</v>
      </c>
      <c r="BW23">
        <v>1332</v>
      </c>
      <c r="BX23">
        <v>169.57945690669999</v>
      </c>
      <c r="BY23">
        <v>159.03678678680001</v>
      </c>
      <c r="CA23" t="s">
        <v>407</v>
      </c>
      <c r="CB23" t="s">
        <v>817</v>
      </c>
      <c r="CC23" t="s">
        <v>1021</v>
      </c>
      <c r="CD23">
        <v>5295</v>
      </c>
      <c r="CE23">
        <v>1151</v>
      </c>
      <c r="CF23">
        <v>93.457034938600003</v>
      </c>
      <c r="CG23">
        <v>22455</v>
      </c>
      <c r="CH23">
        <v>1401</v>
      </c>
      <c r="CI23">
        <v>171.8657759964</v>
      </c>
      <c r="CJ23">
        <v>134.53319057819999</v>
      </c>
      <c r="CL23" t="s">
        <v>407</v>
      </c>
      <c r="CM23" t="s">
        <v>792</v>
      </c>
      <c r="CN23" t="s">
        <v>798</v>
      </c>
      <c r="CO23">
        <v>443</v>
      </c>
      <c r="CP23">
        <v>48</v>
      </c>
      <c r="CQ23">
        <v>58.839729119600001</v>
      </c>
      <c r="CR23">
        <v>3031</v>
      </c>
      <c r="CS23">
        <v>126</v>
      </c>
      <c r="CT23">
        <v>53.116133289300002</v>
      </c>
      <c r="CU23">
        <v>50.769841269799997</v>
      </c>
      <c r="CW23" t="s">
        <v>407</v>
      </c>
      <c r="CX23" t="s">
        <v>805</v>
      </c>
      <c r="CY23" t="s">
        <v>811</v>
      </c>
      <c r="CZ23">
        <v>157</v>
      </c>
      <c r="DA23">
        <v>19</v>
      </c>
      <c r="DB23">
        <v>64.668789808900002</v>
      </c>
      <c r="DC23">
        <v>404</v>
      </c>
      <c r="DD23">
        <v>23</v>
      </c>
      <c r="DE23">
        <v>125.1410891089</v>
      </c>
      <c r="DF23">
        <v>121.9565217391</v>
      </c>
      <c r="DH23" t="s">
        <v>407</v>
      </c>
      <c r="DI23" t="s">
        <v>779</v>
      </c>
      <c r="DJ23" t="s">
        <v>785</v>
      </c>
      <c r="DK23">
        <v>112</v>
      </c>
      <c r="DL23">
        <v>17</v>
      </c>
      <c r="DM23">
        <v>68.633928571400006</v>
      </c>
      <c r="DN23">
        <v>444</v>
      </c>
      <c r="DO23">
        <v>30</v>
      </c>
      <c r="DP23">
        <v>162.3130630631</v>
      </c>
      <c r="DQ23">
        <v>128.4</v>
      </c>
    </row>
    <row r="24" spans="2:121" x14ac:dyDescent="0.2">
      <c r="B24" t="s">
        <v>110</v>
      </c>
      <c r="C24">
        <v>51</v>
      </c>
      <c r="D24">
        <v>51</v>
      </c>
      <c r="F24" t="s">
        <v>38</v>
      </c>
      <c r="G24">
        <v>4580</v>
      </c>
      <c r="H24">
        <v>519.94628820959997</v>
      </c>
      <c r="I24">
        <v>3502</v>
      </c>
      <c r="J24">
        <v>1029</v>
      </c>
      <c r="K24">
        <v>6095</v>
      </c>
      <c r="L24">
        <v>4459</v>
      </c>
      <c r="M24">
        <v>2104</v>
      </c>
      <c r="N24">
        <v>1935</v>
      </c>
      <c r="O24">
        <v>879</v>
      </c>
      <c r="P24">
        <v>746</v>
      </c>
      <c r="Q24">
        <v>2</v>
      </c>
      <c r="R24">
        <v>11</v>
      </c>
      <c r="T24" t="s">
        <v>657</v>
      </c>
      <c r="U24" t="s">
        <v>315</v>
      </c>
      <c r="V24" t="s">
        <v>139</v>
      </c>
      <c r="W24" t="s">
        <v>222</v>
      </c>
      <c r="X24" t="s">
        <v>223</v>
      </c>
      <c r="Y24" t="s">
        <v>224</v>
      </c>
      <c r="Z24" t="s">
        <v>225</v>
      </c>
      <c r="AA24" t="s">
        <v>226</v>
      </c>
      <c r="AB24" t="s">
        <v>227</v>
      </c>
      <c r="AC24" t="s">
        <v>228</v>
      </c>
      <c r="AD24" t="s">
        <v>229</v>
      </c>
      <c r="AE24" t="s">
        <v>230</v>
      </c>
      <c r="AF24" t="s">
        <v>231</v>
      </c>
      <c r="AH24" t="s">
        <v>381</v>
      </c>
      <c r="AI24">
        <v>5196</v>
      </c>
      <c r="AJ24">
        <v>468.82525019249999</v>
      </c>
      <c r="AK24">
        <v>4463</v>
      </c>
      <c r="AL24">
        <v>1304</v>
      </c>
      <c r="AM24">
        <v>7941</v>
      </c>
      <c r="AN24">
        <v>4948</v>
      </c>
      <c r="AO24">
        <v>2620</v>
      </c>
      <c r="AP24">
        <v>1851</v>
      </c>
      <c r="AQ24">
        <v>1326</v>
      </c>
      <c r="AR24">
        <v>995</v>
      </c>
      <c r="AS24">
        <v>510</v>
      </c>
      <c r="AT24">
        <v>13</v>
      </c>
      <c r="AV24" t="s">
        <v>83</v>
      </c>
      <c r="AW24">
        <v>108</v>
      </c>
      <c r="AX24">
        <v>47.509259259300002</v>
      </c>
      <c r="AY24">
        <v>515</v>
      </c>
      <c r="AZ24">
        <v>23</v>
      </c>
      <c r="BA24">
        <v>273</v>
      </c>
      <c r="BB24">
        <v>30</v>
      </c>
      <c r="BC24">
        <v>1</v>
      </c>
      <c r="BD24">
        <v>1</v>
      </c>
      <c r="BE24">
        <v>23</v>
      </c>
      <c r="BF24">
        <v>10</v>
      </c>
      <c r="BG24">
        <v>277</v>
      </c>
      <c r="BH24">
        <v>72</v>
      </c>
      <c r="BJ24" t="s">
        <v>645</v>
      </c>
      <c r="BK24" t="s">
        <v>400</v>
      </c>
      <c r="BL24">
        <v>889</v>
      </c>
      <c r="BM24">
        <v>193</v>
      </c>
      <c r="BN24">
        <v>88.033745781799993</v>
      </c>
      <c r="BO24">
        <v>3289</v>
      </c>
      <c r="BP24">
        <v>211</v>
      </c>
      <c r="BQ24">
        <v>137.1650957738</v>
      </c>
      <c r="BR24">
        <v>131.1563981043</v>
      </c>
      <c r="BS24">
        <v>1435</v>
      </c>
      <c r="BT24">
        <v>550</v>
      </c>
      <c r="BU24">
        <v>138.11010452959999</v>
      </c>
      <c r="BV24">
        <v>5804</v>
      </c>
      <c r="BW24">
        <v>381</v>
      </c>
      <c r="BX24">
        <v>177.34631288770001</v>
      </c>
      <c r="BY24">
        <v>193.01837270339999</v>
      </c>
      <c r="CA24" t="s">
        <v>410</v>
      </c>
      <c r="CB24" t="s">
        <v>817</v>
      </c>
      <c r="CC24" t="s">
        <v>1022</v>
      </c>
      <c r="CD24">
        <v>1906</v>
      </c>
      <c r="CE24">
        <v>313</v>
      </c>
      <c r="CF24">
        <v>76.863064008400002</v>
      </c>
      <c r="CG24">
        <v>6832</v>
      </c>
      <c r="CH24">
        <v>686</v>
      </c>
      <c r="CI24">
        <v>121.6491510539</v>
      </c>
      <c r="CJ24">
        <v>113.51895043730001</v>
      </c>
      <c r="CL24" t="s">
        <v>410</v>
      </c>
      <c r="CM24" t="s">
        <v>792</v>
      </c>
      <c r="CN24" t="s">
        <v>799</v>
      </c>
      <c r="CO24">
        <v>116</v>
      </c>
      <c r="CP24">
        <v>8</v>
      </c>
      <c r="CQ24">
        <v>59.474137931000001</v>
      </c>
      <c r="CR24">
        <v>701</v>
      </c>
      <c r="CS24">
        <v>55</v>
      </c>
      <c r="CT24">
        <v>60.148359486399997</v>
      </c>
      <c r="CU24">
        <v>62.527272727300002</v>
      </c>
      <c r="CW24" t="s">
        <v>410</v>
      </c>
      <c r="CX24" t="s">
        <v>805</v>
      </c>
      <c r="CY24" t="s">
        <v>812</v>
      </c>
      <c r="CZ24">
        <v>39</v>
      </c>
      <c r="DA24">
        <v>2</v>
      </c>
      <c r="DB24">
        <v>51.461538461499998</v>
      </c>
      <c r="DC24">
        <v>164</v>
      </c>
      <c r="DD24">
        <v>5</v>
      </c>
      <c r="DE24">
        <v>105.64634146340001</v>
      </c>
      <c r="DF24">
        <v>52.4</v>
      </c>
      <c r="DH24" t="s">
        <v>410</v>
      </c>
      <c r="DI24" t="s">
        <v>779</v>
      </c>
      <c r="DJ24" t="s">
        <v>786</v>
      </c>
      <c r="DK24">
        <v>65</v>
      </c>
      <c r="DL24">
        <v>3</v>
      </c>
      <c r="DM24">
        <v>59.107692307699999</v>
      </c>
      <c r="DN24">
        <v>257</v>
      </c>
      <c r="DO24">
        <v>14</v>
      </c>
      <c r="DP24">
        <v>149.95330739299999</v>
      </c>
      <c r="DQ24">
        <v>124.3571428571</v>
      </c>
    </row>
    <row r="25" spans="2:121" x14ac:dyDescent="0.2">
      <c r="B25" t="s">
        <v>108</v>
      </c>
      <c r="C25">
        <v>47</v>
      </c>
      <c r="D25">
        <v>47</v>
      </c>
      <c r="F25" t="s">
        <v>82</v>
      </c>
      <c r="G25">
        <v>13696</v>
      </c>
      <c r="H25">
        <v>297.59615946259999</v>
      </c>
      <c r="I25">
        <v>17432</v>
      </c>
      <c r="J25">
        <v>5128</v>
      </c>
      <c r="K25">
        <v>16364</v>
      </c>
      <c r="L25">
        <v>9155</v>
      </c>
      <c r="M25">
        <v>1541</v>
      </c>
      <c r="N25">
        <v>1113</v>
      </c>
      <c r="O25">
        <v>2906</v>
      </c>
      <c r="P25">
        <v>1300</v>
      </c>
      <c r="Q25">
        <v>2</v>
      </c>
      <c r="R25">
        <v>224</v>
      </c>
      <c r="T25" t="s">
        <v>395</v>
      </c>
      <c r="U25">
        <v>66306</v>
      </c>
      <c r="V25">
        <v>344.18227611380001</v>
      </c>
      <c r="W25">
        <v>69146</v>
      </c>
      <c r="X25">
        <v>19661</v>
      </c>
      <c r="Y25">
        <v>95208</v>
      </c>
      <c r="Z25">
        <v>54350</v>
      </c>
      <c r="AA25">
        <v>13443</v>
      </c>
      <c r="AB25">
        <v>9519</v>
      </c>
      <c r="AC25">
        <v>24692</v>
      </c>
      <c r="AD25">
        <v>15454</v>
      </c>
      <c r="AE25">
        <v>103</v>
      </c>
      <c r="AF25">
        <v>1207</v>
      </c>
      <c r="AH25" t="s">
        <v>405</v>
      </c>
      <c r="AI25">
        <v>3955</v>
      </c>
      <c r="AJ25">
        <v>252.44905183309999</v>
      </c>
      <c r="AK25">
        <v>7661</v>
      </c>
      <c r="AL25">
        <v>2173</v>
      </c>
      <c r="AM25">
        <v>7800</v>
      </c>
      <c r="AN25">
        <v>3437</v>
      </c>
      <c r="AO25">
        <v>975</v>
      </c>
      <c r="AP25">
        <v>792</v>
      </c>
      <c r="AQ25">
        <v>1223</v>
      </c>
      <c r="AR25">
        <v>740</v>
      </c>
      <c r="AS25">
        <v>29</v>
      </c>
      <c r="AT25">
        <v>198</v>
      </c>
      <c r="AV25" t="s">
        <v>417</v>
      </c>
      <c r="AW25">
        <v>534</v>
      </c>
      <c r="AX25">
        <v>41.951310861400003</v>
      </c>
      <c r="AY25">
        <v>2105</v>
      </c>
      <c r="AZ25">
        <v>67</v>
      </c>
      <c r="BA25">
        <v>979</v>
      </c>
      <c r="BB25">
        <v>71</v>
      </c>
      <c r="BC25">
        <v>12</v>
      </c>
      <c r="BD25">
        <v>11</v>
      </c>
      <c r="BE25">
        <v>79</v>
      </c>
      <c r="BF25">
        <v>43</v>
      </c>
      <c r="BG25">
        <v>906</v>
      </c>
      <c r="BH25">
        <v>318</v>
      </c>
      <c r="BJ25" t="s">
        <v>584</v>
      </c>
      <c r="BK25" t="s">
        <v>400</v>
      </c>
      <c r="BL25">
        <v>5112</v>
      </c>
      <c r="BM25">
        <v>1063</v>
      </c>
      <c r="BN25">
        <v>90.618935837199999</v>
      </c>
      <c r="BO25">
        <v>21057</v>
      </c>
      <c r="BP25">
        <v>1350</v>
      </c>
      <c r="BQ25">
        <v>177.13387472100001</v>
      </c>
      <c r="BR25">
        <v>136.6296296296</v>
      </c>
      <c r="BS25">
        <v>5337</v>
      </c>
      <c r="BT25">
        <v>1134</v>
      </c>
      <c r="BU25">
        <v>92.802323402699997</v>
      </c>
      <c r="BV25">
        <v>21989</v>
      </c>
      <c r="BW25">
        <v>1461</v>
      </c>
      <c r="BX25">
        <v>179.09300104600001</v>
      </c>
      <c r="BY25">
        <v>141.0855578371</v>
      </c>
      <c r="CA25" t="s">
        <v>429</v>
      </c>
      <c r="CB25" t="s">
        <v>817</v>
      </c>
      <c r="CC25" t="s">
        <v>1023</v>
      </c>
      <c r="CD25">
        <v>657</v>
      </c>
      <c r="CE25">
        <v>123</v>
      </c>
      <c r="CF25">
        <v>83.403348554000004</v>
      </c>
      <c r="CG25">
        <v>2496</v>
      </c>
      <c r="CH25">
        <v>167</v>
      </c>
      <c r="CI25">
        <v>131.4375</v>
      </c>
      <c r="CJ25">
        <v>113.6826347305</v>
      </c>
      <c r="CL25" t="s">
        <v>429</v>
      </c>
      <c r="CM25" t="s">
        <v>792</v>
      </c>
      <c r="CN25" t="s">
        <v>800</v>
      </c>
      <c r="CO25">
        <v>41</v>
      </c>
      <c r="CP25">
        <v>2</v>
      </c>
      <c r="CQ25">
        <v>52.3414634146</v>
      </c>
      <c r="CR25">
        <v>213</v>
      </c>
      <c r="CS25">
        <v>7</v>
      </c>
      <c r="CT25">
        <v>51.145539906099998</v>
      </c>
      <c r="CU25">
        <v>78.571428571400006</v>
      </c>
      <c r="CW25" t="s">
        <v>429</v>
      </c>
      <c r="CX25" t="s">
        <v>805</v>
      </c>
      <c r="CY25" t="s">
        <v>813</v>
      </c>
      <c r="CZ25">
        <v>14</v>
      </c>
      <c r="DA25">
        <v>1</v>
      </c>
      <c r="DB25">
        <v>51.785714285700003</v>
      </c>
      <c r="DC25">
        <v>46</v>
      </c>
      <c r="DD25">
        <v>6</v>
      </c>
      <c r="DE25">
        <v>111.2391304348</v>
      </c>
      <c r="DF25">
        <v>24.333333333300001</v>
      </c>
      <c r="DH25" t="s">
        <v>429</v>
      </c>
      <c r="DI25" t="s">
        <v>779</v>
      </c>
      <c r="DJ25" t="s">
        <v>787</v>
      </c>
      <c r="DK25">
        <v>7</v>
      </c>
      <c r="DL25">
        <v>3</v>
      </c>
      <c r="DM25">
        <v>95.857142857100001</v>
      </c>
      <c r="DN25">
        <v>25</v>
      </c>
      <c r="DO25">
        <v>1</v>
      </c>
      <c r="DP25">
        <v>178.08</v>
      </c>
      <c r="DQ25">
        <v>105</v>
      </c>
    </row>
    <row r="26" spans="2:121" x14ac:dyDescent="0.2">
      <c r="B26" t="s">
        <v>99</v>
      </c>
      <c r="C26">
        <v>131898</v>
      </c>
      <c r="D26">
        <v>54449</v>
      </c>
      <c r="F26" t="s">
        <v>42</v>
      </c>
      <c r="G26">
        <v>11703</v>
      </c>
      <c r="H26">
        <v>292.77270785270002</v>
      </c>
      <c r="I26">
        <v>8832</v>
      </c>
      <c r="J26">
        <v>2520</v>
      </c>
      <c r="K26">
        <v>21503</v>
      </c>
      <c r="L26">
        <v>12343</v>
      </c>
      <c r="M26">
        <v>2671</v>
      </c>
      <c r="N26">
        <v>1386</v>
      </c>
      <c r="O26">
        <v>1726</v>
      </c>
      <c r="P26">
        <v>1334</v>
      </c>
      <c r="Q26">
        <v>2</v>
      </c>
      <c r="R26">
        <v>58</v>
      </c>
      <c r="T26" t="s">
        <v>400</v>
      </c>
      <c r="U26">
        <v>48276</v>
      </c>
      <c r="V26">
        <v>399.7112643964</v>
      </c>
      <c r="W26">
        <v>52100</v>
      </c>
      <c r="X26">
        <v>13370</v>
      </c>
      <c r="Y26">
        <v>74686</v>
      </c>
      <c r="Z26">
        <v>42124</v>
      </c>
      <c r="AA26">
        <v>10034</v>
      </c>
      <c r="AB26">
        <v>8196</v>
      </c>
      <c r="AC26">
        <v>22252</v>
      </c>
      <c r="AD26">
        <v>14681</v>
      </c>
      <c r="AE26">
        <v>139</v>
      </c>
      <c r="AF26">
        <v>1183</v>
      </c>
      <c r="AH26" t="s">
        <v>411</v>
      </c>
      <c r="AI26">
        <v>1528</v>
      </c>
      <c r="AJ26">
        <v>196.80497382199999</v>
      </c>
      <c r="AK26">
        <v>5349</v>
      </c>
      <c r="AL26">
        <v>1274</v>
      </c>
      <c r="AM26">
        <v>4951</v>
      </c>
      <c r="AN26">
        <v>1198</v>
      </c>
      <c r="AO26">
        <v>330</v>
      </c>
      <c r="AP26">
        <v>241</v>
      </c>
      <c r="AQ26">
        <v>1194</v>
      </c>
      <c r="AR26">
        <v>598</v>
      </c>
      <c r="AS26">
        <v>5</v>
      </c>
      <c r="AT26">
        <v>2</v>
      </c>
      <c r="AV26" t="s">
        <v>407</v>
      </c>
      <c r="AW26">
        <v>383</v>
      </c>
      <c r="AX26">
        <v>65.741514360300002</v>
      </c>
      <c r="AY26">
        <v>538</v>
      </c>
      <c r="AZ26">
        <v>45</v>
      </c>
      <c r="BA26">
        <v>673</v>
      </c>
      <c r="BB26">
        <v>63</v>
      </c>
      <c r="BC26">
        <v>8</v>
      </c>
      <c r="BD26">
        <v>8</v>
      </c>
      <c r="BE26">
        <v>46</v>
      </c>
      <c r="BF26">
        <v>18</v>
      </c>
      <c r="BG26">
        <v>516</v>
      </c>
      <c r="BH26">
        <v>42</v>
      </c>
      <c r="BJ26" t="s">
        <v>590</v>
      </c>
      <c r="BK26" t="s">
        <v>400</v>
      </c>
      <c r="BL26">
        <v>7391</v>
      </c>
      <c r="BM26">
        <v>1890</v>
      </c>
      <c r="BN26">
        <v>99.554864023799993</v>
      </c>
      <c r="BO26">
        <v>21125</v>
      </c>
      <c r="BP26">
        <v>1537</v>
      </c>
      <c r="BQ26">
        <v>152.6566153846</v>
      </c>
      <c r="BR26">
        <v>145.02992843199999</v>
      </c>
      <c r="BS26">
        <v>9293</v>
      </c>
      <c r="BT26">
        <v>3529</v>
      </c>
      <c r="BU26">
        <v>121.9083180889</v>
      </c>
      <c r="BV26">
        <v>31419</v>
      </c>
      <c r="BW26">
        <v>2062</v>
      </c>
      <c r="BX26">
        <v>177.56551768040001</v>
      </c>
      <c r="BY26">
        <v>165.30310378269999</v>
      </c>
      <c r="CA26" t="s">
        <v>401</v>
      </c>
      <c r="CB26" t="s">
        <v>817</v>
      </c>
      <c r="CC26" t="s">
        <v>1024</v>
      </c>
      <c r="CD26">
        <v>8319</v>
      </c>
      <c r="CE26">
        <v>2188</v>
      </c>
      <c r="CF26">
        <v>105.28068277440001</v>
      </c>
      <c r="CG26">
        <v>28144</v>
      </c>
      <c r="CH26">
        <v>1800</v>
      </c>
      <c r="CI26">
        <v>161.35535105170001</v>
      </c>
      <c r="CJ26">
        <v>150.685</v>
      </c>
      <c r="CL26" t="s">
        <v>401</v>
      </c>
      <c r="CM26" t="s">
        <v>792</v>
      </c>
      <c r="CN26" t="s">
        <v>801</v>
      </c>
      <c r="CO26">
        <v>715</v>
      </c>
      <c r="CP26">
        <v>75</v>
      </c>
      <c r="CQ26">
        <v>59.766433566400003</v>
      </c>
      <c r="CR26">
        <v>5218</v>
      </c>
      <c r="CS26">
        <v>239</v>
      </c>
      <c r="CT26">
        <v>57.6124952089</v>
      </c>
      <c r="CU26">
        <v>59.849372384900001</v>
      </c>
      <c r="CW26" t="s">
        <v>401</v>
      </c>
      <c r="CX26" t="s">
        <v>805</v>
      </c>
      <c r="CY26" t="s">
        <v>814</v>
      </c>
      <c r="CZ26">
        <v>179</v>
      </c>
      <c r="DA26">
        <v>16</v>
      </c>
      <c r="DB26">
        <v>62.569832402199999</v>
      </c>
      <c r="DC26">
        <v>492</v>
      </c>
      <c r="DD26">
        <v>31</v>
      </c>
      <c r="DE26">
        <v>132.3780487805</v>
      </c>
      <c r="DF26">
        <v>121.70967741939999</v>
      </c>
      <c r="DH26" t="s">
        <v>401</v>
      </c>
      <c r="DI26" t="s">
        <v>779</v>
      </c>
      <c r="DJ26" t="s">
        <v>788</v>
      </c>
      <c r="DK26">
        <v>138</v>
      </c>
      <c r="DL26">
        <v>17</v>
      </c>
      <c r="DM26">
        <v>75.615942028999996</v>
      </c>
      <c r="DN26">
        <v>330</v>
      </c>
      <c r="DO26">
        <v>16</v>
      </c>
      <c r="DP26">
        <v>148.0121212121</v>
      </c>
      <c r="DQ26">
        <v>141.5</v>
      </c>
    </row>
    <row r="27" spans="2:121" x14ac:dyDescent="0.2">
      <c r="B27" t="s">
        <v>112</v>
      </c>
      <c r="C27">
        <v>23954</v>
      </c>
      <c r="D27">
        <v>8236</v>
      </c>
      <c r="F27" t="s">
        <v>58</v>
      </c>
      <c r="G27">
        <v>716</v>
      </c>
      <c r="H27">
        <v>149.3826815642</v>
      </c>
      <c r="I27">
        <v>968</v>
      </c>
      <c r="J27">
        <v>320</v>
      </c>
      <c r="K27">
        <v>943</v>
      </c>
      <c r="L27">
        <v>367</v>
      </c>
      <c r="M27">
        <v>155</v>
      </c>
      <c r="N27">
        <v>125</v>
      </c>
      <c r="O27">
        <v>659</v>
      </c>
      <c r="P27">
        <v>452</v>
      </c>
      <c r="Q27">
        <v>339</v>
      </c>
      <c r="R27">
        <v>135</v>
      </c>
      <c r="T27" t="s">
        <v>379</v>
      </c>
      <c r="U27">
        <v>73297</v>
      </c>
      <c r="V27">
        <v>407.84682865600001</v>
      </c>
      <c r="W27">
        <v>74150</v>
      </c>
      <c r="X27">
        <v>21773</v>
      </c>
      <c r="Y27">
        <v>102791</v>
      </c>
      <c r="Z27">
        <v>63623</v>
      </c>
      <c r="AA27">
        <v>19192</v>
      </c>
      <c r="AB27">
        <v>14561</v>
      </c>
      <c r="AC27">
        <v>34585</v>
      </c>
      <c r="AD27">
        <v>22014</v>
      </c>
      <c r="AE27">
        <v>5772</v>
      </c>
      <c r="AF27">
        <v>165</v>
      </c>
      <c r="AH27" t="s">
        <v>399</v>
      </c>
      <c r="AI27">
        <v>5098</v>
      </c>
      <c r="AJ27">
        <v>372.72910945469999</v>
      </c>
      <c r="AK27">
        <v>3774</v>
      </c>
      <c r="AL27">
        <v>1218</v>
      </c>
      <c r="AM27">
        <v>7115</v>
      </c>
      <c r="AN27">
        <v>4830</v>
      </c>
      <c r="AO27">
        <v>949</v>
      </c>
      <c r="AP27">
        <v>793</v>
      </c>
      <c r="AQ27">
        <v>2420</v>
      </c>
      <c r="AR27">
        <v>1495</v>
      </c>
      <c r="AS27">
        <v>12</v>
      </c>
      <c r="AT27">
        <v>145</v>
      </c>
      <c r="AV27" t="s">
        <v>384</v>
      </c>
      <c r="AW27">
        <v>406</v>
      </c>
      <c r="AX27">
        <v>96.327586206899994</v>
      </c>
      <c r="AY27">
        <v>497</v>
      </c>
      <c r="AZ27">
        <v>119</v>
      </c>
      <c r="BA27">
        <v>617</v>
      </c>
      <c r="BB27">
        <v>177</v>
      </c>
      <c r="BC27">
        <v>16</v>
      </c>
      <c r="BD27">
        <v>16</v>
      </c>
      <c r="BE27">
        <v>187</v>
      </c>
      <c r="BF27">
        <v>35</v>
      </c>
      <c r="BG27">
        <v>65</v>
      </c>
      <c r="BH27">
        <v>185</v>
      </c>
      <c r="BJ27" t="s">
        <v>649</v>
      </c>
      <c r="BK27" t="s">
        <v>400</v>
      </c>
      <c r="BL27">
        <v>2633</v>
      </c>
      <c r="BM27">
        <v>593</v>
      </c>
      <c r="BN27">
        <v>94.872009115099999</v>
      </c>
      <c r="BO27">
        <v>7281</v>
      </c>
      <c r="BP27">
        <v>487</v>
      </c>
      <c r="BQ27">
        <v>178.31836286219999</v>
      </c>
      <c r="BR27">
        <v>152.55030800820001</v>
      </c>
      <c r="BS27">
        <v>2871</v>
      </c>
      <c r="BT27">
        <v>644</v>
      </c>
      <c r="BU27">
        <v>97.424590734899994</v>
      </c>
      <c r="BV27">
        <v>7113</v>
      </c>
      <c r="BW27">
        <v>481</v>
      </c>
      <c r="BX27">
        <v>178.7283846478</v>
      </c>
      <c r="BY27">
        <v>152.84199584199999</v>
      </c>
      <c r="CA27" t="s">
        <v>430</v>
      </c>
      <c r="CB27" t="s">
        <v>817</v>
      </c>
      <c r="CC27" t="s">
        <v>1025</v>
      </c>
      <c r="CD27">
        <v>920</v>
      </c>
      <c r="CE27">
        <v>213</v>
      </c>
      <c r="CF27">
        <v>92.259782608699993</v>
      </c>
      <c r="CG27">
        <v>3440</v>
      </c>
      <c r="CH27">
        <v>224</v>
      </c>
      <c r="CI27">
        <v>134.41453488369999</v>
      </c>
      <c r="CJ27">
        <v>124.8883928571</v>
      </c>
      <c r="CL27" t="s">
        <v>430</v>
      </c>
      <c r="CM27" t="s">
        <v>792</v>
      </c>
      <c r="CN27" t="s">
        <v>802</v>
      </c>
      <c r="CO27">
        <v>55</v>
      </c>
      <c r="CP27">
        <v>5</v>
      </c>
      <c r="CQ27">
        <v>54.2363636364</v>
      </c>
      <c r="CR27">
        <v>388</v>
      </c>
      <c r="CS27">
        <v>32</v>
      </c>
      <c r="CT27">
        <v>53.969072164899998</v>
      </c>
      <c r="CU27">
        <v>61</v>
      </c>
      <c r="CW27" t="s">
        <v>430</v>
      </c>
      <c r="CX27" t="s">
        <v>805</v>
      </c>
      <c r="CY27" t="s">
        <v>815</v>
      </c>
      <c r="CZ27">
        <v>6</v>
      </c>
      <c r="DA27">
        <v>1</v>
      </c>
      <c r="DB27">
        <v>74.333333333300004</v>
      </c>
      <c r="DC27">
        <v>46</v>
      </c>
      <c r="DD27">
        <v>3</v>
      </c>
      <c r="DE27">
        <v>121.9347826087</v>
      </c>
      <c r="DF27">
        <v>93.333333333300004</v>
      </c>
      <c r="DH27" t="s">
        <v>430</v>
      </c>
      <c r="DI27" t="s">
        <v>779</v>
      </c>
      <c r="DJ27" t="s">
        <v>789</v>
      </c>
      <c r="DK27">
        <v>17</v>
      </c>
      <c r="DL27">
        <v>0</v>
      </c>
      <c r="DM27">
        <v>45.705882352899998</v>
      </c>
      <c r="DN27">
        <v>24</v>
      </c>
      <c r="DO27">
        <v>0</v>
      </c>
      <c r="DP27">
        <v>158.375</v>
      </c>
      <c r="DQ27">
        <v>0</v>
      </c>
    </row>
    <row r="28" spans="2:121" x14ac:dyDescent="0.2">
      <c r="B28" t="s">
        <v>20</v>
      </c>
      <c r="C28">
        <v>346</v>
      </c>
      <c r="D28">
        <v>220</v>
      </c>
      <c r="F28" t="s">
        <v>44</v>
      </c>
      <c r="G28">
        <v>1345</v>
      </c>
      <c r="H28">
        <v>124.4646840149</v>
      </c>
      <c r="I28">
        <v>2185</v>
      </c>
      <c r="J28">
        <v>554</v>
      </c>
      <c r="K28">
        <v>2499</v>
      </c>
      <c r="L28">
        <v>704</v>
      </c>
      <c r="M28">
        <v>204</v>
      </c>
      <c r="N28">
        <v>164</v>
      </c>
      <c r="O28">
        <v>2830</v>
      </c>
      <c r="P28">
        <v>2716</v>
      </c>
      <c r="Q28">
        <v>0</v>
      </c>
      <c r="R28">
        <v>11</v>
      </c>
      <c r="T28" t="s">
        <v>8</v>
      </c>
      <c r="U28">
        <v>8866</v>
      </c>
      <c r="V28">
        <v>417.05707196029999</v>
      </c>
      <c r="W28">
        <v>4142</v>
      </c>
      <c r="X28">
        <v>1819</v>
      </c>
      <c r="Y28">
        <v>10759</v>
      </c>
      <c r="Z28">
        <v>8199</v>
      </c>
      <c r="AA28">
        <v>1363</v>
      </c>
      <c r="AB28">
        <v>1173</v>
      </c>
      <c r="AC28">
        <v>15603</v>
      </c>
      <c r="AD28">
        <v>11901</v>
      </c>
      <c r="AE28">
        <v>378</v>
      </c>
      <c r="AF28">
        <v>152</v>
      </c>
      <c r="AH28" t="s">
        <v>407</v>
      </c>
      <c r="AI28">
        <v>6051</v>
      </c>
      <c r="AJ28">
        <v>280.07668154020001</v>
      </c>
      <c r="AK28">
        <v>5463</v>
      </c>
      <c r="AL28">
        <v>1206</v>
      </c>
      <c r="AM28">
        <v>9047</v>
      </c>
      <c r="AN28">
        <v>5328</v>
      </c>
      <c r="AO28">
        <v>2153</v>
      </c>
      <c r="AP28">
        <v>1997</v>
      </c>
      <c r="AQ28">
        <v>5974</v>
      </c>
      <c r="AR28">
        <v>4509</v>
      </c>
      <c r="AS28">
        <v>13</v>
      </c>
      <c r="AT28">
        <v>108</v>
      </c>
      <c r="AV28" t="s">
        <v>391</v>
      </c>
      <c r="AW28">
        <v>1129</v>
      </c>
      <c r="AX28">
        <v>101.93179805139999</v>
      </c>
      <c r="AY28">
        <v>1059</v>
      </c>
      <c r="AZ28">
        <v>219</v>
      </c>
      <c r="BA28">
        <v>1757</v>
      </c>
      <c r="BB28">
        <v>514</v>
      </c>
      <c r="BC28">
        <v>70</v>
      </c>
      <c r="BD28">
        <v>68</v>
      </c>
      <c r="BE28">
        <v>419</v>
      </c>
      <c r="BF28">
        <v>71</v>
      </c>
      <c r="BG28">
        <v>159</v>
      </c>
      <c r="BH28">
        <v>403</v>
      </c>
      <c r="BJ28" t="s">
        <v>543</v>
      </c>
      <c r="BK28" t="s">
        <v>379</v>
      </c>
      <c r="BL28">
        <v>4739</v>
      </c>
      <c r="BM28">
        <v>1470</v>
      </c>
      <c r="BN28">
        <v>124.235703735</v>
      </c>
      <c r="BO28">
        <v>17826</v>
      </c>
      <c r="BP28">
        <v>1222</v>
      </c>
      <c r="BQ28">
        <v>250.23791091659999</v>
      </c>
      <c r="BR28">
        <v>190.7651391162</v>
      </c>
      <c r="BS28">
        <v>3127</v>
      </c>
      <c r="BT28">
        <v>429</v>
      </c>
      <c r="BU28">
        <v>80.698752798200005</v>
      </c>
      <c r="BV28">
        <v>5595</v>
      </c>
      <c r="BW28">
        <v>516</v>
      </c>
      <c r="BX28">
        <v>238.98588025020001</v>
      </c>
      <c r="BY28">
        <v>156.515503876</v>
      </c>
      <c r="CA28" t="s">
        <v>406</v>
      </c>
      <c r="CB28" t="s">
        <v>817</v>
      </c>
      <c r="CC28" t="s">
        <v>1026</v>
      </c>
      <c r="CD28">
        <v>3755</v>
      </c>
      <c r="CE28">
        <v>935</v>
      </c>
      <c r="CF28">
        <v>95.325432756300003</v>
      </c>
      <c r="CG28">
        <v>13787</v>
      </c>
      <c r="CH28">
        <v>1028</v>
      </c>
      <c r="CI28">
        <v>156.42141147460001</v>
      </c>
      <c r="CJ28">
        <v>135.19066147859999</v>
      </c>
      <c r="CL28" t="s">
        <v>406</v>
      </c>
      <c r="CM28" t="s">
        <v>792</v>
      </c>
      <c r="CN28" t="s">
        <v>803</v>
      </c>
      <c r="CO28">
        <v>258</v>
      </c>
      <c r="CP28">
        <v>17</v>
      </c>
      <c r="CQ28">
        <v>46.236434108499999</v>
      </c>
      <c r="CR28">
        <v>2075</v>
      </c>
      <c r="CS28">
        <v>94</v>
      </c>
      <c r="CT28">
        <v>43.460240963899999</v>
      </c>
      <c r="CU28">
        <v>51.5638297872</v>
      </c>
      <c r="CW28" t="s">
        <v>406</v>
      </c>
      <c r="CX28" t="s">
        <v>805</v>
      </c>
      <c r="CY28" t="s">
        <v>816</v>
      </c>
      <c r="CZ28">
        <v>82</v>
      </c>
      <c r="DA28">
        <v>8</v>
      </c>
      <c r="DB28">
        <v>68.121951219500005</v>
      </c>
      <c r="DC28">
        <v>221</v>
      </c>
      <c r="DD28">
        <v>11</v>
      </c>
      <c r="DE28">
        <v>126.70135746610001</v>
      </c>
      <c r="DF28">
        <v>122.9090909091</v>
      </c>
      <c r="DH28" t="s">
        <v>406</v>
      </c>
      <c r="DI28" t="s">
        <v>779</v>
      </c>
      <c r="DJ28" t="s">
        <v>790</v>
      </c>
      <c r="DK28">
        <v>60</v>
      </c>
      <c r="DL28">
        <v>8</v>
      </c>
      <c r="DM28">
        <v>80.166666666699996</v>
      </c>
      <c r="DN28">
        <v>159</v>
      </c>
      <c r="DO28">
        <v>11</v>
      </c>
      <c r="DP28">
        <v>155.71069182389999</v>
      </c>
      <c r="DQ28">
        <v>140.7272727273</v>
      </c>
    </row>
    <row r="29" spans="2:121" x14ac:dyDescent="0.2">
      <c r="B29" t="s">
        <v>91</v>
      </c>
      <c r="C29">
        <v>86855</v>
      </c>
      <c r="D29">
        <v>28523</v>
      </c>
      <c r="F29" t="s">
        <v>72</v>
      </c>
      <c r="G29">
        <v>14143</v>
      </c>
      <c r="H29">
        <v>542.11652407550002</v>
      </c>
      <c r="I29">
        <v>11299</v>
      </c>
      <c r="J29">
        <v>2960</v>
      </c>
      <c r="K29">
        <v>16554</v>
      </c>
      <c r="L29">
        <v>11029</v>
      </c>
      <c r="M29">
        <v>4365</v>
      </c>
      <c r="N29">
        <v>4046</v>
      </c>
      <c r="O29">
        <v>5075</v>
      </c>
      <c r="P29">
        <v>4229</v>
      </c>
      <c r="Q29">
        <v>6</v>
      </c>
      <c r="R29">
        <v>23</v>
      </c>
      <c r="T29" t="s">
        <v>414</v>
      </c>
      <c r="U29">
        <v>74904</v>
      </c>
      <c r="V29">
        <v>366.79341557190003</v>
      </c>
      <c r="W29">
        <v>62665</v>
      </c>
      <c r="X29">
        <v>17486</v>
      </c>
      <c r="Y29">
        <v>103959</v>
      </c>
      <c r="Z29">
        <v>65024</v>
      </c>
      <c r="AA29">
        <v>18253</v>
      </c>
      <c r="AB29">
        <v>14833</v>
      </c>
      <c r="AC29">
        <v>25133</v>
      </c>
      <c r="AD29">
        <v>16835</v>
      </c>
      <c r="AE29">
        <v>88</v>
      </c>
      <c r="AF29">
        <v>611</v>
      </c>
      <c r="AH29" t="s">
        <v>428</v>
      </c>
      <c r="AI29">
        <v>1069</v>
      </c>
      <c r="AJ29">
        <v>254.37043966319999</v>
      </c>
      <c r="AK29">
        <v>923</v>
      </c>
      <c r="AL29">
        <v>116</v>
      </c>
      <c r="AM29">
        <v>1788</v>
      </c>
      <c r="AN29">
        <v>766</v>
      </c>
      <c r="AO29">
        <v>425</v>
      </c>
      <c r="AP29">
        <v>232</v>
      </c>
      <c r="AQ29">
        <v>196</v>
      </c>
      <c r="AR29">
        <v>89</v>
      </c>
      <c r="AS29">
        <v>3</v>
      </c>
      <c r="AT29">
        <v>5</v>
      </c>
      <c r="AV29" t="s">
        <v>428</v>
      </c>
      <c r="AW29">
        <v>15</v>
      </c>
      <c r="AX29">
        <v>25.933333333299998</v>
      </c>
      <c r="AY29">
        <v>72</v>
      </c>
      <c r="AZ29">
        <v>2</v>
      </c>
      <c r="BA29">
        <v>38</v>
      </c>
      <c r="BB29">
        <v>2</v>
      </c>
      <c r="BC29">
        <v>0</v>
      </c>
      <c r="BE29">
        <v>3</v>
      </c>
      <c r="BG29">
        <v>67</v>
      </c>
      <c r="BH29">
        <v>5</v>
      </c>
      <c r="BJ29" t="s">
        <v>522</v>
      </c>
      <c r="BK29" t="s">
        <v>379</v>
      </c>
      <c r="BL29">
        <v>3678</v>
      </c>
      <c r="BM29">
        <v>1027</v>
      </c>
      <c r="BN29">
        <v>108.720228385</v>
      </c>
      <c r="BO29">
        <v>11038</v>
      </c>
      <c r="BP29">
        <v>773</v>
      </c>
      <c r="BQ29">
        <v>214.6721326327</v>
      </c>
      <c r="BR29">
        <v>177.1190168176</v>
      </c>
      <c r="BS29">
        <v>3003</v>
      </c>
      <c r="BT29">
        <v>1004</v>
      </c>
      <c r="BU29">
        <v>102.024975025</v>
      </c>
      <c r="BV29">
        <v>9353</v>
      </c>
      <c r="BW29">
        <v>693</v>
      </c>
      <c r="BX29">
        <v>199.95263551799999</v>
      </c>
      <c r="BY29">
        <v>163.7662337662</v>
      </c>
      <c r="CA29" t="s">
        <v>400</v>
      </c>
      <c r="CB29" t="s">
        <v>817</v>
      </c>
      <c r="CD29">
        <v>51253</v>
      </c>
      <c r="CE29">
        <v>13180</v>
      </c>
      <c r="CF29">
        <v>102.1341384895</v>
      </c>
      <c r="CG29">
        <v>176867</v>
      </c>
      <c r="CH29">
        <v>12396</v>
      </c>
      <c r="CI29">
        <v>171.42273007399999</v>
      </c>
      <c r="CJ29">
        <v>148.43384962889999</v>
      </c>
      <c r="CL29" t="s">
        <v>400</v>
      </c>
      <c r="CM29" t="s">
        <v>792</v>
      </c>
      <c r="CO29">
        <v>4091</v>
      </c>
      <c r="CP29">
        <v>347</v>
      </c>
      <c r="CQ29">
        <v>56.415301882199998</v>
      </c>
      <c r="CR29">
        <v>27976</v>
      </c>
      <c r="CS29">
        <v>1403</v>
      </c>
      <c r="CT29">
        <v>54.703817557900003</v>
      </c>
      <c r="CU29">
        <v>55.4240912331</v>
      </c>
      <c r="CW29" t="s">
        <v>400</v>
      </c>
      <c r="CX29" t="s">
        <v>805</v>
      </c>
      <c r="CZ29">
        <v>1037</v>
      </c>
      <c r="DA29">
        <v>116</v>
      </c>
      <c r="DB29">
        <v>66.250723240100001</v>
      </c>
      <c r="DC29">
        <v>3113</v>
      </c>
      <c r="DD29">
        <v>177</v>
      </c>
      <c r="DE29">
        <v>129.20783809829999</v>
      </c>
      <c r="DF29">
        <v>112.2259887006</v>
      </c>
      <c r="DH29" t="s">
        <v>400</v>
      </c>
      <c r="DI29" t="s">
        <v>779</v>
      </c>
      <c r="DK29">
        <v>928</v>
      </c>
      <c r="DL29">
        <v>108</v>
      </c>
      <c r="DM29">
        <v>69.602370689699995</v>
      </c>
      <c r="DN29">
        <v>2632</v>
      </c>
      <c r="DO29">
        <v>160</v>
      </c>
      <c r="DP29">
        <v>151.8221884498</v>
      </c>
      <c r="DQ29">
        <v>131.28749999999999</v>
      </c>
    </row>
    <row r="30" spans="2:121" x14ac:dyDescent="0.2">
      <c r="B30" t="s">
        <v>96</v>
      </c>
      <c r="C30">
        <v>165</v>
      </c>
      <c r="D30">
        <v>112</v>
      </c>
      <c r="F30" t="s">
        <v>48</v>
      </c>
      <c r="G30">
        <v>2031</v>
      </c>
      <c r="H30">
        <v>221.65731166910001</v>
      </c>
      <c r="I30">
        <v>2519</v>
      </c>
      <c r="J30">
        <v>649</v>
      </c>
      <c r="K30">
        <v>2644</v>
      </c>
      <c r="L30">
        <v>1453</v>
      </c>
      <c r="M30">
        <v>431</v>
      </c>
      <c r="N30">
        <v>359</v>
      </c>
      <c r="O30">
        <v>183</v>
      </c>
      <c r="P30">
        <v>138</v>
      </c>
      <c r="Q30">
        <v>0</v>
      </c>
      <c r="R30">
        <v>1</v>
      </c>
      <c r="T30" t="s">
        <v>390</v>
      </c>
      <c r="U30">
        <v>80747</v>
      </c>
      <c r="V30">
        <v>354.23543908750003</v>
      </c>
      <c r="W30">
        <v>75383</v>
      </c>
      <c r="X30">
        <v>22821</v>
      </c>
      <c r="Y30">
        <v>112073</v>
      </c>
      <c r="Z30">
        <v>72072</v>
      </c>
      <c r="AA30">
        <v>20269</v>
      </c>
      <c r="AB30">
        <v>15984</v>
      </c>
      <c r="AC30">
        <v>40558</v>
      </c>
      <c r="AD30">
        <v>22049</v>
      </c>
      <c r="AE30">
        <v>2708</v>
      </c>
      <c r="AF30">
        <v>1106</v>
      </c>
      <c r="AH30" t="s">
        <v>410</v>
      </c>
      <c r="AI30">
        <v>1314</v>
      </c>
      <c r="AJ30">
        <v>205.31659056320001</v>
      </c>
      <c r="AK30">
        <v>1949</v>
      </c>
      <c r="AL30">
        <v>324</v>
      </c>
      <c r="AM30">
        <v>2613</v>
      </c>
      <c r="AN30">
        <v>771</v>
      </c>
      <c r="AO30">
        <v>883</v>
      </c>
      <c r="AP30">
        <v>449</v>
      </c>
      <c r="AQ30">
        <v>403</v>
      </c>
      <c r="AR30">
        <v>159</v>
      </c>
      <c r="AS30">
        <v>1</v>
      </c>
      <c r="AT30">
        <v>14</v>
      </c>
      <c r="AV30" t="s">
        <v>394</v>
      </c>
      <c r="AW30">
        <v>404</v>
      </c>
      <c r="AX30">
        <v>63.891089108899997</v>
      </c>
      <c r="AY30">
        <v>539</v>
      </c>
      <c r="AZ30">
        <v>31</v>
      </c>
      <c r="BA30">
        <v>710</v>
      </c>
      <c r="BB30">
        <v>70</v>
      </c>
      <c r="BC30">
        <v>9</v>
      </c>
      <c r="BD30">
        <v>9</v>
      </c>
      <c r="BE30">
        <v>63</v>
      </c>
      <c r="BF30">
        <v>18</v>
      </c>
      <c r="BG30">
        <v>453</v>
      </c>
      <c r="BH30">
        <v>59</v>
      </c>
      <c r="BJ30" t="s">
        <v>530</v>
      </c>
      <c r="BK30" t="s">
        <v>379</v>
      </c>
      <c r="BL30">
        <v>4491</v>
      </c>
      <c r="BM30">
        <v>1319</v>
      </c>
      <c r="BN30">
        <v>108.9799599198</v>
      </c>
      <c r="BO30">
        <v>12055</v>
      </c>
      <c r="BP30">
        <v>718</v>
      </c>
      <c r="BQ30">
        <v>209.60854417249999</v>
      </c>
      <c r="BR30">
        <v>180.922005571</v>
      </c>
      <c r="BS30">
        <v>3760</v>
      </c>
      <c r="BT30">
        <v>864</v>
      </c>
      <c r="BU30">
        <v>94.409574468100004</v>
      </c>
      <c r="BV30">
        <v>10408</v>
      </c>
      <c r="BW30">
        <v>588</v>
      </c>
      <c r="BX30">
        <v>207.4119907763</v>
      </c>
      <c r="BY30">
        <v>162.1683673469</v>
      </c>
      <c r="CA30" t="s">
        <v>383</v>
      </c>
      <c r="CB30" t="s">
        <v>866</v>
      </c>
      <c r="CC30" t="s">
        <v>992</v>
      </c>
      <c r="CD30">
        <v>2053</v>
      </c>
      <c r="CE30">
        <v>507</v>
      </c>
      <c r="CF30">
        <v>94.841695080400001</v>
      </c>
      <c r="CG30">
        <v>6047</v>
      </c>
      <c r="CH30">
        <v>333</v>
      </c>
      <c r="CI30">
        <v>151.9221101373</v>
      </c>
      <c r="CJ30">
        <v>157.57957957959999</v>
      </c>
      <c r="CL30" t="s">
        <v>383</v>
      </c>
      <c r="CM30" t="s">
        <v>835</v>
      </c>
      <c r="CN30" t="s">
        <v>834</v>
      </c>
      <c r="CO30">
        <v>100</v>
      </c>
      <c r="CP30">
        <v>12</v>
      </c>
      <c r="CQ30">
        <v>79.11</v>
      </c>
      <c r="CR30">
        <v>802</v>
      </c>
      <c r="CS30">
        <v>45</v>
      </c>
      <c r="CT30">
        <v>75.094763092299999</v>
      </c>
      <c r="CU30">
        <v>72.266666666700004</v>
      </c>
      <c r="CW30" t="s">
        <v>383</v>
      </c>
      <c r="CX30" t="s">
        <v>851</v>
      </c>
      <c r="CY30" t="s">
        <v>850</v>
      </c>
      <c r="CZ30">
        <v>43</v>
      </c>
      <c r="DA30">
        <v>4</v>
      </c>
      <c r="DB30">
        <v>66.976744186000005</v>
      </c>
      <c r="DC30">
        <v>135</v>
      </c>
      <c r="DD30">
        <v>5</v>
      </c>
      <c r="DE30">
        <v>136.09629629630001</v>
      </c>
      <c r="DF30">
        <v>104.8</v>
      </c>
      <c r="DH30" t="s">
        <v>383</v>
      </c>
      <c r="DI30" t="s">
        <v>819</v>
      </c>
      <c r="DJ30" t="s">
        <v>818</v>
      </c>
      <c r="DK30">
        <v>49</v>
      </c>
      <c r="DL30">
        <v>3</v>
      </c>
      <c r="DM30">
        <v>52.673469387799997</v>
      </c>
      <c r="DN30">
        <v>71</v>
      </c>
      <c r="DO30">
        <v>8</v>
      </c>
      <c r="DP30">
        <v>115.9154929577</v>
      </c>
      <c r="DQ30">
        <v>118.75</v>
      </c>
    </row>
    <row r="31" spans="2:121" x14ac:dyDescent="0.2">
      <c r="B31" t="s">
        <v>120</v>
      </c>
      <c r="C31">
        <v>10653</v>
      </c>
      <c r="D31">
        <v>2340</v>
      </c>
      <c r="F31" t="s">
        <v>76</v>
      </c>
      <c r="G31">
        <v>14189</v>
      </c>
      <c r="H31">
        <v>394.5623370216</v>
      </c>
      <c r="I31">
        <v>7414</v>
      </c>
      <c r="J31">
        <v>1779</v>
      </c>
      <c r="K31">
        <v>19525</v>
      </c>
      <c r="L31">
        <v>13514</v>
      </c>
      <c r="M31">
        <v>4081</v>
      </c>
      <c r="N31">
        <v>3703</v>
      </c>
      <c r="O31">
        <v>5565</v>
      </c>
      <c r="P31">
        <v>4737</v>
      </c>
      <c r="Q31">
        <v>0</v>
      </c>
      <c r="R31">
        <v>143</v>
      </c>
      <c r="T31" t="s">
        <v>471</v>
      </c>
      <c r="U31">
        <v>352396</v>
      </c>
      <c r="V31">
        <v>373.97453716839999</v>
      </c>
      <c r="W31">
        <v>337586</v>
      </c>
      <c r="X31">
        <v>96930</v>
      </c>
      <c r="Y31">
        <v>499476</v>
      </c>
      <c r="Z31">
        <v>305392</v>
      </c>
      <c r="AA31">
        <v>82554</v>
      </c>
      <c r="AB31">
        <v>64266</v>
      </c>
      <c r="AC31">
        <v>162823</v>
      </c>
      <c r="AD31">
        <v>102934</v>
      </c>
      <c r="AE31">
        <v>9188</v>
      </c>
      <c r="AF31">
        <v>4424</v>
      </c>
      <c r="AH31" t="s">
        <v>423</v>
      </c>
      <c r="AI31">
        <v>4343</v>
      </c>
      <c r="AJ31">
        <v>440.9762836749</v>
      </c>
      <c r="AK31">
        <v>4024</v>
      </c>
      <c r="AL31">
        <v>1267</v>
      </c>
      <c r="AM31">
        <v>5514</v>
      </c>
      <c r="AN31">
        <v>3649</v>
      </c>
      <c r="AO31">
        <v>539</v>
      </c>
      <c r="AP31">
        <v>471</v>
      </c>
      <c r="AQ31">
        <v>1535</v>
      </c>
      <c r="AR31">
        <v>899</v>
      </c>
      <c r="AS31">
        <v>9</v>
      </c>
      <c r="AT31">
        <v>111</v>
      </c>
      <c r="AV31" t="s">
        <v>415</v>
      </c>
      <c r="AW31">
        <v>38</v>
      </c>
      <c r="AX31">
        <v>47.763157894700001</v>
      </c>
      <c r="AY31">
        <v>149</v>
      </c>
      <c r="AZ31">
        <v>3</v>
      </c>
      <c r="BA31">
        <v>69</v>
      </c>
      <c r="BB31">
        <v>7</v>
      </c>
      <c r="BC31">
        <v>0</v>
      </c>
      <c r="BE31">
        <v>4</v>
      </c>
      <c r="BF31">
        <v>2</v>
      </c>
      <c r="BG31">
        <v>160</v>
      </c>
      <c r="BH31">
        <v>24</v>
      </c>
      <c r="BJ31" t="s">
        <v>532</v>
      </c>
      <c r="BK31" t="s">
        <v>379</v>
      </c>
      <c r="BL31">
        <v>2025</v>
      </c>
      <c r="BM31">
        <v>488</v>
      </c>
      <c r="BN31">
        <v>93.561975308599997</v>
      </c>
      <c r="BO31">
        <v>5709</v>
      </c>
      <c r="BP31">
        <v>319</v>
      </c>
      <c r="BQ31">
        <v>151.25591171830001</v>
      </c>
      <c r="BR31">
        <v>163.62068965520001</v>
      </c>
      <c r="BS31">
        <v>2487</v>
      </c>
      <c r="BT31">
        <v>828</v>
      </c>
      <c r="BU31">
        <v>114.4016887817</v>
      </c>
      <c r="BV31">
        <v>8874</v>
      </c>
      <c r="BW31">
        <v>590</v>
      </c>
      <c r="BX31">
        <v>175.36894297949999</v>
      </c>
      <c r="BY31">
        <v>196.8779661017</v>
      </c>
      <c r="CA31" t="s">
        <v>433</v>
      </c>
      <c r="CB31" t="s">
        <v>866</v>
      </c>
      <c r="CC31" t="s">
        <v>993</v>
      </c>
      <c r="CD31">
        <v>1030</v>
      </c>
      <c r="CE31">
        <v>351</v>
      </c>
      <c r="CF31">
        <v>120.932038835</v>
      </c>
      <c r="CG31">
        <v>2873</v>
      </c>
      <c r="CH31">
        <v>157</v>
      </c>
      <c r="CI31">
        <v>218.7191089454</v>
      </c>
      <c r="CJ31">
        <v>190.8662420382</v>
      </c>
      <c r="CL31" t="s">
        <v>433</v>
      </c>
      <c r="CM31" t="s">
        <v>835</v>
      </c>
      <c r="CN31" t="s">
        <v>836</v>
      </c>
      <c r="CO31">
        <v>27</v>
      </c>
      <c r="CP31">
        <v>5</v>
      </c>
      <c r="CQ31">
        <v>75.962962962999995</v>
      </c>
      <c r="CR31">
        <v>286</v>
      </c>
      <c r="CS31">
        <v>12</v>
      </c>
      <c r="CT31">
        <v>84.5174825175</v>
      </c>
      <c r="CU31">
        <v>132.6666666667</v>
      </c>
      <c r="CW31" t="s">
        <v>433</v>
      </c>
      <c r="CX31" t="s">
        <v>851</v>
      </c>
      <c r="CY31" t="s">
        <v>852</v>
      </c>
      <c r="CZ31">
        <v>15</v>
      </c>
      <c r="DA31">
        <v>3</v>
      </c>
      <c r="DB31">
        <v>69.533333333300007</v>
      </c>
      <c r="DC31">
        <v>42</v>
      </c>
      <c r="DD31">
        <v>3</v>
      </c>
      <c r="DE31">
        <v>120.57142857140001</v>
      </c>
      <c r="DF31">
        <v>136</v>
      </c>
      <c r="DH31" t="s">
        <v>433</v>
      </c>
      <c r="DI31" t="s">
        <v>819</v>
      </c>
      <c r="DJ31" t="s">
        <v>820</v>
      </c>
      <c r="DK31">
        <v>17</v>
      </c>
      <c r="DL31">
        <v>4</v>
      </c>
      <c r="DM31">
        <v>77.588235294100002</v>
      </c>
      <c r="DN31">
        <v>36</v>
      </c>
      <c r="DO31">
        <v>2</v>
      </c>
      <c r="DP31">
        <v>121.05555555559999</v>
      </c>
      <c r="DQ31">
        <v>151.5</v>
      </c>
    </row>
    <row r="32" spans="2:121" x14ac:dyDescent="0.2">
      <c r="B32" t="s">
        <v>128</v>
      </c>
      <c r="C32">
        <v>539</v>
      </c>
      <c r="D32">
        <v>18</v>
      </c>
      <c r="F32" t="s">
        <v>68</v>
      </c>
      <c r="G32">
        <v>4085</v>
      </c>
      <c r="H32">
        <v>463.28176254589999</v>
      </c>
      <c r="I32">
        <v>4833</v>
      </c>
      <c r="J32">
        <v>1657</v>
      </c>
      <c r="K32">
        <v>5569</v>
      </c>
      <c r="L32">
        <v>4267</v>
      </c>
      <c r="M32">
        <v>575</v>
      </c>
      <c r="N32">
        <v>506</v>
      </c>
      <c r="O32">
        <v>1109</v>
      </c>
      <c r="P32">
        <v>821</v>
      </c>
      <c r="Q32">
        <v>0</v>
      </c>
      <c r="R32">
        <v>3</v>
      </c>
      <c r="AH32" t="s">
        <v>425</v>
      </c>
      <c r="AI32">
        <v>1863</v>
      </c>
      <c r="AJ32">
        <v>378.31884057970001</v>
      </c>
      <c r="AK32">
        <v>1198</v>
      </c>
      <c r="AL32">
        <v>284</v>
      </c>
      <c r="AM32">
        <v>2532</v>
      </c>
      <c r="AN32">
        <v>1571</v>
      </c>
      <c r="AO32">
        <v>683</v>
      </c>
      <c r="AP32">
        <v>531</v>
      </c>
      <c r="AQ32">
        <v>203</v>
      </c>
      <c r="AR32">
        <v>104</v>
      </c>
      <c r="AS32">
        <v>115</v>
      </c>
      <c r="AT32">
        <v>3</v>
      </c>
      <c r="AV32" t="s">
        <v>425</v>
      </c>
      <c r="AW32">
        <v>96</v>
      </c>
      <c r="AX32">
        <v>82.125</v>
      </c>
      <c r="AY32">
        <v>93</v>
      </c>
      <c r="AZ32">
        <v>19</v>
      </c>
      <c r="BA32">
        <v>144</v>
      </c>
      <c r="BB32">
        <v>35</v>
      </c>
      <c r="BC32">
        <v>2</v>
      </c>
      <c r="BD32">
        <v>2</v>
      </c>
      <c r="BE32">
        <v>42</v>
      </c>
      <c r="BF32">
        <v>6</v>
      </c>
      <c r="BG32">
        <v>10</v>
      </c>
      <c r="BH32">
        <v>26</v>
      </c>
      <c r="BJ32" t="s">
        <v>547</v>
      </c>
      <c r="BK32" t="s">
        <v>379</v>
      </c>
      <c r="BL32">
        <v>2153</v>
      </c>
      <c r="BM32">
        <v>445</v>
      </c>
      <c r="BN32">
        <v>87.864839758499997</v>
      </c>
      <c r="BO32">
        <v>8475</v>
      </c>
      <c r="BP32">
        <v>791</v>
      </c>
      <c r="BQ32">
        <v>143.30489675519999</v>
      </c>
      <c r="BR32">
        <v>119.14664981040001</v>
      </c>
      <c r="BS32">
        <v>3649</v>
      </c>
      <c r="BT32">
        <v>1102</v>
      </c>
      <c r="BU32">
        <v>116.4708139216</v>
      </c>
      <c r="BV32">
        <v>16732</v>
      </c>
      <c r="BW32">
        <v>1296</v>
      </c>
      <c r="BX32">
        <v>178.37879512309999</v>
      </c>
      <c r="BY32">
        <v>144.03626543210001</v>
      </c>
      <c r="CA32" t="s">
        <v>424</v>
      </c>
      <c r="CB32" t="s">
        <v>866</v>
      </c>
      <c r="CC32" t="s">
        <v>994</v>
      </c>
      <c r="CD32">
        <v>483</v>
      </c>
      <c r="CE32">
        <v>186</v>
      </c>
      <c r="CF32">
        <v>125.90269151139999</v>
      </c>
      <c r="CG32">
        <v>1441</v>
      </c>
      <c r="CH32">
        <v>80</v>
      </c>
      <c r="CI32">
        <v>213.42748091600001</v>
      </c>
      <c r="CJ32">
        <v>194.3125</v>
      </c>
      <c r="CL32" t="s">
        <v>424</v>
      </c>
      <c r="CM32" t="s">
        <v>835</v>
      </c>
      <c r="CN32" t="s">
        <v>837</v>
      </c>
      <c r="CO32">
        <v>33</v>
      </c>
      <c r="CP32">
        <v>1</v>
      </c>
      <c r="CQ32">
        <v>59.212121212100001</v>
      </c>
      <c r="CR32">
        <v>169</v>
      </c>
      <c r="CS32">
        <v>7</v>
      </c>
      <c r="CT32">
        <v>88.609467455599997</v>
      </c>
      <c r="CU32">
        <v>68.714285714300004</v>
      </c>
      <c r="CW32" t="s">
        <v>424</v>
      </c>
      <c r="CX32" t="s">
        <v>851</v>
      </c>
      <c r="CY32" t="s">
        <v>853</v>
      </c>
      <c r="CZ32">
        <v>16</v>
      </c>
      <c r="DA32">
        <v>1</v>
      </c>
      <c r="DB32">
        <v>62.1875</v>
      </c>
      <c r="DC32">
        <v>42</v>
      </c>
      <c r="DD32">
        <v>1</v>
      </c>
      <c r="DE32">
        <v>142.8571428571</v>
      </c>
      <c r="DF32">
        <v>134</v>
      </c>
      <c r="DH32" t="s">
        <v>424</v>
      </c>
      <c r="DI32" t="s">
        <v>819</v>
      </c>
      <c r="DJ32" t="s">
        <v>821</v>
      </c>
      <c r="DK32">
        <v>21</v>
      </c>
      <c r="DL32">
        <v>0</v>
      </c>
      <c r="DM32">
        <v>55.904761904799997</v>
      </c>
      <c r="DN32">
        <v>30</v>
      </c>
      <c r="DO32">
        <v>4</v>
      </c>
      <c r="DP32">
        <v>124.6</v>
      </c>
      <c r="DQ32">
        <v>120.25</v>
      </c>
    </row>
    <row r="33" spans="2:121" x14ac:dyDescent="0.2">
      <c r="B33" t="s">
        <v>22</v>
      </c>
      <c r="C33">
        <v>202351</v>
      </c>
      <c r="D33">
        <v>51985</v>
      </c>
      <c r="F33" t="s">
        <v>70</v>
      </c>
      <c r="G33">
        <v>784</v>
      </c>
      <c r="H33">
        <v>145.0612244898</v>
      </c>
      <c r="I33">
        <v>1911</v>
      </c>
      <c r="J33">
        <v>533</v>
      </c>
      <c r="K33">
        <v>3048</v>
      </c>
      <c r="L33">
        <v>615</v>
      </c>
      <c r="M33">
        <v>1307</v>
      </c>
      <c r="N33">
        <v>269</v>
      </c>
      <c r="O33">
        <v>230</v>
      </c>
      <c r="P33">
        <v>110</v>
      </c>
      <c r="Q33">
        <v>0</v>
      </c>
      <c r="R33">
        <v>4</v>
      </c>
      <c r="AH33" t="s">
        <v>384</v>
      </c>
      <c r="AI33">
        <v>2501</v>
      </c>
      <c r="AJ33">
        <v>282.08916433429999</v>
      </c>
      <c r="AK33">
        <v>4186</v>
      </c>
      <c r="AL33">
        <v>1352</v>
      </c>
      <c r="AM33">
        <v>4054</v>
      </c>
      <c r="AN33">
        <v>1981</v>
      </c>
      <c r="AO33">
        <v>765</v>
      </c>
      <c r="AP33">
        <v>339</v>
      </c>
      <c r="AQ33">
        <v>2002</v>
      </c>
      <c r="AR33">
        <v>1100</v>
      </c>
      <c r="AS33">
        <v>509</v>
      </c>
      <c r="AT33">
        <v>7</v>
      </c>
      <c r="AV33" t="s">
        <v>436</v>
      </c>
      <c r="AW33">
        <v>132</v>
      </c>
      <c r="AX33">
        <v>44.9545454545</v>
      </c>
      <c r="AY33">
        <v>514</v>
      </c>
      <c r="AZ33">
        <v>17</v>
      </c>
      <c r="BA33">
        <v>220</v>
      </c>
      <c r="BB33">
        <v>17</v>
      </c>
      <c r="BC33">
        <v>3</v>
      </c>
      <c r="BD33">
        <v>3</v>
      </c>
      <c r="BE33">
        <v>15</v>
      </c>
      <c r="BF33">
        <v>4</v>
      </c>
      <c r="BG33">
        <v>276</v>
      </c>
      <c r="BH33">
        <v>68</v>
      </c>
      <c r="BJ33" t="s">
        <v>632</v>
      </c>
      <c r="BK33" t="s">
        <v>379</v>
      </c>
      <c r="BL33">
        <v>1314</v>
      </c>
      <c r="BM33">
        <v>267</v>
      </c>
      <c r="BN33">
        <v>91.145357686500006</v>
      </c>
      <c r="BO33">
        <v>3605</v>
      </c>
      <c r="BP33">
        <v>253</v>
      </c>
      <c r="BQ33">
        <v>176.21081830790001</v>
      </c>
      <c r="BR33">
        <v>144.39920948619999</v>
      </c>
      <c r="BS33">
        <v>1423</v>
      </c>
      <c r="BT33">
        <v>354</v>
      </c>
      <c r="BU33">
        <v>106.7624736472</v>
      </c>
      <c r="BV33">
        <v>4357</v>
      </c>
      <c r="BW33">
        <v>297</v>
      </c>
      <c r="BX33">
        <v>192.0980032132</v>
      </c>
      <c r="BY33">
        <v>167.2053872054</v>
      </c>
      <c r="CA33" t="s">
        <v>426</v>
      </c>
      <c r="CB33" t="s">
        <v>866</v>
      </c>
      <c r="CC33" t="s">
        <v>995</v>
      </c>
      <c r="CD33">
        <v>1456</v>
      </c>
      <c r="CE33">
        <v>202</v>
      </c>
      <c r="CF33">
        <v>79.751373626399996</v>
      </c>
      <c r="CG33">
        <v>4050</v>
      </c>
      <c r="CH33">
        <v>299</v>
      </c>
      <c r="CI33">
        <v>127.7745679012</v>
      </c>
      <c r="CJ33">
        <v>126.525083612</v>
      </c>
      <c r="CL33" t="s">
        <v>426</v>
      </c>
      <c r="CM33" t="s">
        <v>835</v>
      </c>
      <c r="CN33" t="s">
        <v>838</v>
      </c>
      <c r="CO33">
        <v>46</v>
      </c>
      <c r="CP33">
        <v>3</v>
      </c>
      <c r="CQ33">
        <v>59.673913043500001</v>
      </c>
      <c r="CR33">
        <v>504</v>
      </c>
      <c r="CS33">
        <v>31</v>
      </c>
      <c r="CT33">
        <v>64.547619047599994</v>
      </c>
      <c r="CU33">
        <v>62.645161290300003</v>
      </c>
      <c r="CW33" t="s">
        <v>426</v>
      </c>
      <c r="CX33" t="s">
        <v>851</v>
      </c>
      <c r="CY33" t="s">
        <v>854</v>
      </c>
      <c r="CZ33">
        <v>13</v>
      </c>
      <c r="DA33">
        <v>3</v>
      </c>
      <c r="DB33">
        <v>87.461538461499998</v>
      </c>
      <c r="DC33">
        <v>64</v>
      </c>
      <c r="DD33">
        <v>2</v>
      </c>
      <c r="DE33">
        <v>127.1875</v>
      </c>
      <c r="DF33">
        <v>43</v>
      </c>
      <c r="DH33" t="s">
        <v>426</v>
      </c>
      <c r="DI33" t="s">
        <v>819</v>
      </c>
      <c r="DJ33" t="s">
        <v>822</v>
      </c>
      <c r="DK33">
        <v>15</v>
      </c>
      <c r="DL33">
        <v>2</v>
      </c>
      <c r="DM33">
        <v>59.933333333299998</v>
      </c>
      <c r="DN33">
        <v>33</v>
      </c>
      <c r="DO33">
        <v>2</v>
      </c>
      <c r="DP33">
        <v>114.8181818182</v>
      </c>
      <c r="DQ33">
        <v>64</v>
      </c>
    </row>
    <row r="34" spans="2:121" x14ac:dyDescent="0.2">
      <c r="B34" t="s">
        <v>92</v>
      </c>
      <c r="C34">
        <v>16</v>
      </c>
      <c r="F34" t="s">
        <v>74</v>
      </c>
      <c r="G34">
        <v>8064</v>
      </c>
      <c r="H34">
        <v>320.08444940480001</v>
      </c>
      <c r="I34">
        <v>12090</v>
      </c>
      <c r="J34">
        <v>2241</v>
      </c>
      <c r="K34">
        <v>15992</v>
      </c>
      <c r="L34">
        <v>6775</v>
      </c>
      <c r="M34">
        <v>1826</v>
      </c>
      <c r="N34">
        <v>1291</v>
      </c>
      <c r="O34">
        <v>1971</v>
      </c>
      <c r="P34">
        <v>1388</v>
      </c>
      <c r="Q34">
        <v>0</v>
      </c>
      <c r="R34">
        <v>68</v>
      </c>
      <c r="AH34" t="s">
        <v>415</v>
      </c>
      <c r="AI34">
        <v>1847</v>
      </c>
      <c r="AJ34">
        <v>207.01678397399999</v>
      </c>
      <c r="AK34">
        <v>2998</v>
      </c>
      <c r="AL34">
        <v>905</v>
      </c>
      <c r="AM34">
        <v>2624</v>
      </c>
      <c r="AN34">
        <v>1070</v>
      </c>
      <c r="AO34">
        <v>254</v>
      </c>
      <c r="AP34">
        <v>160</v>
      </c>
      <c r="AQ34">
        <v>582</v>
      </c>
      <c r="AR34">
        <v>270</v>
      </c>
      <c r="AS34">
        <v>4</v>
      </c>
      <c r="AT34">
        <v>19</v>
      </c>
      <c r="AV34" t="s">
        <v>382</v>
      </c>
      <c r="AW34">
        <v>62</v>
      </c>
      <c r="AX34">
        <v>90.854838709700005</v>
      </c>
      <c r="AY34">
        <v>111</v>
      </c>
      <c r="AZ34">
        <v>28</v>
      </c>
      <c r="BA34">
        <v>105</v>
      </c>
      <c r="BB34">
        <v>22</v>
      </c>
      <c r="BC34">
        <v>5</v>
      </c>
      <c r="BD34">
        <v>5</v>
      </c>
      <c r="BE34">
        <v>31</v>
      </c>
      <c r="BF34">
        <v>5</v>
      </c>
      <c r="BG34">
        <v>16</v>
      </c>
      <c r="BH34">
        <v>27</v>
      </c>
      <c r="BJ34" t="s">
        <v>528</v>
      </c>
      <c r="BK34" t="s">
        <v>379</v>
      </c>
      <c r="BL34">
        <v>4774</v>
      </c>
      <c r="BM34">
        <v>1386</v>
      </c>
      <c r="BN34">
        <v>110.6688311688</v>
      </c>
      <c r="BO34">
        <v>15121</v>
      </c>
      <c r="BP34">
        <v>1000</v>
      </c>
      <c r="BQ34">
        <v>204.22491898679999</v>
      </c>
      <c r="BR34">
        <v>170.066</v>
      </c>
      <c r="BS34">
        <v>4517</v>
      </c>
      <c r="BT34">
        <v>1063</v>
      </c>
      <c r="BU34">
        <v>94.009740978500005</v>
      </c>
      <c r="BV34">
        <v>12786</v>
      </c>
      <c r="BW34">
        <v>878</v>
      </c>
      <c r="BX34">
        <v>191.3965274519</v>
      </c>
      <c r="BY34">
        <v>149.97266514809999</v>
      </c>
      <c r="CA34" t="s">
        <v>386</v>
      </c>
      <c r="CB34" t="s">
        <v>866</v>
      </c>
      <c r="CC34" t="s">
        <v>996</v>
      </c>
      <c r="CD34">
        <v>5226</v>
      </c>
      <c r="CE34">
        <v>1546</v>
      </c>
      <c r="CF34">
        <v>118.8212782243</v>
      </c>
      <c r="CG34">
        <v>19420</v>
      </c>
      <c r="CH34">
        <v>1343</v>
      </c>
      <c r="CI34">
        <v>232.99140061790001</v>
      </c>
      <c r="CJ34">
        <v>178.8622486969</v>
      </c>
      <c r="CL34" t="s">
        <v>386</v>
      </c>
      <c r="CM34" t="s">
        <v>835</v>
      </c>
      <c r="CN34" t="s">
        <v>839</v>
      </c>
      <c r="CO34">
        <v>251</v>
      </c>
      <c r="CP34">
        <v>35</v>
      </c>
      <c r="CQ34">
        <v>77.637450199200003</v>
      </c>
      <c r="CR34">
        <v>1710</v>
      </c>
      <c r="CS34">
        <v>108</v>
      </c>
      <c r="CT34">
        <v>85.154385964900001</v>
      </c>
      <c r="CU34">
        <v>72.805555555599994</v>
      </c>
      <c r="CW34" t="s">
        <v>386</v>
      </c>
      <c r="CX34" t="s">
        <v>851</v>
      </c>
      <c r="CY34" t="s">
        <v>855</v>
      </c>
      <c r="CZ34">
        <v>203</v>
      </c>
      <c r="DA34">
        <v>28</v>
      </c>
      <c r="DB34">
        <v>72.669950738899999</v>
      </c>
      <c r="DC34">
        <v>514</v>
      </c>
      <c r="DD34">
        <v>30</v>
      </c>
      <c r="DE34">
        <v>141.0972762646</v>
      </c>
      <c r="DF34">
        <v>119.5</v>
      </c>
      <c r="DH34" t="s">
        <v>386</v>
      </c>
      <c r="DI34" t="s">
        <v>819</v>
      </c>
      <c r="DJ34" t="s">
        <v>823</v>
      </c>
      <c r="DK34">
        <v>271</v>
      </c>
      <c r="DL34">
        <v>35</v>
      </c>
      <c r="DM34">
        <v>75.464944649399996</v>
      </c>
      <c r="DN34">
        <v>571</v>
      </c>
      <c r="DO34">
        <v>29</v>
      </c>
      <c r="DP34">
        <v>151.09982486870001</v>
      </c>
      <c r="DQ34">
        <v>174.2413793103</v>
      </c>
    </row>
    <row r="35" spans="2:121" x14ac:dyDescent="0.2">
      <c r="B35" t="s">
        <v>105</v>
      </c>
      <c r="C35">
        <v>700</v>
      </c>
      <c r="D35">
        <v>626</v>
      </c>
      <c r="F35" t="s">
        <v>40</v>
      </c>
      <c r="G35">
        <v>6756</v>
      </c>
      <c r="H35">
        <v>512.9293960924</v>
      </c>
      <c r="I35">
        <v>6785</v>
      </c>
      <c r="J35">
        <v>2107</v>
      </c>
      <c r="K35">
        <v>8183</v>
      </c>
      <c r="L35">
        <v>6142</v>
      </c>
      <c r="M35">
        <v>1361</v>
      </c>
      <c r="N35">
        <v>1316</v>
      </c>
      <c r="O35">
        <v>2397</v>
      </c>
      <c r="P35">
        <v>1871</v>
      </c>
      <c r="Q35">
        <v>0</v>
      </c>
      <c r="R35">
        <v>286</v>
      </c>
      <c r="AH35" t="s">
        <v>63</v>
      </c>
      <c r="AI35">
        <v>5576</v>
      </c>
      <c r="AJ35">
        <v>264.27313486370002</v>
      </c>
      <c r="AK35">
        <v>9576</v>
      </c>
      <c r="AL35">
        <v>2834</v>
      </c>
      <c r="AM35">
        <v>8835</v>
      </c>
      <c r="AN35">
        <v>4325</v>
      </c>
      <c r="AO35">
        <v>2013</v>
      </c>
      <c r="AP35">
        <v>1202</v>
      </c>
      <c r="AQ35">
        <v>1593</v>
      </c>
      <c r="AR35">
        <v>812</v>
      </c>
      <c r="AS35">
        <v>986</v>
      </c>
      <c r="AT35">
        <v>16</v>
      </c>
      <c r="AV35" t="s">
        <v>405</v>
      </c>
      <c r="AW35">
        <v>429</v>
      </c>
      <c r="AX35">
        <v>67.601398601400007</v>
      </c>
      <c r="AY35">
        <v>902</v>
      </c>
      <c r="AZ35">
        <v>81</v>
      </c>
      <c r="BA35">
        <v>806</v>
      </c>
      <c r="BB35">
        <v>93</v>
      </c>
      <c r="BC35">
        <v>10</v>
      </c>
      <c r="BD35">
        <v>10</v>
      </c>
      <c r="BE35">
        <v>52</v>
      </c>
      <c r="BF35">
        <v>12</v>
      </c>
      <c r="BG35">
        <v>629</v>
      </c>
      <c r="BH35">
        <v>75</v>
      </c>
      <c r="BJ35" t="s">
        <v>534</v>
      </c>
      <c r="BK35" t="s">
        <v>379</v>
      </c>
      <c r="BL35">
        <v>2789</v>
      </c>
      <c r="BM35">
        <v>718</v>
      </c>
      <c r="BN35">
        <v>99.050555754800001</v>
      </c>
      <c r="BO35">
        <v>6693</v>
      </c>
      <c r="BP35">
        <v>510</v>
      </c>
      <c r="BQ35">
        <v>166.11743612730001</v>
      </c>
      <c r="BR35">
        <v>166.1490196078</v>
      </c>
      <c r="BS35">
        <v>2468</v>
      </c>
      <c r="BT35">
        <v>634</v>
      </c>
      <c r="BU35">
        <v>95.709076175000007</v>
      </c>
      <c r="BV35">
        <v>6828</v>
      </c>
      <c r="BW35">
        <v>462</v>
      </c>
      <c r="BX35">
        <v>167.1006151142</v>
      </c>
      <c r="BY35">
        <v>163.62121212119999</v>
      </c>
      <c r="CA35" t="s">
        <v>381</v>
      </c>
      <c r="CB35" t="s">
        <v>866</v>
      </c>
      <c r="CC35" t="s">
        <v>997</v>
      </c>
      <c r="CD35">
        <v>4490</v>
      </c>
      <c r="CE35">
        <v>1273</v>
      </c>
      <c r="CF35">
        <v>106.60378619150001</v>
      </c>
      <c r="CG35">
        <v>13733</v>
      </c>
      <c r="CH35">
        <v>900</v>
      </c>
      <c r="CI35">
        <v>194.55559600960001</v>
      </c>
      <c r="CJ35">
        <v>164.04777777780001</v>
      </c>
      <c r="CL35" t="s">
        <v>381</v>
      </c>
      <c r="CM35" t="s">
        <v>835</v>
      </c>
      <c r="CN35" t="s">
        <v>840</v>
      </c>
      <c r="CO35">
        <v>183</v>
      </c>
      <c r="CP35">
        <v>21</v>
      </c>
      <c r="CQ35">
        <v>67.584699453599995</v>
      </c>
      <c r="CR35">
        <v>1498</v>
      </c>
      <c r="CS35">
        <v>88</v>
      </c>
      <c r="CT35">
        <v>70.164886515399999</v>
      </c>
      <c r="CU35">
        <v>76.5</v>
      </c>
      <c r="CW35" t="s">
        <v>381</v>
      </c>
      <c r="CX35" t="s">
        <v>851</v>
      </c>
      <c r="CY35" t="s">
        <v>856</v>
      </c>
      <c r="CZ35">
        <v>80</v>
      </c>
      <c r="DA35">
        <v>6</v>
      </c>
      <c r="DB35">
        <v>61.6</v>
      </c>
      <c r="DC35">
        <v>206</v>
      </c>
      <c r="DD35">
        <v>8</v>
      </c>
      <c r="DE35">
        <v>130.49029126209999</v>
      </c>
      <c r="DF35">
        <v>106.875</v>
      </c>
      <c r="DH35" t="s">
        <v>381</v>
      </c>
      <c r="DI35" t="s">
        <v>819</v>
      </c>
      <c r="DJ35" t="s">
        <v>824</v>
      </c>
      <c r="DK35">
        <v>36</v>
      </c>
      <c r="DL35">
        <v>8</v>
      </c>
      <c r="DM35">
        <v>84.916666666699996</v>
      </c>
      <c r="DN35">
        <v>118</v>
      </c>
      <c r="DO35">
        <v>2</v>
      </c>
      <c r="DP35">
        <v>155.11864406780001</v>
      </c>
      <c r="DQ35">
        <v>68</v>
      </c>
    </row>
    <row r="36" spans="2:121" x14ac:dyDescent="0.2">
      <c r="B36" t="s">
        <v>98</v>
      </c>
      <c r="C36">
        <v>483</v>
      </c>
      <c r="D36">
        <v>387</v>
      </c>
      <c r="F36" t="s">
        <v>50</v>
      </c>
      <c r="G36">
        <v>2207</v>
      </c>
      <c r="H36">
        <v>217.55323969189999</v>
      </c>
      <c r="I36">
        <v>2035</v>
      </c>
      <c r="J36">
        <v>443</v>
      </c>
      <c r="K36">
        <v>3420</v>
      </c>
      <c r="L36">
        <v>1767</v>
      </c>
      <c r="M36">
        <v>235</v>
      </c>
      <c r="N36">
        <v>211</v>
      </c>
      <c r="O36">
        <v>1041</v>
      </c>
      <c r="P36">
        <v>812</v>
      </c>
      <c r="Q36">
        <v>2</v>
      </c>
      <c r="R36">
        <v>17</v>
      </c>
      <c r="T36" t="s">
        <v>656</v>
      </c>
      <c r="U36" t="s">
        <v>315</v>
      </c>
      <c r="V36" t="s">
        <v>139</v>
      </c>
      <c r="W36" t="s">
        <v>222</v>
      </c>
      <c r="X36" t="s">
        <v>469</v>
      </c>
      <c r="Y36" t="s">
        <v>224</v>
      </c>
      <c r="Z36" t="s">
        <v>225</v>
      </c>
      <c r="AA36" t="s">
        <v>226</v>
      </c>
      <c r="AB36" t="s">
        <v>470</v>
      </c>
      <c r="AC36" t="s">
        <v>228</v>
      </c>
      <c r="AD36" t="s">
        <v>229</v>
      </c>
      <c r="AE36" t="s">
        <v>230</v>
      </c>
      <c r="AF36" t="s">
        <v>231</v>
      </c>
      <c r="AH36" t="s">
        <v>392</v>
      </c>
      <c r="AI36">
        <v>16014</v>
      </c>
      <c r="AJ36">
        <v>331.96521793429997</v>
      </c>
      <c r="AK36">
        <v>18356</v>
      </c>
      <c r="AL36">
        <v>5678</v>
      </c>
      <c r="AM36">
        <v>21997</v>
      </c>
      <c r="AN36">
        <v>13721</v>
      </c>
      <c r="AO36">
        <v>4153</v>
      </c>
      <c r="AP36">
        <v>3586</v>
      </c>
      <c r="AQ36">
        <v>8079</v>
      </c>
      <c r="AR36">
        <v>4354</v>
      </c>
      <c r="AS36">
        <v>810</v>
      </c>
      <c r="AT36">
        <v>45</v>
      </c>
      <c r="AV36" t="s">
        <v>393</v>
      </c>
      <c r="AW36">
        <v>807</v>
      </c>
      <c r="AX36">
        <v>94.762081784399996</v>
      </c>
      <c r="AY36">
        <v>668</v>
      </c>
      <c r="AZ36">
        <v>133</v>
      </c>
      <c r="BA36">
        <v>1253</v>
      </c>
      <c r="BB36">
        <v>360</v>
      </c>
      <c r="BC36">
        <v>21</v>
      </c>
      <c r="BD36">
        <v>21</v>
      </c>
      <c r="BE36">
        <v>263</v>
      </c>
      <c r="BF36">
        <v>32</v>
      </c>
      <c r="BG36">
        <v>99</v>
      </c>
      <c r="BH36">
        <v>241</v>
      </c>
      <c r="BJ36" t="s">
        <v>379</v>
      </c>
      <c r="BK36" t="s">
        <v>379</v>
      </c>
      <c r="BL36">
        <v>71606</v>
      </c>
      <c r="BM36">
        <v>21220</v>
      </c>
      <c r="BN36">
        <v>111.3710722565</v>
      </c>
      <c r="BO36">
        <v>233966</v>
      </c>
      <c r="BP36">
        <v>15517</v>
      </c>
      <c r="BQ36">
        <v>192.14557243359999</v>
      </c>
      <c r="BR36">
        <v>157.83521299220001</v>
      </c>
      <c r="BS36">
        <v>71114</v>
      </c>
      <c r="BT36">
        <v>20850</v>
      </c>
      <c r="BU36">
        <v>109.7888320162</v>
      </c>
      <c r="BV36">
        <v>231269</v>
      </c>
      <c r="BW36">
        <v>15312</v>
      </c>
      <c r="BX36">
        <v>189.63302474610001</v>
      </c>
      <c r="BY36">
        <v>157.82412486940001</v>
      </c>
      <c r="CA36" t="s">
        <v>425</v>
      </c>
      <c r="CB36" t="s">
        <v>866</v>
      </c>
      <c r="CC36" t="s">
        <v>998</v>
      </c>
      <c r="CD36">
        <v>1322</v>
      </c>
      <c r="CE36">
        <v>275</v>
      </c>
      <c r="CF36">
        <v>92.282148260200003</v>
      </c>
      <c r="CG36">
        <v>3741</v>
      </c>
      <c r="CH36">
        <v>265</v>
      </c>
      <c r="CI36">
        <v>175.0398289227</v>
      </c>
      <c r="CJ36">
        <v>156.81886792450001</v>
      </c>
      <c r="CL36" t="s">
        <v>425</v>
      </c>
      <c r="CM36" t="s">
        <v>835</v>
      </c>
      <c r="CN36" t="s">
        <v>841</v>
      </c>
      <c r="CO36">
        <v>50</v>
      </c>
      <c r="CP36">
        <v>6</v>
      </c>
      <c r="CQ36">
        <v>79.66</v>
      </c>
      <c r="CR36">
        <v>426</v>
      </c>
      <c r="CS36">
        <v>22</v>
      </c>
      <c r="CT36">
        <v>73.117370891999997</v>
      </c>
      <c r="CU36">
        <v>72.045454545499993</v>
      </c>
      <c r="CW36" t="s">
        <v>425</v>
      </c>
      <c r="CX36" t="s">
        <v>851</v>
      </c>
      <c r="CY36" t="s">
        <v>857</v>
      </c>
      <c r="CZ36">
        <v>13</v>
      </c>
      <c r="DA36">
        <v>4</v>
      </c>
      <c r="DB36">
        <v>70.692307692300005</v>
      </c>
      <c r="DC36">
        <v>60</v>
      </c>
      <c r="DD36">
        <v>3</v>
      </c>
      <c r="DE36">
        <v>120.75</v>
      </c>
      <c r="DF36">
        <v>97</v>
      </c>
      <c r="DH36" t="s">
        <v>425</v>
      </c>
      <c r="DI36" t="s">
        <v>819</v>
      </c>
      <c r="DJ36" t="s">
        <v>825</v>
      </c>
      <c r="DK36">
        <v>18</v>
      </c>
      <c r="DL36">
        <v>3</v>
      </c>
      <c r="DM36">
        <v>86.333333333300004</v>
      </c>
      <c r="DN36">
        <v>26</v>
      </c>
      <c r="DO36">
        <v>3</v>
      </c>
      <c r="DP36">
        <v>154.6538461538</v>
      </c>
      <c r="DQ36">
        <v>121</v>
      </c>
    </row>
    <row r="37" spans="2:121" x14ac:dyDescent="0.2">
      <c r="B37" t="s">
        <v>121</v>
      </c>
      <c r="C37">
        <v>3460</v>
      </c>
      <c r="D37">
        <v>696</v>
      </c>
      <c r="F37" t="s">
        <v>85</v>
      </c>
      <c r="G37">
        <v>825</v>
      </c>
      <c r="H37">
        <v>323.73575757579999</v>
      </c>
      <c r="I37">
        <v>897</v>
      </c>
      <c r="J37">
        <v>294</v>
      </c>
      <c r="K37">
        <v>889</v>
      </c>
      <c r="L37">
        <v>424</v>
      </c>
      <c r="M37">
        <v>9</v>
      </c>
      <c r="N37">
        <v>8</v>
      </c>
      <c r="O37">
        <v>353</v>
      </c>
      <c r="P37">
        <v>133</v>
      </c>
      <c r="Q37">
        <v>0</v>
      </c>
      <c r="R37">
        <v>0</v>
      </c>
      <c r="T37" t="s">
        <v>400</v>
      </c>
      <c r="U37">
        <v>2476</v>
      </c>
      <c r="V37">
        <v>64.661954765800004</v>
      </c>
      <c r="W37">
        <v>5056</v>
      </c>
      <c r="X37">
        <v>391</v>
      </c>
      <c r="Y37">
        <v>4408</v>
      </c>
      <c r="Z37">
        <v>435</v>
      </c>
      <c r="AA37">
        <v>52</v>
      </c>
      <c r="AB37">
        <v>50</v>
      </c>
      <c r="AC37">
        <v>305</v>
      </c>
      <c r="AD37">
        <v>92</v>
      </c>
      <c r="AE37">
        <v>3973</v>
      </c>
      <c r="AF37">
        <v>456</v>
      </c>
      <c r="AH37" t="s">
        <v>429</v>
      </c>
      <c r="AI37">
        <v>253</v>
      </c>
      <c r="AJ37">
        <v>218</v>
      </c>
      <c r="AK37">
        <v>645</v>
      </c>
      <c r="AL37">
        <v>129</v>
      </c>
      <c r="AM37">
        <v>640</v>
      </c>
      <c r="AN37">
        <v>148</v>
      </c>
      <c r="AO37">
        <v>81</v>
      </c>
      <c r="AP37">
        <v>43</v>
      </c>
      <c r="AQ37">
        <v>111</v>
      </c>
      <c r="AR37">
        <v>46</v>
      </c>
      <c r="AS37">
        <v>0</v>
      </c>
      <c r="AT37">
        <v>0</v>
      </c>
      <c r="AV37" t="s">
        <v>401</v>
      </c>
      <c r="AW37">
        <v>536</v>
      </c>
      <c r="AX37">
        <v>74.145522388100005</v>
      </c>
      <c r="AY37">
        <v>1019</v>
      </c>
      <c r="AZ37">
        <v>103</v>
      </c>
      <c r="BA37">
        <v>948</v>
      </c>
      <c r="BB37">
        <v>121</v>
      </c>
      <c r="BC37">
        <v>15</v>
      </c>
      <c r="BD37">
        <v>15</v>
      </c>
      <c r="BE37">
        <v>63</v>
      </c>
      <c r="BF37">
        <v>18</v>
      </c>
      <c r="BG37">
        <v>591</v>
      </c>
      <c r="BH37">
        <v>70</v>
      </c>
      <c r="BJ37" t="s">
        <v>536</v>
      </c>
      <c r="BK37" t="s">
        <v>379</v>
      </c>
      <c r="BL37">
        <v>7628</v>
      </c>
      <c r="BM37">
        <v>2899</v>
      </c>
      <c r="BN37">
        <v>132.4939695857</v>
      </c>
      <c r="BO37">
        <v>26241</v>
      </c>
      <c r="BP37">
        <v>1593</v>
      </c>
      <c r="BQ37">
        <v>228.13395068790001</v>
      </c>
      <c r="BR37">
        <v>173.186440678</v>
      </c>
      <c r="BS37">
        <v>7928</v>
      </c>
      <c r="BT37">
        <v>3055</v>
      </c>
      <c r="BU37">
        <v>134.66536326939999</v>
      </c>
      <c r="BV37">
        <v>26905</v>
      </c>
      <c r="BW37">
        <v>1694</v>
      </c>
      <c r="BX37">
        <v>226.4830328935</v>
      </c>
      <c r="BY37">
        <v>173.41440377800001</v>
      </c>
      <c r="CA37" t="s">
        <v>384</v>
      </c>
      <c r="CB37" t="s">
        <v>866</v>
      </c>
      <c r="CC37" t="s">
        <v>999</v>
      </c>
      <c r="CD37">
        <v>4177</v>
      </c>
      <c r="CE37">
        <v>1315</v>
      </c>
      <c r="CF37">
        <v>114.1967919559</v>
      </c>
      <c r="CG37">
        <v>12362</v>
      </c>
      <c r="CH37">
        <v>866</v>
      </c>
      <c r="CI37">
        <v>191.10103543119999</v>
      </c>
      <c r="CJ37">
        <v>165.63279445730001</v>
      </c>
      <c r="CL37" t="s">
        <v>384</v>
      </c>
      <c r="CM37" t="s">
        <v>835</v>
      </c>
      <c r="CN37" t="s">
        <v>842</v>
      </c>
      <c r="CO37">
        <v>257</v>
      </c>
      <c r="CP37">
        <v>37</v>
      </c>
      <c r="CQ37">
        <v>71.420233463000002</v>
      </c>
      <c r="CR37">
        <v>1882</v>
      </c>
      <c r="CS37">
        <v>102</v>
      </c>
      <c r="CT37">
        <v>78.916578108400003</v>
      </c>
      <c r="CU37">
        <v>92.323529411799996</v>
      </c>
      <c r="CW37" t="s">
        <v>384</v>
      </c>
      <c r="CX37" t="s">
        <v>851</v>
      </c>
      <c r="CY37" t="s">
        <v>858</v>
      </c>
      <c r="CZ37">
        <v>79</v>
      </c>
      <c r="DA37">
        <v>10</v>
      </c>
      <c r="DB37">
        <v>66.721518987300001</v>
      </c>
      <c r="DC37">
        <v>210</v>
      </c>
      <c r="DD37">
        <v>12</v>
      </c>
      <c r="DE37">
        <v>135.50476190480001</v>
      </c>
      <c r="DF37">
        <v>116.3333333333</v>
      </c>
      <c r="DH37" t="s">
        <v>384</v>
      </c>
      <c r="DI37" t="s">
        <v>819</v>
      </c>
      <c r="DJ37" t="s">
        <v>826</v>
      </c>
      <c r="DK37">
        <v>59</v>
      </c>
      <c r="DL37">
        <v>11</v>
      </c>
      <c r="DM37">
        <v>74.661016949200004</v>
      </c>
      <c r="DN37">
        <v>172</v>
      </c>
      <c r="DO37">
        <v>10</v>
      </c>
      <c r="DP37">
        <v>140.56395348839999</v>
      </c>
      <c r="DQ37">
        <v>116.4</v>
      </c>
    </row>
    <row r="38" spans="2:121" x14ac:dyDescent="0.2">
      <c r="B38" t="s">
        <v>102</v>
      </c>
      <c r="C38">
        <v>14990</v>
      </c>
      <c r="D38">
        <v>1807</v>
      </c>
      <c r="F38" t="s">
        <v>55</v>
      </c>
      <c r="G38">
        <v>7514</v>
      </c>
      <c r="H38">
        <v>404.49068405640003</v>
      </c>
      <c r="I38">
        <v>9937</v>
      </c>
      <c r="J38">
        <v>3372</v>
      </c>
      <c r="K38">
        <v>9266</v>
      </c>
      <c r="L38">
        <v>6370</v>
      </c>
      <c r="M38">
        <v>962</v>
      </c>
      <c r="N38">
        <v>902</v>
      </c>
      <c r="O38">
        <v>5565</v>
      </c>
      <c r="P38">
        <v>3869</v>
      </c>
      <c r="Q38">
        <v>2</v>
      </c>
      <c r="R38">
        <v>36</v>
      </c>
      <c r="T38" t="s">
        <v>390</v>
      </c>
      <c r="U38">
        <v>6520</v>
      </c>
      <c r="V38">
        <v>93.631901840500007</v>
      </c>
      <c r="W38">
        <v>6010</v>
      </c>
      <c r="X38">
        <v>1065</v>
      </c>
      <c r="Y38">
        <v>10568</v>
      </c>
      <c r="Z38">
        <v>2613</v>
      </c>
      <c r="AA38">
        <v>264</v>
      </c>
      <c r="AB38">
        <v>250</v>
      </c>
      <c r="AC38">
        <v>1733</v>
      </c>
      <c r="AD38">
        <v>279</v>
      </c>
      <c r="AE38">
        <v>1799</v>
      </c>
      <c r="AF38">
        <v>1503</v>
      </c>
      <c r="AH38" t="s">
        <v>401</v>
      </c>
      <c r="AI38">
        <v>9513</v>
      </c>
      <c r="AJ38">
        <v>488.40765268579997</v>
      </c>
      <c r="AK38">
        <v>8597</v>
      </c>
      <c r="AL38">
        <v>2256</v>
      </c>
      <c r="AM38">
        <v>13084</v>
      </c>
      <c r="AN38">
        <v>9648</v>
      </c>
      <c r="AO38">
        <v>1606</v>
      </c>
      <c r="AP38">
        <v>1510</v>
      </c>
      <c r="AQ38">
        <v>5801</v>
      </c>
      <c r="AR38">
        <v>3488</v>
      </c>
      <c r="AS38">
        <v>40</v>
      </c>
      <c r="AT38">
        <v>341</v>
      </c>
      <c r="AV38" t="s">
        <v>406</v>
      </c>
      <c r="AW38">
        <v>241</v>
      </c>
      <c r="AX38">
        <v>57.784232365100003</v>
      </c>
      <c r="AY38">
        <v>323</v>
      </c>
      <c r="AZ38">
        <v>17</v>
      </c>
      <c r="BA38">
        <v>405</v>
      </c>
      <c r="BB38">
        <v>30</v>
      </c>
      <c r="BC38">
        <v>2</v>
      </c>
      <c r="BD38">
        <v>2</v>
      </c>
      <c r="BE38">
        <v>18</v>
      </c>
      <c r="BF38">
        <v>4</v>
      </c>
      <c r="BG38">
        <v>359</v>
      </c>
      <c r="BH38">
        <v>31</v>
      </c>
      <c r="BJ38" t="s">
        <v>539</v>
      </c>
      <c r="BK38" t="s">
        <v>379</v>
      </c>
      <c r="BL38">
        <v>4844</v>
      </c>
      <c r="BM38">
        <v>1662</v>
      </c>
      <c r="BN38">
        <v>130.63232865399999</v>
      </c>
      <c r="BO38">
        <v>12067</v>
      </c>
      <c r="BP38">
        <v>737</v>
      </c>
      <c r="BQ38">
        <v>209.08676555900001</v>
      </c>
      <c r="BR38">
        <v>184.22795115330001</v>
      </c>
      <c r="BS38">
        <v>5175</v>
      </c>
      <c r="BT38">
        <v>1734</v>
      </c>
      <c r="BU38">
        <v>128.24367149759999</v>
      </c>
      <c r="BV38">
        <v>10609</v>
      </c>
      <c r="BW38">
        <v>716</v>
      </c>
      <c r="BX38">
        <v>204.34715807329999</v>
      </c>
      <c r="BY38">
        <v>178.85335195530001</v>
      </c>
      <c r="CA38" t="s">
        <v>63</v>
      </c>
      <c r="CB38" t="s">
        <v>866</v>
      </c>
      <c r="CC38" t="s">
        <v>528</v>
      </c>
      <c r="CD38">
        <v>9323</v>
      </c>
      <c r="CE38">
        <v>2751</v>
      </c>
      <c r="CF38">
        <v>111.7879437949</v>
      </c>
      <c r="CG38">
        <v>29152</v>
      </c>
      <c r="CH38">
        <v>1819</v>
      </c>
      <c r="CI38">
        <v>197.97667398460001</v>
      </c>
      <c r="CJ38">
        <v>167.31775700930001</v>
      </c>
      <c r="CL38" t="s">
        <v>63</v>
      </c>
      <c r="CM38" t="s">
        <v>835</v>
      </c>
      <c r="CN38" t="s">
        <v>843</v>
      </c>
      <c r="CO38">
        <v>574</v>
      </c>
      <c r="CP38">
        <v>79</v>
      </c>
      <c r="CQ38">
        <v>73.212543554000007</v>
      </c>
      <c r="CR38">
        <v>4508</v>
      </c>
      <c r="CS38">
        <v>276</v>
      </c>
      <c r="CT38">
        <v>69.997781721400003</v>
      </c>
      <c r="CU38">
        <v>73.333333333300004</v>
      </c>
      <c r="CW38" t="s">
        <v>63</v>
      </c>
      <c r="CX38" t="s">
        <v>851</v>
      </c>
      <c r="CY38" t="s">
        <v>859</v>
      </c>
      <c r="CZ38">
        <v>204</v>
      </c>
      <c r="DA38">
        <v>21</v>
      </c>
      <c r="DB38">
        <v>61.205882352899998</v>
      </c>
      <c r="DC38">
        <v>522</v>
      </c>
      <c r="DD38">
        <v>28</v>
      </c>
      <c r="DE38">
        <v>134.64942528739999</v>
      </c>
      <c r="DF38">
        <v>133.46428571429999</v>
      </c>
      <c r="DH38" t="s">
        <v>63</v>
      </c>
      <c r="DI38" t="s">
        <v>819</v>
      </c>
      <c r="DJ38" t="s">
        <v>827</v>
      </c>
      <c r="DK38">
        <v>152</v>
      </c>
      <c r="DL38">
        <v>20</v>
      </c>
      <c r="DM38">
        <v>70.822368421099995</v>
      </c>
      <c r="DN38">
        <v>408</v>
      </c>
      <c r="DO38">
        <v>22</v>
      </c>
      <c r="DP38">
        <v>148.8014705882</v>
      </c>
      <c r="DQ38">
        <v>132.04545454550001</v>
      </c>
    </row>
    <row r="39" spans="2:121" x14ac:dyDescent="0.2">
      <c r="B39" t="s">
        <v>130</v>
      </c>
      <c r="C39">
        <v>3799</v>
      </c>
      <c r="D39">
        <v>510</v>
      </c>
      <c r="F39" t="s">
        <v>63</v>
      </c>
      <c r="G39">
        <v>3212</v>
      </c>
      <c r="H39">
        <v>269.64321295140002</v>
      </c>
      <c r="I39">
        <v>4631</v>
      </c>
      <c r="J39">
        <v>1380</v>
      </c>
      <c r="K39">
        <v>4932</v>
      </c>
      <c r="L39">
        <v>2672</v>
      </c>
      <c r="M39">
        <v>1726</v>
      </c>
      <c r="N39">
        <v>1137</v>
      </c>
      <c r="O39">
        <v>298</v>
      </c>
      <c r="P39">
        <v>214</v>
      </c>
      <c r="Q39">
        <v>0</v>
      </c>
      <c r="R39">
        <v>11</v>
      </c>
      <c r="T39" t="s">
        <v>379</v>
      </c>
      <c r="U39">
        <v>6392</v>
      </c>
      <c r="V39">
        <v>94.551001251599999</v>
      </c>
      <c r="W39">
        <v>6896</v>
      </c>
      <c r="X39">
        <v>1567</v>
      </c>
      <c r="Y39">
        <v>10044</v>
      </c>
      <c r="Z39">
        <v>2848</v>
      </c>
      <c r="AA39">
        <v>427</v>
      </c>
      <c r="AB39">
        <v>420</v>
      </c>
      <c r="AC39">
        <v>2571</v>
      </c>
      <c r="AD39">
        <v>355</v>
      </c>
      <c r="AE39">
        <v>859</v>
      </c>
      <c r="AF39">
        <v>2058</v>
      </c>
      <c r="AH39" t="s">
        <v>422</v>
      </c>
      <c r="AI39">
        <v>4590</v>
      </c>
      <c r="AJ39">
        <v>277.3725490196</v>
      </c>
      <c r="AK39">
        <v>7193</v>
      </c>
      <c r="AL39">
        <v>1666</v>
      </c>
      <c r="AM39">
        <v>7430</v>
      </c>
      <c r="AN39">
        <v>3106</v>
      </c>
      <c r="AO39">
        <v>1214</v>
      </c>
      <c r="AP39">
        <v>605</v>
      </c>
      <c r="AQ39">
        <v>1262</v>
      </c>
      <c r="AR39">
        <v>456</v>
      </c>
      <c r="AS39">
        <v>7</v>
      </c>
      <c r="AT39">
        <v>64</v>
      </c>
      <c r="AV39" t="s">
        <v>424</v>
      </c>
      <c r="AW39">
        <v>34</v>
      </c>
      <c r="AX39">
        <v>83.352941176499996</v>
      </c>
      <c r="AY39">
        <v>40</v>
      </c>
      <c r="AZ39">
        <v>3</v>
      </c>
      <c r="BA39">
        <v>53</v>
      </c>
      <c r="BB39">
        <v>13</v>
      </c>
      <c r="BC39">
        <v>4</v>
      </c>
      <c r="BD39">
        <v>4</v>
      </c>
      <c r="BE39">
        <v>20</v>
      </c>
      <c r="BF39">
        <v>3</v>
      </c>
      <c r="BG39">
        <v>8</v>
      </c>
      <c r="BH39">
        <v>10</v>
      </c>
      <c r="BJ39" t="s">
        <v>524</v>
      </c>
      <c r="BK39" t="s">
        <v>379</v>
      </c>
      <c r="BL39">
        <v>2053</v>
      </c>
      <c r="BM39">
        <v>536</v>
      </c>
      <c r="BN39">
        <v>90.119337554799998</v>
      </c>
      <c r="BO39">
        <v>21742</v>
      </c>
      <c r="BP39">
        <v>1317</v>
      </c>
      <c r="BQ39">
        <v>54.914773249900001</v>
      </c>
      <c r="BR39">
        <v>44.008352315899998</v>
      </c>
      <c r="BS39">
        <v>3591</v>
      </c>
      <c r="BT39">
        <v>1686</v>
      </c>
      <c r="BU39">
        <v>149.62935115569999</v>
      </c>
      <c r="BV39">
        <v>27009</v>
      </c>
      <c r="BW39">
        <v>1685</v>
      </c>
      <c r="BX39">
        <v>85.887593024500006</v>
      </c>
      <c r="BY39">
        <v>89.496735904999994</v>
      </c>
      <c r="CA39" t="s">
        <v>392</v>
      </c>
      <c r="CB39" t="s">
        <v>866</v>
      </c>
      <c r="CC39" t="s">
        <v>1000</v>
      </c>
      <c r="CD39">
        <v>17082</v>
      </c>
      <c r="CE39">
        <v>5460</v>
      </c>
      <c r="CF39">
        <v>117.17369160520001</v>
      </c>
      <c r="CG39">
        <v>53595</v>
      </c>
      <c r="CH39">
        <v>3607</v>
      </c>
      <c r="CI39">
        <v>195.4697453121</v>
      </c>
      <c r="CJ39">
        <v>162.28195176049999</v>
      </c>
      <c r="CL39" t="s">
        <v>392</v>
      </c>
      <c r="CM39" t="s">
        <v>835</v>
      </c>
      <c r="CN39" t="s">
        <v>844</v>
      </c>
      <c r="CO39">
        <v>662</v>
      </c>
      <c r="CP39">
        <v>92</v>
      </c>
      <c r="CQ39">
        <v>71.413897281000004</v>
      </c>
      <c r="CR39">
        <v>4854</v>
      </c>
      <c r="CS39">
        <v>288</v>
      </c>
      <c r="CT39">
        <v>76.045941491600004</v>
      </c>
      <c r="CU39">
        <v>73.472222222200003</v>
      </c>
      <c r="CW39" t="s">
        <v>392</v>
      </c>
      <c r="CX39" t="s">
        <v>851</v>
      </c>
      <c r="CY39" t="s">
        <v>860</v>
      </c>
      <c r="CZ39">
        <v>513</v>
      </c>
      <c r="DA39">
        <v>75</v>
      </c>
      <c r="DB39">
        <v>73.307992202700007</v>
      </c>
      <c r="DC39">
        <v>1190</v>
      </c>
      <c r="DD39">
        <v>68</v>
      </c>
      <c r="DE39">
        <v>141.90252100839999</v>
      </c>
      <c r="DF39">
        <v>153.20588235290001</v>
      </c>
      <c r="DH39" t="s">
        <v>392</v>
      </c>
      <c r="DI39" t="s">
        <v>819</v>
      </c>
      <c r="DJ39" t="s">
        <v>828</v>
      </c>
      <c r="DK39">
        <v>1068</v>
      </c>
      <c r="DL39">
        <v>119</v>
      </c>
      <c r="DM39">
        <v>66.405430711600005</v>
      </c>
      <c r="DN39">
        <v>1611</v>
      </c>
      <c r="DO39">
        <v>94</v>
      </c>
      <c r="DP39">
        <v>128.38237119799999</v>
      </c>
      <c r="DQ39">
        <v>131.38297872339999</v>
      </c>
    </row>
    <row r="40" spans="2:121" x14ac:dyDescent="0.2">
      <c r="B40" t="s">
        <v>111</v>
      </c>
      <c r="C40">
        <v>6563</v>
      </c>
      <c r="D40">
        <v>5025</v>
      </c>
      <c r="F40" t="s">
        <v>52</v>
      </c>
      <c r="G40">
        <v>4159</v>
      </c>
      <c r="H40">
        <v>386.86006251499998</v>
      </c>
      <c r="I40">
        <v>3923</v>
      </c>
      <c r="J40">
        <v>1617</v>
      </c>
      <c r="K40">
        <v>6126</v>
      </c>
      <c r="L40">
        <v>3972</v>
      </c>
      <c r="M40">
        <v>1899</v>
      </c>
      <c r="N40">
        <v>1418</v>
      </c>
      <c r="O40">
        <v>2374</v>
      </c>
      <c r="P40">
        <v>1478</v>
      </c>
      <c r="Q40">
        <v>87</v>
      </c>
      <c r="R40">
        <v>172</v>
      </c>
      <c r="T40" t="s">
        <v>8</v>
      </c>
      <c r="U40">
        <v>212</v>
      </c>
      <c r="V40">
        <v>88.575471698100003</v>
      </c>
      <c r="W40">
        <v>178</v>
      </c>
      <c r="X40">
        <v>72</v>
      </c>
      <c r="Y40">
        <v>468</v>
      </c>
      <c r="Z40">
        <v>191</v>
      </c>
      <c r="AA40">
        <v>26</v>
      </c>
      <c r="AB40">
        <v>25</v>
      </c>
      <c r="AC40">
        <v>124</v>
      </c>
      <c r="AD40">
        <v>36</v>
      </c>
      <c r="AE40">
        <v>69</v>
      </c>
      <c r="AF40">
        <v>20</v>
      </c>
      <c r="AH40" t="s">
        <v>419</v>
      </c>
      <c r="AI40">
        <v>9482</v>
      </c>
      <c r="AJ40">
        <v>395.8967517401</v>
      </c>
      <c r="AK40">
        <v>5325</v>
      </c>
      <c r="AL40">
        <v>1923</v>
      </c>
      <c r="AM40">
        <v>12507</v>
      </c>
      <c r="AN40">
        <v>8276</v>
      </c>
      <c r="AO40">
        <v>3647</v>
      </c>
      <c r="AP40">
        <v>2985</v>
      </c>
      <c r="AQ40">
        <v>1727</v>
      </c>
      <c r="AR40">
        <v>665</v>
      </c>
      <c r="AS40">
        <v>3</v>
      </c>
      <c r="AT40">
        <v>77</v>
      </c>
      <c r="AV40" t="s">
        <v>420</v>
      </c>
      <c r="AW40">
        <v>491</v>
      </c>
      <c r="AX40">
        <v>44.979633401199997</v>
      </c>
      <c r="AY40">
        <v>1443</v>
      </c>
      <c r="AZ40">
        <v>41</v>
      </c>
      <c r="BA40">
        <v>1024</v>
      </c>
      <c r="BB40">
        <v>85</v>
      </c>
      <c r="BC40">
        <v>10</v>
      </c>
      <c r="BD40">
        <v>9</v>
      </c>
      <c r="BE40">
        <v>57</v>
      </c>
      <c r="BF40">
        <v>30</v>
      </c>
      <c r="BG40">
        <v>982</v>
      </c>
      <c r="BH40">
        <v>281</v>
      </c>
      <c r="BJ40" t="s">
        <v>545</v>
      </c>
      <c r="BK40" t="s">
        <v>379</v>
      </c>
      <c r="BL40">
        <v>11036</v>
      </c>
      <c r="BM40">
        <v>2996</v>
      </c>
      <c r="BN40">
        <v>101.61924610369999</v>
      </c>
      <c r="BO40">
        <v>34823</v>
      </c>
      <c r="BP40">
        <v>2274</v>
      </c>
      <c r="BQ40">
        <v>208.8086035092</v>
      </c>
      <c r="BR40">
        <v>166.76912928760001</v>
      </c>
      <c r="BS40">
        <v>11129</v>
      </c>
      <c r="BT40">
        <v>2833</v>
      </c>
      <c r="BU40">
        <v>95.826219786099998</v>
      </c>
      <c r="BV40">
        <v>33690</v>
      </c>
      <c r="BW40">
        <v>2326</v>
      </c>
      <c r="BX40">
        <v>197.9051350549</v>
      </c>
      <c r="BY40">
        <v>161.86715391230001</v>
      </c>
      <c r="CA40" t="s">
        <v>385</v>
      </c>
      <c r="CB40" t="s">
        <v>866</v>
      </c>
      <c r="CC40" t="s">
        <v>1001</v>
      </c>
      <c r="CD40">
        <v>9374</v>
      </c>
      <c r="CE40">
        <v>3046</v>
      </c>
      <c r="CF40">
        <v>121.3681459356</v>
      </c>
      <c r="CG40">
        <v>30253</v>
      </c>
      <c r="CH40">
        <v>1861</v>
      </c>
      <c r="CI40">
        <v>210.04776385810001</v>
      </c>
      <c r="CJ40">
        <v>161.66523374529999</v>
      </c>
      <c r="CL40" t="s">
        <v>385</v>
      </c>
      <c r="CM40" t="s">
        <v>835</v>
      </c>
      <c r="CN40" t="s">
        <v>845</v>
      </c>
      <c r="CO40">
        <v>738</v>
      </c>
      <c r="CP40">
        <v>84</v>
      </c>
      <c r="CQ40">
        <v>66.375338753400001</v>
      </c>
      <c r="CR40">
        <v>5389</v>
      </c>
      <c r="CS40">
        <v>276</v>
      </c>
      <c r="CT40">
        <v>68.253664872900004</v>
      </c>
      <c r="CU40">
        <v>65.6485507246</v>
      </c>
      <c r="CW40" t="s">
        <v>385</v>
      </c>
      <c r="CX40" t="s">
        <v>851</v>
      </c>
      <c r="CY40" t="s">
        <v>861</v>
      </c>
      <c r="CZ40">
        <v>173</v>
      </c>
      <c r="DA40">
        <v>17</v>
      </c>
      <c r="DB40">
        <v>66.693641618499996</v>
      </c>
      <c r="DC40">
        <v>466</v>
      </c>
      <c r="DD40">
        <v>29</v>
      </c>
      <c r="DE40">
        <v>132.79828326180001</v>
      </c>
      <c r="DF40">
        <v>146.89655172409999</v>
      </c>
      <c r="DH40" t="s">
        <v>385</v>
      </c>
      <c r="DI40" t="s">
        <v>819</v>
      </c>
      <c r="DJ40" t="s">
        <v>829</v>
      </c>
      <c r="DK40">
        <v>99</v>
      </c>
      <c r="DL40">
        <v>16</v>
      </c>
      <c r="DM40">
        <v>81.636363636400006</v>
      </c>
      <c r="DN40">
        <v>311</v>
      </c>
      <c r="DO40">
        <v>18</v>
      </c>
      <c r="DP40">
        <v>153.56591639870001</v>
      </c>
      <c r="DQ40">
        <v>193.44444444440001</v>
      </c>
    </row>
    <row r="41" spans="2:121" x14ac:dyDescent="0.2">
      <c r="B41" t="s">
        <v>119</v>
      </c>
      <c r="C41">
        <v>13782</v>
      </c>
      <c r="D41">
        <v>2846</v>
      </c>
      <c r="F41" t="s">
        <v>25</v>
      </c>
      <c r="G41">
        <v>12797</v>
      </c>
      <c r="H41">
        <v>350.62327107919998</v>
      </c>
      <c r="I41">
        <v>14389</v>
      </c>
      <c r="J41">
        <v>4538</v>
      </c>
      <c r="K41">
        <v>17990</v>
      </c>
      <c r="L41">
        <v>12185</v>
      </c>
      <c r="M41">
        <v>4483</v>
      </c>
      <c r="N41">
        <v>3960</v>
      </c>
      <c r="O41">
        <v>20073</v>
      </c>
      <c r="P41">
        <v>9649</v>
      </c>
      <c r="Q41">
        <v>62</v>
      </c>
      <c r="R41">
        <v>27</v>
      </c>
      <c r="T41" t="s">
        <v>395</v>
      </c>
      <c r="U41">
        <v>1350</v>
      </c>
      <c r="V41">
        <v>58.081481481499999</v>
      </c>
      <c r="W41">
        <v>2987</v>
      </c>
      <c r="X41">
        <v>134</v>
      </c>
      <c r="Y41">
        <v>2600</v>
      </c>
      <c r="Z41">
        <v>252</v>
      </c>
      <c r="AA41">
        <v>33</v>
      </c>
      <c r="AB41">
        <v>32</v>
      </c>
      <c r="AC41">
        <v>170</v>
      </c>
      <c r="AD41">
        <v>68</v>
      </c>
      <c r="AE41">
        <v>2517</v>
      </c>
      <c r="AF41">
        <v>490</v>
      </c>
      <c r="AH41" t="s">
        <v>8</v>
      </c>
      <c r="AI41">
        <v>8866</v>
      </c>
      <c r="AJ41">
        <v>417.05707196029999</v>
      </c>
      <c r="AK41">
        <v>4142</v>
      </c>
      <c r="AL41">
        <v>1819</v>
      </c>
      <c r="AM41">
        <v>10759</v>
      </c>
      <c r="AN41">
        <v>8199</v>
      </c>
      <c r="AO41">
        <v>1363</v>
      </c>
      <c r="AP41">
        <v>1173</v>
      </c>
      <c r="AQ41">
        <v>15603</v>
      </c>
      <c r="AR41">
        <v>11901</v>
      </c>
      <c r="AS41">
        <v>378</v>
      </c>
      <c r="AT41">
        <v>152</v>
      </c>
      <c r="AV41" t="s">
        <v>421</v>
      </c>
      <c r="AW41">
        <v>174</v>
      </c>
      <c r="AX41">
        <v>73.028735632199997</v>
      </c>
      <c r="AY41">
        <v>207</v>
      </c>
      <c r="AZ41">
        <v>14</v>
      </c>
      <c r="BA41">
        <v>299</v>
      </c>
      <c r="BB41">
        <v>41</v>
      </c>
      <c r="BC41">
        <v>7</v>
      </c>
      <c r="BD41">
        <v>7</v>
      </c>
      <c r="BE41">
        <v>18</v>
      </c>
      <c r="BF41">
        <v>5</v>
      </c>
      <c r="BG41">
        <v>260</v>
      </c>
      <c r="BH41">
        <v>16</v>
      </c>
      <c r="BJ41" t="s">
        <v>637</v>
      </c>
      <c r="BK41" t="s">
        <v>379</v>
      </c>
      <c r="BL41">
        <v>1427</v>
      </c>
      <c r="BM41">
        <v>189</v>
      </c>
      <c r="BN41">
        <v>78.896285914499998</v>
      </c>
      <c r="BO41">
        <v>3977</v>
      </c>
      <c r="BP41">
        <v>291</v>
      </c>
      <c r="BQ41">
        <v>130.53658536590001</v>
      </c>
      <c r="BR41">
        <v>131.18556701029999</v>
      </c>
      <c r="BS41">
        <v>4279</v>
      </c>
      <c r="BT41">
        <v>1376</v>
      </c>
      <c r="BU41">
        <v>126.31689647109999</v>
      </c>
      <c r="BV41">
        <v>17709</v>
      </c>
      <c r="BW41">
        <v>1136</v>
      </c>
      <c r="BX41">
        <v>211.91478909029999</v>
      </c>
      <c r="BY41">
        <v>180.73767605629999</v>
      </c>
      <c r="CA41" t="s">
        <v>382</v>
      </c>
      <c r="CB41" t="s">
        <v>866</v>
      </c>
      <c r="CC41" t="s">
        <v>1002</v>
      </c>
      <c r="CD41">
        <v>929</v>
      </c>
      <c r="CE41">
        <v>274</v>
      </c>
      <c r="CF41">
        <v>99.990312163599995</v>
      </c>
      <c r="CG41">
        <v>2784</v>
      </c>
      <c r="CH41">
        <v>163</v>
      </c>
      <c r="CI41">
        <v>115.2604166667</v>
      </c>
      <c r="CJ41">
        <v>114.0858895706</v>
      </c>
      <c r="CL41" t="s">
        <v>382</v>
      </c>
      <c r="CM41" t="s">
        <v>835</v>
      </c>
      <c r="CN41" t="s">
        <v>846</v>
      </c>
      <c r="CO41">
        <v>60</v>
      </c>
      <c r="CP41">
        <v>7</v>
      </c>
      <c r="CQ41">
        <v>62.95</v>
      </c>
      <c r="CR41">
        <v>329</v>
      </c>
      <c r="CS41">
        <v>18</v>
      </c>
      <c r="CT41">
        <v>68.267477203599995</v>
      </c>
      <c r="CU41">
        <v>65.055555555599994</v>
      </c>
      <c r="CW41" t="s">
        <v>382</v>
      </c>
      <c r="CX41" t="s">
        <v>851</v>
      </c>
      <c r="CY41" t="s">
        <v>862</v>
      </c>
      <c r="CZ41">
        <v>11</v>
      </c>
      <c r="DA41">
        <v>1</v>
      </c>
      <c r="DB41">
        <v>61.363636363600001</v>
      </c>
      <c r="DC41">
        <v>28</v>
      </c>
      <c r="DD41">
        <v>0</v>
      </c>
      <c r="DE41">
        <v>100.3928571429</v>
      </c>
      <c r="DF41">
        <v>0</v>
      </c>
      <c r="DH41" t="s">
        <v>382</v>
      </c>
      <c r="DI41" t="s">
        <v>819</v>
      </c>
      <c r="DJ41" t="s">
        <v>830</v>
      </c>
      <c r="DK41">
        <v>6</v>
      </c>
      <c r="DL41">
        <v>0</v>
      </c>
      <c r="DM41">
        <v>46.666666666700003</v>
      </c>
      <c r="DN41">
        <v>13</v>
      </c>
      <c r="DO41">
        <v>0</v>
      </c>
      <c r="DP41">
        <v>145.92307692310001</v>
      </c>
      <c r="DQ41">
        <v>0</v>
      </c>
    </row>
    <row r="42" spans="2:121" x14ac:dyDescent="0.2">
      <c r="B42" t="s">
        <v>118</v>
      </c>
      <c r="C42">
        <v>5459</v>
      </c>
      <c r="D42">
        <v>279</v>
      </c>
      <c r="F42" t="s">
        <v>78</v>
      </c>
      <c r="G42">
        <v>4951</v>
      </c>
      <c r="H42">
        <v>264.53342759039998</v>
      </c>
      <c r="I42">
        <v>4869</v>
      </c>
      <c r="J42">
        <v>1050</v>
      </c>
      <c r="K42">
        <v>7610</v>
      </c>
      <c r="L42">
        <v>4655</v>
      </c>
      <c r="M42">
        <v>2250</v>
      </c>
      <c r="N42">
        <v>2153</v>
      </c>
      <c r="O42">
        <v>5592</v>
      </c>
      <c r="P42">
        <v>4667</v>
      </c>
      <c r="Q42">
        <v>42</v>
      </c>
      <c r="R42">
        <v>103</v>
      </c>
      <c r="T42" t="s">
        <v>414</v>
      </c>
      <c r="U42">
        <v>997</v>
      </c>
      <c r="V42">
        <v>44.005015045100002</v>
      </c>
      <c r="W42">
        <v>3872</v>
      </c>
      <c r="X42">
        <v>134</v>
      </c>
      <c r="Y42">
        <v>1893</v>
      </c>
      <c r="Z42">
        <v>148</v>
      </c>
      <c r="AA42">
        <v>23</v>
      </c>
      <c r="AB42">
        <v>21</v>
      </c>
      <c r="AC42">
        <v>141</v>
      </c>
      <c r="AD42">
        <v>69</v>
      </c>
      <c r="AE42">
        <v>2088</v>
      </c>
      <c r="AF42">
        <v>589</v>
      </c>
      <c r="AH42" t="s">
        <v>385</v>
      </c>
      <c r="AI42">
        <v>7853</v>
      </c>
      <c r="AJ42">
        <v>400.20234305359998</v>
      </c>
      <c r="AK42">
        <v>9577</v>
      </c>
      <c r="AL42">
        <v>3094</v>
      </c>
      <c r="AM42">
        <v>11612</v>
      </c>
      <c r="AN42">
        <v>7602</v>
      </c>
      <c r="AO42">
        <v>1019</v>
      </c>
      <c r="AP42">
        <v>723</v>
      </c>
      <c r="AQ42">
        <v>5877</v>
      </c>
      <c r="AR42">
        <v>3117</v>
      </c>
      <c r="AS42">
        <v>977</v>
      </c>
      <c r="AT42">
        <v>10</v>
      </c>
      <c r="AV42" t="s">
        <v>63</v>
      </c>
      <c r="AW42">
        <v>1088</v>
      </c>
      <c r="AX42">
        <v>94.613970588200004</v>
      </c>
      <c r="AY42">
        <v>1418</v>
      </c>
      <c r="AZ42">
        <v>314</v>
      </c>
      <c r="BA42">
        <v>1790</v>
      </c>
      <c r="BB42">
        <v>504</v>
      </c>
      <c r="BC42">
        <v>55</v>
      </c>
      <c r="BD42">
        <v>55</v>
      </c>
      <c r="BE42">
        <v>385</v>
      </c>
      <c r="BF42">
        <v>51</v>
      </c>
      <c r="BG42">
        <v>110</v>
      </c>
      <c r="BH42">
        <v>324</v>
      </c>
      <c r="BJ42" t="s">
        <v>639</v>
      </c>
      <c r="BK42" t="s">
        <v>379</v>
      </c>
      <c r="BL42">
        <v>377</v>
      </c>
      <c r="BM42">
        <v>122</v>
      </c>
      <c r="BN42">
        <v>104.649867374</v>
      </c>
      <c r="BO42">
        <v>1389</v>
      </c>
      <c r="BP42">
        <v>76</v>
      </c>
      <c r="BQ42">
        <v>168.15982721380001</v>
      </c>
      <c r="BR42">
        <v>138.34210526320001</v>
      </c>
      <c r="BS42">
        <v>685</v>
      </c>
      <c r="BT42">
        <v>284</v>
      </c>
      <c r="BU42">
        <v>116.797080292</v>
      </c>
      <c r="BV42">
        <v>2125</v>
      </c>
      <c r="BW42">
        <v>124</v>
      </c>
      <c r="BX42">
        <v>189.3388235294</v>
      </c>
      <c r="BY42">
        <v>161.12903225810001</v>
      </c>
      <c r="CA42" t="s">
        <v>427</v>
      </c>
      <c r="CB42" t="s">
        <v>866</v>
      </c>
      <c r="CC42" t="s">
        <v>1003</v>
      </c>
      <c r="CD42">
        <v>409</v>
      </c>
      <c r="CE42">
        <v>126</v>
      </c>
      <c r="CF42">
        <v>103.2249388753</v>
      </c>
      <c r="CG42">
        <v>1392</v>
      </c>
      <c r="CH42">
        <v>79</v>
      </c>
      <c r="CI42">
        <v>163.50215517239999</v>
      </c>
      <c r="CJ42">
        <v>124.8607594937</v>
      </c>
      <c r="CL42" t="s">
        <v>427</v>
      </c>
      <c r="CM42" t="s">
        <v>835</v>
      </c>
      <c r="CN42" t="s">
        <v>847</v>
      </c>
      <c r="CO42">
        <v>19</v>
      </c>
      <c r="CP42">
        <v>1</v>
      </c>
      <c r="CQ42">
        <v>64.210526315799996</v>
      </c>
      <c r="CR42">
        <v>120</v>
      </c>
      <c r="CS42">
        <v>7</v>
      </c>
      <c r="CT42">
        <v>84.825000000000003</v>
      </c>
      <c r="CU42">
        <v>62.285714285700003</v>
      </c>
      <c r="CW42" t="s">
        <v>427</v>
      </c>
      <c r="CX42" t="s">
        <v>851</v>
      </c>
      <c r="CY42" t="s">
        <v>863</v>
      </c>
      <c r="CZ42">
        <v>5</v>
      </c>
      <c r="DA42">
        <v>0</v>
      </c>
      <c r="DB42">
        <v>23.2</v>
      </c>
      <c r="DC42">
        <v>22</v>
      </c>
      <c r="DD42">
        <v>0</v>
      </c>
      <c r="DE42">
        <v>134.9090909091</v>
      </c>
      <c r="DF42">
        <v>0</v>
      </c>
      <c r="DH42" t="s">
        <v>427</v>
      </c>
      <c r="DI42" t="s">
        <v>819</v>
      </c>
      <c r="DJ42" t="s">
        <v>831</v>
      </c>
      <c r="DK42">
        <v>6</v>
      </c>
      <c r="DL42">
        <v>1</v>
      </c>
      <c r="DM42">
        <v>48</v>
      </c>
      <c r="DN42">
        <v>16</v>
      </c>
      <c r="DO42">
        <v>0</v>
      </c>
      <c r="DP42">
        <v>154</v>
      </c>
      <c r="DQ42">
        <v>0</v>
      </c>
    </row>
    <row r="43" spans="2:121" x14ac:dyDescent="0.2">
      <c r="B43" t="s">
        <v>133</v>
      </c>
      <c r="C43">
        <v>62880</v>
      </c>
      <c r="D43">
        <v>49931</v>
      </c>
      <c r="F43" t="s">
        <v>35</v>
      </c>
      <c r="G43">
        <v>2191</v>
      </c>
      <c r="H43">
        <v>486.51255134640002</v>
      </c>
      <c r="I43">
        <v>896</v>
      </c>
      <c r="J43">
        <v>129</v>
      </c>
      <c r="K43">
        <v>2809</v>
      </c>
      <c r="L43">
        <v>2072</v>
      </c>
      <c r="M43">
        <v>1910</v>
      </c>
      <c r="N43">
        <v>1736</v>
      </c>
      <c r="O43">
        <v>171</v>
      </c>
      <c r="P43">
        <v>108</v>
      </c>
      <c r="Q43">
        <v>0</v>
      </c>
      <c r="R43">
        <v>2</v>
      </c>
      <c r="AH43" t="s">
        <v>437</v>
      </c>
      <c r="AI43">
        <v>2849</v>
      </c>
      <c r="AJ43">
        <v>301.04457704459998</v>
      </c>
      <c r="AK43">
        <v>2677</v>
      </c>
      <c r="AL43">
        <v>923</v>
      </c>
      <c r="AM43">
        <v>4815</v>
      </c>
      <c r="AN43">
        <v>3179</v>
      </c>
      <c r="AO43">
        <v>754</v>
      </c>
      <c r="AP43">
        <v>636</v>
      </c>
      <c r="AQ43">
        <v>1784</v>
      </c>
      <c r="AR43">
        <v>974</v>
      </c>
      <c r="AS43">
        <v>204</v>
      </c>
      <c r="AT43">
        <v>4</v>
      </c>
      <c r="AV43" t="s">
        <v>426</v>
      </c>
      <c r="AW43">
        <v>113</v>
      </c>
      <c r="AX43">
        <v>93.8407079646</v>
      </c>
      <c r="AY43">
        <v>76</v>
      </c>
      <c r="AZ43">
        <v>12</v>
      </c>
      <c r="BA43">
        <v>182</v>
      </c>
      <c r="BB43">
        <v>51</v>
      </c>
      <c r="BC43">
        <v>6</v>
      </c>
      <c r="BD43">
        <v>5</v>
      </c>
      <c r="BE43">
        <v>41</v>
      </c>
      <c r="BF43">
        <v>7</v>
      </c>
      <c r="BG43">
        <v>16</v>
      </c>
      <c r="BH43">
        <v>27</v>
      </c>
      <c r="BJ43" t="s">
        <v>653</v>
      </c>
      <c r="BK43" t="s">
        <v>379</v>
      </c>
      <c r="BL43">
        <v>913</v>
      </c>
      <c r="BM43">
        <v>295</v>
      </c>
      <c r="BN43">
        <v>113.1193866375</v>
      </c>
      <c r="BO43">
        <v>2404</v>
      </c>
      <c r="BP43">
        <v>136</v>
      </c>
      <c r="BQ43">
        <v>222.97628951749999</v>
      </c>
      <c r="BR43">
        <v>188.8529411765</v>
      </c>
      <c r="BS43">
        <v>802</v>
      </c>
      <c r="BT43">
        <v>200</v>
      </c>
      <c r="BU43">
        <v>101.3952618454</v>
      </c>
      <c r="BV43">
        <v>1893</v>
      </c>
      <c r="BW43">
        <v>93</v>
      </c>
      <c r="BX43">
        <v>229.06708927630001</v>
      </c>
      <c r="BY43">
        <v>203.78494623660001</v>
      </c>
      <c r="CA43" t="s">
        <v>388</v>
      </c>
      <c r="CB43" t="s">
        <v>866</v>
      </c>
      <c r="CC43" t="s">
        <v>1004</v>
      </c>
      <c r="CD43">
        <v>11303</v>
      </c>
      <c r="CE43">
        <v>3211</v>
      </c>
      <c r="CF43">
        <v>105.4469609838</v>
      </c>
      <c r="CG43">
        <v>37405</v>
      </c>
      <c r="CH43">
        <v>2423</v>
      </c>
      <c r="CI43">
        <v>198.35035423069999</v>
      </c>
      <c r="CJ43">
        <v>158.83615352870001</v>
      </c>
      <c r="CL43" t="s">
        <v>388</v>
      </c>
      <c r="CM43" t="s">
        <v>835</v>
      </c>
      <c r="CN43" t="s">
        <v>848</v>
      </c>
      <c r="CO43">
        <v>418</v>
      </c>
      <c r="CP43">
        <v>62</v>
      </c>
      <c r="CQ43">
        <v>78.966507176999997</v>
      </c>
      <c r="CR43">
        <v>3014</v>
      </c>
      <c r="CS43">
        <v>184</v>
      </c>
      <c r="CT43">
        <v>81.113802256100001</v>
      </c>
      <c r="CU43">
        <v>74.190217391299996</v>
      </c>
      <c r="CW43" t="s">
        <v>388</v>
      </c>
      <c r="CX43" t="s">
        <v>851</v>
      </c>
      <c r="CY43" t="s">
        <v>864</v>
      </c>
      <c r="CZ43">
        <v>538</v>
      </c>
      <c r="DA43">
        <v>111</v>
      </c>
      <c r="DB43">
        <v>85.3215613383</v>
      </c>
      <c r="DC43">
        <v>1377</v>
      </c>
      <c r="DD43">
        <v>83</v>
      </c>
      <c r="DE43">
        <v>148.13435003629999</v>
      </c>
      <c r="DF43">
        <v>142.30120481930001</v>
      </c>
      <c r="DH43" t="s">
        <v>388</v>
      </c>
      <c r="DI43" t="s">
        <v>819</v>
      </c>
      <c r="DJ43" t="s">
        <v>832</v>
      </c>
      <c r="DK43">
        <v>855</v>
      </c>
      <c r="DL43">
        <v>116</v>
      </c>
      <c r="DM43">
        <v>74.049122807000003</v>
      </c>
      <c r="DN43">
        <v>1632</v>
      </c>
      <c r="DO43">
        <v>95</v>
      </c>
      <c r="DP43">
        <v>140.7757352941</v>
      </c>
      <c r="DQ43">
        <v>139.94736842110001</v>
      </c>
    </row>
    <row r="44" spans="2:121" x14ac:dyDescent="0.2">
      <c r="B44" t="s">
        <v>132</v>
      </c>
      <c r="C44">
        <v>9540</v>
      </c>
      <c r="D44">
        <v>6599</v>
      </c>
      <c r="F44" t="s">
        <v>69</v>
      </c>
      <c r="G44">
        <v>8461</v>
      </c>
      <c r="H44">
        <v>400.64874128349999</v>
      </c>
      <c r="I44">
        <v>5128</v>
      </c>
      <c r="J44">
        <v>1879</v>
      </c>
      <c r="K44">
        <v>10543</v>
      </c>
      <c r="L44">
        <v>7126</v>
      </c>
      <c r="M44">
        <v>3814</v>
      </c>
      <c r="N44">
        <v>3167</v>
      </c>
      <c r="O44">
        <v>1479</v>
      </c>
      <c r="P44">
        <v>659</v>
      </c>
      <c r="Q44">
        <v>0</v>
      </c>
      <c r="R44">
        <v>75</v>
      </c>
      <c r="AH44" t="s">
        <v>382</v>
      </c>
      <c r="AI44">
        <v>456</v>
      </c>
      <c r="AJ44">
        <v>240.326754386</v>
      </c>
      <c r="AK44">
        <v>913</v>
      </c>
      <c r="AL44">
        <v>280</v>
      </c>
      <c r="AM44">
        <v>1094</v>
      </c>
      <c r="AN44">
        <v>392</v>
      </c>
      <c r="AO44">
        <v>343</v>
      </c>
      <c r="AP44">
        <v>124</v>
      </c>
      <c r="AQ44">
        <v>125</v>
      </c>
      <c r="AR44">
        <v>57</v>
      </c>
      <c r="AS44">
        <v>111</v>
      </c>
      <c r="AT44">
        <v>2</v>
      </c>
      <c r="AV44" t="s">
        <v>404</v>
      </c>
      <c r="AW44">
        <v>349</v>
      </c>
      <c r="AX44">
        <v>66.429799426900004</v>
      </c>
      <c r="AY44">
        <v>691</v>
      </c>
      <c r="AZ44">
        <v>59</v>
      </c>
      <c r="BA44">
        <v>570</v>
      </c>
      <c r="BB44">
        <v>62</v>
      </c>
      <c r="BC44">
        <v>7</v>
      </c>
      <c r="BD44">
        <v>5</v>
      </c>
      <c r="BE44">
        <v>59</v>
      </c>
      <c r="BF44">
        <v>18</v>
      </c>
      <c r="BG44">
        <v>564</v>
      </c>
      <c r="BH44">
        <v>53</v>
      </c>
      <c r="BJ44" t="s">
        <v>553</v>
      </c>
      <c r="BK44" t="s">
        <v>379</v>
      </c>
      <c r="BL44">
        <v>17365</v>
      </c>
      <c r="BM44">
        <v>5401</v>
      </c>
      <c r="BN44">
        <v>114.5147135042</v>
      </c>
      <c r="BO44">
        <v>50801</v>
      </c>
      <c r="BP44">
        <v>3507</v>
      </c>
      <c r="BQ44">
        <v>205.146847503</v>
      </c>
      <c r="BR44">
        <v>167.72084402620001</v>
      </c>
      <c r="BS44">
        <v>13091</v>
      </c>
      <c r="BT44">
        <v>3404</v>
      </c>
      <c r="BU44">
        <v>101.95027117870001</v>
      </c>
      <c r="BV44">
        <v>36396</v>
      </c>
      <c r="BW44">
        <v>2218</v>
      </c>
      <c r="BX44">
        <v>211.20040663809999</v>
      </c>
      <c r="BY44">
        <v>168.55725879170001</v>
      </c>
      <c r="CA44" t="s">
        <v>389</v>
      </c>
      <c r="CB44" t="s">
        <v>866</v>
      </c>
      <c r="CC44" t="s">
        <v>1005</v>
      </c>
      <c r="CD44">
        <v>2225</v>
      </c>
      <c r="CE44">
        <v>488</v>
      </c>
      <c r="CF44">
        <v>91.670561797800005</v>
      </c>
      <c r="CG44">
        <v>8835</v>
      </c>
      <c r="CH44">
        <v>801</v>
      </c>
      <c r="CI44">
        <v>146.84199207699999</v>
      </c>
      <c r="CJ44">
        <v>118.0237203496</v>
      </c>
      <c r="CL44" t="s">
        <v>389</v>
      </c>
      <c r="CM44" t="s">
        <v>835</v>
      </c>
      <c r="CN44" t="s">
        <v>849</v>
      </c>
      <c r="CO44">
        <v>120</v>
      </c>
      <c r="CP44">
        <v>23</v>
      </c>
      <c r="CQ44">
        <v>84.483333333299996</v>
      </c>
      <c r="CR44">
        <v>877</v>
      </c>
      <c r="CS44">
        <v>63</v>
      </c>
      <c r="CT44">
        <v>77.326111744599999</v>
      </c>
      <c r="CU44">
        <v>78.507936507899998</v>
      </c>
      <c r="CW44" t="s">
        <v>389</v>
      </c>
      <c r="CX44" t="s">
        <v>851</v>
      </c>
      <c r="CY44" t="s">
        <v>865</v>
      </c>
      <c r="CZ44">
        <v>17</v>
      </c>
      <c r="DA44">
        <v>2</v>
      </c>
      <c r="DB44">
        <v>68.588235294100002</v>
      </c>
      <c r="DC44">
        <v>61</v>
      </c>
      <c r="DD44">
        <v>0</v>
      </c>
      <c r="DE44">
        <v>126.90163934429999</v>
      </c>
      <c r="DF44">
        <v>0</v>
      </c>
      <c r="DH44" t="s">
        <v>389</v>
      </c>
      <c r="DI44" t="s">
        <v>819</v>
      </c>
      <c r="DJ44" t="s">
        <v>833</v>
      </c>
      <c r="DK44">
        <v>24</v>
      </c>
      <c r="DL44">
        <v>2</v>
      </c>
      <c r="DM44">
        <v>68.458333333300004</v>
      </c>
      <c r="DN44">
        <v>58</v>
      </c>
      <c r="DO44">
        <v>3</v>
      </c>
      <c r="DP44">
        <v>157.775862069</v>
      </c>
      <c r="DQ44">
        <v>138</v>
      </c>
    </row>
    <row r="45" spans="2:121" x14ac:dyDescent="0.2">
      <c r="B45" t="s">
        <v>106</v>
      </c>
      <c r="C45">
        <v>191</v>
      </c>
      <c r="D45">
        <v>189</v>
      </c>
      <c r="F45" t="s">
        <v>81</v>
      </c>
      <c r="G45">
        <v>1532</v>
      </c>
      <c r="H45">
        <v>228.02349869450001</v>
      </c>
      <c r="I45">
        <v>1233</v>
      </c>
      <c r="J45">
        <v>186</v>
      </c>
      <c r="K45">
        <v>2290</v>
      </c>
      <c r="L45">
        <v>1053</v>
      </c>
      <c r="M45">
        <v>967</v>
      </c>
      <c r="N45">
        <v>552</v>
      </c>
      <c r="O45">
        <v>926</v>
      </c>
      <c r="P45">
        <v>852</v>
      </c>
      <c r="Q45">
        <v>0</v>
      </c>
      <c r="R45">
        <v>0</v>
      </c>
      <c r="AH45" t="s">
        <v>393</v>
      </c>
      <c r="AI45">
        <v>11753</v>
      </c>
      <c r="AJ45">
        <v>340.35761082279998</v>
      </c>
      <c r="AK45">
        <v>9796</v>
      </c>
      <c r="AL45">
        <v>2732</v>
      </c>
      <c r="AM45">
        <v>16568</v>
      </c>
      <c r="AN45">
        <v>11407</v>
      </c>
      <c r="AO45">
        <v>1995</v>
      </c>
      <c r="AP45">
        <v>1091</v>
      </c>
      <c r="AQ45">
        <v>2855</v>
      </c>
      <c r="AR45">
        <v>1582</v>
      </c>
      <c r="AS45">
        <v>418</v>
      </c>
      <c r="AT45">
        <v>61</v>
      </c>
      <c r="AV45" t="s">
        <v>431</v>
      </c>
      <c r="AW45">
        <v>3</v>
      </c>
      <c r="AX45">
        <v>46</v>
      </c>
      <c r="AY45">
        <v>33</v>
      </c>
      <c r="AZ45">
        <v>2</v>
      </c>
      <c r="BA45">
        <v>16</v>
      </c>
      <c r="BB45">
        <v>3</v>
      </c>
      <c r="BC45">
        <v>0</v>
      </c>
      <c r="BE45">
        <v>1</v>
      </c>
      <c r="BG45">
        <v>36</v>
      </c>
      <c r="BH45">
        <v>3</v>
      </c>
      <c r="BJ45" t="s">
        <v>8</v>
      </c>
      <c r="BK45" t="s">
        <v>8</v>
      </c>
      <c r="BL45">
        <v>623</v>
      </c>
      <c r="BM45">
        <v>287</v>
      </c>
      <c r="BN45">
        <v>137.46709470299999</v>
      </c>
      <c r="BO45">
        <v>915</v>
      </c>
      <c r="BP45">
        <v>110</v>
      </c>
      <c r="BQ45">
        <v>205.00874316939999</v>
      </c>
      <c r="BR45">
        <v>189.7545454545</v>
      </c>
      <c r="BS45">
        <v>65</v>
      </c>
      <c r="BT45">
        <v>9</v>
      </c>
      <c r="BU45">
        <v>99.092307692299997</v>
      </c>
      <c r="BV45">
        <v>6029</v>
      </c>
      <c r="BW45">
        <v>38</v>
      </c>
      <c r="BX45">
        <v>178.49295073810001</v>
      </c>
      <c r="BY45">
        <v>118.7631578947</v>
      </c>
      <c r="CA45" t="s">
        <v>379</v>
      </c>
      <c r="CB45" t="s">
        <v>866</v>
      </c>
      <c r="CD45">
        <v>70882</v>
      </c>
      <c r="CE45">
        <v>21011</v>
      </c>
      <c r="CF45">
        <v>111.5546401061</v>
      </c>
      <c r="CG45">
        <v>227083</v>
      </c>
      <c r="CH45">
        <v>14996</v>
      </c>
      <c r="CI45">
        <v>195.75725615740001</v>
      </c>
      <c r="CJ45">
        <v>160.51507068550001</v>
      </c>
      <c r="CL45" t="s">
        <v>379</v>
      </c>
      <c r="CM45" t="s">
        <v>835</v>
      </c>
      <c r="CO45">
        <v>3538</v>
      </c>
      <c r="CP45">
        <v>468</v>
      </c>
      <c r="CQ45">
        <v>72.154324477100005</v>
      </c>
      <c r="CR45">
        <v>26368</v>
      </c>
      <c r="CS45">
        <v>1527</v>
      </c>
      <c r="CT45">
        <v>74.321981189300004</v>
      </c>
      <c r="CU45">
        <v>73.730844793700001</v>
      </c>
      <c r="CW45" t="s">
        <v>379</v>
      </c>
      <c r="CX45" t="s">
        <v>851</v>
      </c>
      <c r="CZ45">
        <v>1923</v>
      </c>
      <c r="DA45">
        <v>286</v>
      </c>
      <c r="DB45">
        <v>73.539261570500003</v>
      </c>
      <c r="DC45">
        <v>4939</v>
      </c>
      <c r="DD45">
        <v>272</v>
      </c>
      <c r="DE45">
        <v>139.9512046973</v>
      </c>
      <c r="DF45">
        <v>137.8860294118</v>
      </c>
      <c r="DH45" t="s">
        <v>379</v>
      </c>
      <c r="DI45" t="s">
        <v>819</v>
      </c>
      <c r="DK45">
        <v>2696</v>
      </c>
      <c r="DL45">
        <v>340</v>
      </c>
      <c r="DM45">
        <v>70.745919881299997</v>
      </c>
      <c r="DN45">
        <v>5106</v>
      </c>
      <c r="DO45">
        <v>292</v>
      </c>
      <c r="DP45">
        <v>139.33548766160001</v>
      </c>
      <c r="DQ45">
        <v>140.4931506849</v>
      </c>
    </row>
    <row r="46" spans="2:121" x14ac:dyDescent="0.2">
      <c r="B46" t="s">
        <v>114</v>
      </c>
      <c r="C46">
        <v>531</v>
      </c>
      <c r="D46">
        <v>467</v>
      </c>
      <c r="F46" t="s">
        <v>66</v>
      </c>
      <c r="G46">
        <v>5452</v>
      </c>
      <c r="H46">
        <v>403.8407923698</v>
      </c>
      <c r="I46">
        <v>9989</v>
      </c>
      <c r="J46">
        <v>3386</v>
      </c>
      <c r="K46">
        <v>8428</v>
      </c>
      <c r="L46">
        <v>5413</v>
      </c>
      <c r="M46">
        <v>1804</v>
      </c>
      <c r="N46">
        <v>604</v>
      </c>
      <c r="O46">
        <v>7521</v>
      </c>
      <c r="P46">
        <v>4082</v>
      </c>
      <c r="Q46">
        <v>8354</v>
      </c>
      <c r="R46">
        <v>0</v>
      </c>
      <c r="AH46" t="s">
        <v>430</v>
      </c>
      <c r="AI46">
        <v>627</v>
      </c>
      <c r="AJ46">
        <v>175.8803827751</v>
      </c>
      <c r="AK46">
        <v>897</v>
      </c>
      <c r="AL46">
        <v>215</v>
      </c>
      <c r="AM46">
        <v>1157</v>
      </c>
      <c r="AN46">
        <v>258</v>
      </c>
      <c r="AO46">
        <v>386</v>
      </c>
      <c r="AP46">
        <v>100</v>
      </c>
      <c r="AQ46">
        <v>131</v>
      </c>
      <c r="AR46">
        <v>55</v>
      </c>
      <c r="AS46">
        <v>1</v>
      </c>
      <c r="AT46">
        <v>1</v>
      </c>
      <c r="AV46" t="s">
        <v>399</v>
      </c>
      <c r="AW46">
        <v>174</v>
      </c>
      <c r="AX46">
        <v>78.201149425300002</v>
      </c>
      <c r="AY46">
        <v>219</v>
      </c>
      <c r="AZ46">
        <v>21</v>
      </c>
      <c r="BA46">
        <v>310</v>
      </c>
      <c r="BB46">
        <v>43</v>
      </c>
      <c r="BC46">
        <v>7</v>
      </c>
      <c r="BD46">
        <v>7</v>
      </c>
      <c r="BE46">
        <v>34</v>
      </c>
      <c r="BF46">
        <v>8</v>
      </c>
      <c r="BG46">
        <v>260</v>
      </c>
      <c r="BH46">
        <v>27</v>
      </c>
      <c r="BJ46" t="s">
        <v>696</v>
      </c>
      <c r="BK46" t="s">
        <v>8</v>
      </c>
      <c r="BL46">
        <v>623</v>
      </c>
      <c r="BM46">
        <v>287</v>
      </c>
      <c r="BN46">
        <v>137.46709470299999</v>
      </c>
      <c r="BO46">
        <v>915</v>
      </c>
      <c r="BP46">
        <v>110</v>
      </c>
      <c r="BQ46">
        <v>205.00874316939999</v>
      </c>
      <c r="BR46">
        <v>189.7545454545</v>
      </c>
      <c r="BS46">
        <v>65</v>
      </c>
      <c r="BT46">
        <v>9</v>
      </c>
      <c r="BU46">
        <v>99.092307692299997</v>
      </c>
      <c r="BV46">
        <v>6029</v>
      </c>
      <c r="BW46">
        <v>38</v>
      </c>
      <c r="BX46">
        <v>178.49295073810001</v>
      </c>
      <c r="BY46">
        <v>118.7631578947</v>
      </c>
      <c r="CA46" t="s">
        <v>8</v>
      </c>
      <c r="CB46" t="s">
        <v>696</v>
      </c>
      <c r="CC46" t="s">
        <v>696</v>
      </c>
      <c r="CD46">
        <v>3749</v>
      </c>
      <c r="CE46">
        <v>1617</v>
      </c>
      <c r="CF46">
        <v>152.9565217391</v>
      </c>
      <c r="CG46">
        <v>9567</v>
      </c>
      <c r="CH46">
        <v>693</v>
      </c>
      <c r="CI46">
        <v>206.09449148109999</v>
      </c>
      <c r="CJ46">
        <v>194.2741702742</v>
      </c>
      <c r="CL46" t="s">
        <v>8</v>
      </c>
      <c r="CM46" t="s">
        <v>868</v>
      </c>
      <c r="CN46" t="s">
        <v>868</v>
      </c>
      <c r="CO46">
        <v>168</v>
      </c>
      <c r="CP46">
        <v>40</v>
      </c>
      <c r="CQ46">
        <v>100.0416666667</v>
      </c>
      <c r="CR46">
        <v>988</v>
      </c>
      <c r="CS46">
        <v>62</v>
      </c>
      <c r="CT46">
        <v>97.390688259100003</v>
      </c>
      <c r="CU46">
        <v>103.79032258060001</v>
      </c>
      <c r="CW46" t="s">
        <v>8</v>
      </c>
      <c r="CX46" t="s">
        <v>869</v>
      </c>
      <c r="CY46" t="s">
        <v>869</v>
      </c>
      <c r="CZ46">
        <v>18</v>
      </c>
      <c r="DA46">
        <v>4</v>
      </c>
      <c r="DB46">
        <v>73.166666666699996</v>
      </c>
      <c r="DC46">
        <v>60</v>
      </c>
      <c r="DD46">
        <v>4</v>
      </c>
      <c r="DE46">
        <v>143.63333333329999</v>
      </c>
      <c r="DF46">
        <v>143.75</v>
      </c>
      <c r="DH46" t="s">
        <v>8</v>
      </c>
      <c r="DI46" t="s">
        <v>867</v>
      </c>
      <c r="DJ46" t="s">
        <v>867</v>
      </c>
      <c r="DK46">
        <v>63</v>
      </c>
      <c r="DL46">
        <v>8</v>
      </c>
      <c r="DM46">
        <v>68.507936507899998</v>
      </c>
      <c r="DN46">
        <v>177</v>
      </c>
      <c r="DO46">
        <v>6</v>
      </c>
      <c r="DP46">
        <v>148.2259887006</v>
      </c>
      <c r="DQ46">
        <v>139.6666666667</v>
      </c>
    </row>
    <row r="47" spans="2:121" x14ac:dyDescent="0.2">
      <c r="B47" t="s">
        <v>107</v>
      </c>
      <c r="C47">
        <v>17396</v>
      </c>
      <c r="D47">
        <v>12923</v>
      </c>
      <c r="F47" t="s">
        <v>84</v>
      </c>
      <c r="G47">
        <v>1316</v>
      </c>
      <c r="H47">
        <v>147.10030395140001</v>
      </c>
      <c r="I47">
        <v>2476</v>
      </c>
      <c r="J47">
        <v>592</v>
      </c>
      <c r="K47">
        <v>2174</v>
      </c>
      <c r="L47">
        <v>891</v>
      </c>
      <c r="M47">
        <v>293</v>
      </c>
      <c r="N47">
        <v>150</v>
      </c>
      <c r="O47">
        <v>155</v>
      </c>
      <c r="P47">
        <v>84</v>
      </c>
      <c r="Q47">
        <v>0</v>
      </c>
      <c r="R47">
        <v>10</v>
      </c>
      <c r="AH47" t="s">
        <v>394</v>
      </c>
      <c r="AI47">
        <v>7460</v>
      </c>
      <c r="AJ47">
        <v>268.43230562999997</v>
      </c>
      <c r="AK47">
        <v>9668</v>
      </c>
      <c r="AL47">
        <v>2396</v>
      </c>
      <c r="AM47">
        <v>10441</v>
      </c>
      <c r="AN47">
        <v>5830</v>
      </c>
      <c r="AO47">
        <v>1424</v>
      </c>
      <c r="AP47">
        <v>1154</v>
      </c>
      <c r="AQ47">
        <v>1888</v>
      </c>
      <c r="AR47">
        <v>1095</v>
      </c>
      <c r="AS47">
        <v>32</v>
      </c>
      <c r="AT47">
        <v>229</v>
      </c>
      <c r="AV47" t="s">
        <v>433</v>
      </c>
      <c r="AW47">
        <v>53</v>
      </c>
      <c r="AX47">
        <v>90.679245283</v>
      </c>
      <c r="AY47">
        <v>60</v>
      </c>
      <c r="AZ47">
        <v>15</v>
      </c>
      <c r="BA47">
        <v>80</v>
      </c>
      <c r="BB47">
        <v>22</v>
      </c>
      <c r="BC47">
        <v>7</v>
      </c>
      <c r="BD47">
        <v>6</v>
      </c>
      <c r="BE47">
        <v>45</v>
      </c>
      <c r="BF47">
        <v>8</v>
      </c>
      <c r="BG47">
        <v>6</v>
      </c>
      <c r="BH47">
        <v>24</v>
      </c>
      <c r="BJ47" t="s">
        <v>596</v>
      </c>
      <c r="BK47" t="s">
        <v>414</v>
      </c>
      <c r="BL47">
        <v>2958</v>
      </c>
      <c r="BM47">
        <v>811</v>
      </c>
      <c r="BN47">
        <v>104.7089249493</v>
      </c>
      <c r="BO47">
        <v>7969</v>
      </c>
      <c r="BP47">
        <v>576</v>
      </c>
      <c r="BQ47">
        <v>178.94704479859999</v>
      </c>
      <c r="BR47">
        <v>161.25</v>
      </c>
      <c r="BS47">
        <v>2558</v>
      </c>
      <c r="BT47">
        <v>650</v>
      </c>
      <c r="BU47">
        <v>100.2756059421</v>
      </c>
      <c r="BV47">
        <v>7950</v>
      </c>
      <c r="BW47">
        <v>494</v>
      </c>
      <c r="BX47">
        <v>181.4426415094</v>
      </c>
      <c r="BY47">
        <v>161.44534412959999</v>
      </c>
      <c r="CA47" t="s">
        <v>8</v>
      </c>
      <c r="CB47" t="s">
        <v>696</v>
      </c>
      <c r="CC47" t="s">
        <v>696</v>
      </c>
      <c r="CD47">
        <v>3749</v>
      </c>
      <c r="CE47">
        <v>1617</v>
      </c>
      <c r="CF47">
        <v>152.9565217391</v>
      </c>
      <c r="CG47">
        <v>9567</v>
      </c>
      <c r="CH47">
        <v>693</v>
      </c>
      <c r="CI47">
        <v>206.09449148109999</v>
      </c>
      <c r="CJ47">
        <v>194.2741702742</v>
      </c>
      <c r="CL47" t="s">
        <v>8</v>
      </c>
      <c r="CM47" t="s">
        <v>868</v>
      </c>
      <c r="CN47" t="s">
        <v>868</v>
      </c>
      <c r="CO47">
        <v>168</v>
      </c>
      <c r="CP47">
        <v>40</v>
      </c>
      <c r="CQ47">
        <v>100.0416666667</v>
      </c>
      <c r="CR47">
        <v>988</v>
      </c>
      <c r="CS47">
        <v>62</v>
      </c>
      <c r="CT47">
        <v>97.390688259100003</v>
      </c>
      <c r="CU47">
        <v>103.79032258060001</v>
      </c>
      <c r="CW47" t="s">
        <v>8</v>
      </c>
      <c r="CX47" t="s">
        <v>869</v>
      </c>
      <c r="CY47" t="s">
        <v>869</v>
      </c>
      <c r="CZ47">
        <v>18</v>
      </c>
      <c r="DA47">
        <v>4</v>
      </c>
      <c r="DB47">
        <v>73.166666666699996</v>
      </c>
      <c r="DC47">
        <v>60</v>
      </c>
      <c r="DD47">
        <v>4</v>
      </c>
      <c r="DE47">
        <v>143.63333333329999</v>
      </c>
      <c r="DF47">
        <v>143.75</v>
      </c>
      <c r="DH47" t="s">
        <v>8</v>
      </c>
      <c r="DI47" t="s">
        <v>867</v>
      </c>
      <c r="DJ47" t="s">
        <v>867</v>
      </c>
      <c r="DK47">
        <v>63</v>
      </c>
      <c r="DL47">
        <v>8</v>
      </c>
      <c r="DM47">
        <v>68.507936507899998</v>
      </c>
      <c r="DN47">
        <v>177</v>
      </c>
      <c r="DO47">
        <v>6</v>
      </c>
      <c r="DP47">
        <v>148.2259887006</v>
      </c>
      <c r="DQ47">
        <v>139.6666666667</v>
      </c>
    </row>
    <row r="48" spans="2:121" x14ac:dyDescent="0.2">
      <c r="B48" t="s">
        <v>123</v>
      </c>
      <c r="C48">
        <v>3467</v>
      </c>
      <c r="D48">
        <v>805</v>
      </c>
      <c r="F48" t="s">
        <v>440</v>
      </c>
      <c r="G48">
        <v>38142</v>
      </c>
      <c r="H48">
        <v>445.39746211530002</v>
      </c>
      <c r="I48">
        <v>809</v>
      </c>
      <c r="J48">
        <v>342</v>
      </c>
      <c r="K48">
        <v>38683</v>
      </c>
      <c r="L48">
        <v>37195</v>
      </c>
      <c r="M48">
        <v>120</v>
      </c>
      <c r="N48">
        <v>111</v>
      </c>
      <c r="O48">
        <v>1648</v>
      </c>
      <c r="P48">
        <v>1481</v>
      </c>
      <c r="Q48">
        <v>0</v>
      </c>
      <c r="R48">
        <v>2</v>
      </c>
      <c r="AH48" t="s">
        <v>420</v>
      </c>
      <c r="AI48">
        <v>32628</v>
      </c>
      <c r="AJ48">
        <v>330.46334436680002</v>
      </c>
      <c r="AK48">
        <v>37331</v>
      </c>
      <c r="AL48">
        <v>11149</v>
      </c>
      <c r="AM48">
        <v>46304</v>
      </c>
      <c r="AN48">
        <v>26254</v>
      </c>
      <c r="AO48">
        <v>4883</v>
      </c>
      <c r="AP48">
        <v>3550</v>
      </c>
      <c r="AQ48">
        <v>9492</v>
      </c>
      <c r="AR48">
        <v>5454</v>
      </c>
      <c r="AS48">
        <v>29</v>
      </c>
      <c r="AT48">
        <v>447</v>
      </c>
      <c r="AV48" t="s">
        <v>429</v>
      </c>
      <c r="AW48">
        <v>17</v>
      </c>
      <c r="AX48">
        <v>40.882352941199997</v>
      </c>
      <c r="AY48">
        <v>31</v>
      </c>
      <c r="BA48">
        <v>26</v>
      </c>
      <c r="BC48">
        <v>1</v>
      </c>
      <c r="BD48">
        <v>1</v>
      </c>
      <c r="BE48">
        <v>0</v>
      </c>
      <c r="BG48">
        <v>46</v>
      </c>
      <c r="BH48">
        <v>5</v>
      </c>
      <c r="BJ48" t="s">
        <v>655</v>
      </c>
      <c r="BK48" t="s">
        <v>414</v>
      </c>
      <c r="BL48">
        <v>1030</v>
      </c>
      <c r="BM48">
        <v>136</v>
      </c>
      <c r="BN48">
        <v>73.726213592199997</v>
      </c>
      <c r="BO48">
        <v>3052</v>
      </c>
      <c r="BP48">
        <v>264</v>
      </c>
      <c r="BQ48">
        <v>147.83781127130001</v>
      </c>
      <c r="BR48">
        <v>139.50378787880001</v>
      </c>
      <c r="BS48">
        <v>1154</v>
      </c>
      <c r="BT48">
        <v>243</v>
      </c>
      <c r="BU48">
        <v>83.447140381300002</v>
      </c>
      <c r="BV48">
        <v>3060</v>
      </c>
      <c r="BW48">
        <v>283</v>
      </c>
      <c r="BX48">
        <v>150.27156862749999</v>
      </c>
      <c r="BY48">
        <v>146.2190812721</v>
      </c>
      <c r="CA48" t="s">
        <v>8</v>
      </c>
      <c r="CB48" t="s">
        <v>696</v>
      </c>
      <c r="CC48" t="s">
        <v>696</v>
      </c>
      <c r="CD48">
        <v>3749</v>
      </c>
      <c r="CE48">
        <v>1617</v>
      </c>
      <c r="CF48">
        <v>152.9565217391</v>
      </c>
      <c r="CG48">
        <v>9567</v>
      </c>
      <c r="CH48">
        <v>693</v>
      </c>
      <c r="CI48">
        <v>206.09449148109999</v>
      </c>
      <c r="CJ48">
        <v>194.2741702742</v>
      </c>
      <c r="CL48" t="s">
        <v>8</v>
      </c>
      <c r="CM48" t="s">
        <v>868</v>
      </c>
      <c r="CN48" t="s">
        <v>868</v>
      </c>
      <c r="CO48">
        <v>168</v>
      </c>
      <c r="CP48">
        <v>40</v>
      </c>
      <c r="CQ48">
        <v>100.0416666667</v>
      </c>
      <c r="CR48">
        <v>988</v>
      </c>
      <c r="CS48">
        <v>62</v>
      </c>
      <c r="CT48">
        <v>97.390688259100003</v>
      </c>
      <c r="CU48">
        <v>103.79032258060001</v>
      </c>
      <c r="CW48" t="s">
        <v>8</v>
      </c>
      <c r="CX48" t="s">
        <v>869</v>
      </c>
      <c r="CY48" t="s">
        <v>869</v>
      </c>
      <c r="CZ48">
        <v>18</v>
      </c>
      <c r="DA48">
        <v>4</v>
      </c>
      <c r="DB48">
        <v>73.166666666699996</v>
      </c>
      <c r="DC48">
        <v>60</v>
      </c>
      <c r="DD48">
        <v>4</v>
      </c>
      <c r="DE48">
        <v>143.63333333329999</v>
      </c>
      <c r="DF48">
        <v>143.75</v>
      </c>
      <c r="DH48" t="s">
        <v>8</v>
      </c>
      <c r="DI48" t="s">
        <v>867</v>
      </c>
      <c r="DJ48" t="s">
        <v>867</v>
      </c>
      <c r="DK48">
        <v>63</v>
      </c>
      <c r="DL48">
        <v>8</v>
      </c>
      <c r="DM48">
        <v>68.507936507899998</v>
      </c>
      <c r="DN48">
        <v>177</v>
      </c>
      <c r="DO48">
        <v>6</v>
      </c>
      <c r="DP48">
        <v>148.2259887006</v>
      </c>
      <c r="DQ48">
        <v>139.6666666667</v>
      </c>
    </row>
    <row r="49" spans="2:121" x14ac:dyDescent="0.2">
      <c r="B49" t="s">
        <v>21</v>
      </c>
      <c r="C49">
        <v>40498</v>
      </c>
      <c r="D49">
        <v>14531</v>
      </c>
      <c r="F49" t="s">
        <v>43</v>
      </c>
      <c r="G49">
        <v>6910</v>
      </c>
      <c r="H49">
        <v>424.12257597680002</v>
      </c>
      <c r="I49">
        <v>7372</v>
      </c>
      <c r="J49">
        <v>2932</v>
      </c>
      <c r="K49">
        <v>9153</v>
      </c>
      <c r="L49">
        <v>6202</v>
      </c>
      <c r="M49">
        <v>2030</v>
      </c>
      <c r="N49">
        <v>1770</v>
      </c>
      <c r="O49">
        <v>5004</v>
      </c>
      <c r="P49">
        <v>3793</v>
      </c>
      <c r="Q49">
        <v>1</v>
      </c>
      <c r="R49">
        <v>65</v>
      </c>
      <c r="AH49" t="s">
        <v>416</v>
      </c>
      <c r="AI49">
        <v>2224</v>
      </c>
      <c r="AJ49">
        <v>320.23021582730001</v>
      </c>
      <c r="AK49">
        <v>1933</v>
      </c>
      <c r="AL49">
        <v>475</v>
      </c>
      <c r="AM49">
        <v>3675</v>
      </c>
      <c r="AN49">
        <v>1841</v>
      </c>
      <c r="AO49">
        <v>552</v>
      </c>
      <c r="AP49">
        <v>428</v>
      </c>
      <c r="AQ49">
        <v>234</v>
      </c>
      <c r="AR49">
        <v>129</v>
      </c>
      <c r="AS49">
        <v>0</v>
      </c>
      <c r="AT49">
        <v>4</v>
      </c>
      <c r="AV49" t="s">
        <v>388</v>
      </c>
      <c r="AW49">
        <v>718</v>
      </c>
      <c r="AX49">
        <v>97.892757660200004</v>
      </c>
      <c r="AY49">
        <v>603</v>
      </c>
      <c r="AZ49">
        <v>149</v>
      </c>
      <c r="BA49">
        <v>1085</v>
      </c>
      <c r="BB49">
        <v>310</v>
      </c>
      <c r="BC49">
        <v>164</v>
      </c>
      <c r="BD49">
        <v>163</v>
      </c>
      <c r="BE49">
        <v>277</v>
      </c>
      <c r="BF49">
        <v>41</v>
      </c>
      <c r="BG49">
        <v>126</v>
      </c>
      <c r="BH49">
        <v>263</v>
      </c>
      <c r="BJ49" t="s">
        <v>611</v>
      </c>
      <c r="BK49" t="s">
        <v>414</v>
      </c>
      <c r="BL49">
        <v>1552</v>
      </c>
      <c r="BM49">
        <v>407</v>
      </c>
      <c r="BN49">
        <v>97.383376288700006</v>
      </c>
      <c r="BO49">
        <v>4312</v>
      </c>
      <c r="BP49">
        <v>271</v>
      </c>
      <c r="BQ49">
        <v>146.85157699440001</v>
      </c>
      <c r="BR49">
        <v>158.91512915129999</v>
      </c>
      <c r="BS49">
        <v>1753</v>
      </c>
      <c r="BT49">
        <v>570</v>
      </c>
      <c r="BU49">
        <v>116.4449515117</v>
      </c>
      <c r="BV49">
        <v>5788</v>
      </c>
      <c r="BW49">
        <v>352</v>
      </c>
      <c r="BX49">
        <v>165.9260539046</v>
      </c>
      <c r="BY49">
        <v>182.46875</v>
      </c>
      <c r="CA49" t="s">
        <v>8</v>
      </c>
      <c r="CB49" t="s">
        <v>696</v>
      </c>
      <c r="CD49">
        <v>3749</v>
      </c>
      <c r="CE49">
        <v>1617</v>
      </c>
      <c r="CF49">
        <v>152.9565217391</v>
      </c>
      <c r="CG49">
        <v>9567</v>
      </c>
      <c r="CH49">
        <v>693</v>
      </c>
      <c r="CI49">
        <v>206.09449148109999</v>
      </c>
      <c r="CJ49">
        <v>194.2741702742</v>
      </c>
      <c r="CL49" t="s">
        <v>8</v>
      </c>
      <c r="CM49" t="s">
        <v>868</v>
      </c>
      <c r="CO49">
        <v>168</v>
      </c>
      <c r="CP49">
        <v>40</v>
      </c>
      <c r="CQ49">
        <v>100.0416666667</v>
      </c>
      <c r="CR49">
        <v>988</v>
      </c>
      <c r="CS49">
        <v>62</v>
      </c>
      <c r="CT49">
        <v>97.390688259100003</v>
      </c>
      <c r="CU49">
        <v>103.79032258060001</v>
      </c>
      <c r="CW49" t="s">
        <v>8</v>
      </c>
      <c r="CX49" t="s">
        <v>869</v>
      </c>
      <c r="CZ49">
        <v>18</v>
      </c>
      <c r="DA49">
        <v>4</v>
      </c>
      <c r="DB49">
        <v>73.166666666699996</v>
      </c>
      <c r="DC49">
        <v>60</v>
      </c>
      <c r="DD49">
        <v>4</v>
      </c>
      <c r="DE49">
        <v>143.63333333329999</v>
      </c>
      <c r="DF49">
        <v>143.75</v>
      </c>
      <c r="DH49" t="s">
        <v>8</v>
      </c>
      <c r="DI49" t="s">
        <v>867</v>
      </c>
      <c r="DK49">
        <v>63</v>
      </c>
      <c r="DL49">
        <v>8</v>
      </c>
      <c r="DM49">
        <v>68.507936507899998</v>
      </c>
      <c r="DN49">
        <v>177</v>
      </c>
      <c r="DO49">
        <v>6</v>
      </c>
      <c r="DP49">
        <v>148.2259887006</v>
      </c>
      <c r="DQ49">
        <v>139.6666666667</v>
      </c>
    </row>
    <row r="50" spans="2:121" x14ac:dyDescent="0.2">
      <c r="B50" t="s">
        <v>104</v>
      </c>
      <c r="C50">
        <v>221140</v>
      </c>
      <c r="D50">
        <v>159392</v>
      </c>
      <c r="F50" t="s">
        <v>51</v>
      </c>
      <c r="G50">
        <v>9837</v>
      </c>
      <c r="H50">
        <v>570.23513266240002</v>
      </c>
      <c r="I50">
        <v>4714</v>
      </c>
      <c r="J50">
        <v>1249</v>
      </c>
      <c r="K50">
        <v>15792</v>
      </c>
      <c r="L50">
        <v>9218</v>
      </c>
      <c r="M50">
        <v>999</v>
      </c>
      <c r="N50">
        <v>861</v>
      </c>
      <c r="O50">
        <v>1915</v>
      </c>
      <c r="P50">
        <v>1376</v>
      </c>
      <c r="Q50">
        <v>3</v>
      </c>
      <c r="R50">
        <v>209</v>
      </c>
      <c r="AH50" t="s">
        <v>427</v>
      </c>
      <c r="AI50">
        <v>501</v>
      </c>
      <c r="AJ50">
        <v>337.60678642710002</v>
      </c>
      <c r="AK50">
        <v>416</v>
      </c>
      <c r="AL50">
        <v>129</v>
      </c>
      <c r="AM50">
        <v>848</v>
      </c>
      <c r="AN50">
        <v>459</v>
      </c>
      <c r="AO50">
        <v>171</v>
      </c>
      <c r="AP50">
        <v>97</v>
      </c>
      <c r="AQ50">
        <v>90</v>
      </c>
      <c r="AR50">
        <v>56</v>
      </c>
      <c r="AS50">
        <v>49</v>
      </c>
      <c r="AT50">
        <v>1</v>
      </c>
      <c r="AV50" t="s">
        <v>383</v>
      </c>
      <c r="AW50">
        <v>152</v>
      </c>
      <c r="AX50">
        <v>80.085526315799996</v>
      </c>
      <c r="AY50">
        <v>245</v>
      </c>
      <c r="AZ50">
        <v>53</v>
      </c>
      <c r="BA50">
        <v>229</v>
      </c>
      <c r="BB50">
        <v>50</v>
      </c>
      <c r="BC50">
        <v>6</v>
      </c>
      <c r="BD50">
        <v>6</v>
      </c>
      <c r="BE50">
        <v>80</v>
      </c>
      <c r="BF50">
        <v>11</v>
      </c>
      <c r="BG50">
        <v>15</v>
      </c>
      <c r="BH50">
        <v>68</v>
      </c>
      <c r="BJ50" t="s">
        <v>651</v>
      </c>
      <c r="BK50" t="s">
        <v>414</v>
      </c>
      <c r="BL50">
        <v>2480</v>
      </c>
      <c r="BM50">
        <v>648</v>
      </c>
      <c r="BN50">
        <v>106.3165322581</v>
      </c>
      <c r="BO50">
        <v>7657</v>
      </c>
      <c r="BP50">
        <v>434</v>
      </c>
      <c r="BQ50">
        <v>194.7506856471</v>
      </c>
      <c r="BR50">
        <v>188.30645161289999</v>
      </c>
      <c r="BS50">
        <v>2310</v>
      </c>
      <c r="BT50">
        <v>536</v>
      </c>
      <c r="BU50">
        <v>97.774891774899999</v>
      </c>
      <c r="BV50">
        <v>6212</v>
      </c>
      <c r="BW50">
        <v>325</v>
      </c>
      <c r="BX50">
        <v>190.20122343849999</v>
      </c>
      <c r="BY50">
        <v>186.4307692308</v>
      </c>
      <c r="CA50" t="s">
        <v>434</v>
      </c>
      <c r="CB50" t="s">
        <v>900</v>
      </c>
      <c r="CC50" t="s">
        <v>1027</v>
      </c>
      <c r="CD50">
        <v>1050</v>
      </c>
      <c r="CE50">
        <v>155</v>
      </c>
      <c r="CF50">
        <v>76.507619047600002</v>
      </c>
      <c r="CG50">
        <v>3933</v>
      </c>
      <c r="CH50">
        <v>312</v>
      </c>
      <c r="CI50">
        <v>130.37986270019999</v>
      </c>
      <c r="CJ50">
        <v>125.3493589744</v>
      </c>
      <c r="CL50" t="s">
        <v>434</v>
      </c>
      <c r="CM50" t="s">
        <v>881</v>
      </c>
      <c r="CN50" t="s">
        <v>880</v>
      </c>
      <c r="CO50">
        <v>27</v>
      </c>
      <c r="CP50">
        <v>4</v>
      </c>
      <c r="CQ50">
        <v>72.629629629600004</v>
      </c>
      <c r="CR50">
        <v>198</v>
      </c>
      <c r="CS50">
        <v>16</v>
      </c>
      <c r="CT50">
        <v>60.767676767700003</v>
      </c>
      <c r="CU50">
        <v>87.4375</v>
      </c>
      <c r="CW50" t="s">
        <v>434</v>
      </c>
      <c r="CX50" t="s">
        <v>891</v>
      </c>
      <c r="CY50" t="s">
        <v>890</v>
      </c>
      <c r="CZ50">
        <v>25</v>
      </c>
      <c r="DA50">
        <v>3</v>
      </c>
      <c r="DB50">
        <v>74.319999999999993</v>
      </c>
      <c r="DC50">
        <v>91</v>
      </c>
      <c r="DD50">
        <v>4</v>
      </c>
      <c r="DE50">
        <v>123.57142857140001</v>
      </c>
      <c r="DF50">
        <v>82.25</v>
      </c>
      <c r="DH50" t="s">
        <v>434</v>
      </c>
      <c r="DI50" t="s">
        <v>871</v>
      </c>
      <c r="DJ50" t="s">
        <v>870</v>
      </c>
      <c r="DK50">
        <v>50</v>
      </c>
      <c r="DL50">
        <v>4</v>
      </c>
      <c r="DM50">
        <v>71.38</v>
      </c>
      <c r="DN50">
        <v>111</v>
      </c>
      <c r="DO50">
        <v>5</v>
      </c>
      <c r="DP50">
        <v>172.0810810811</v>
      </c>
      <c r="DQ50">
        <v>97.8</v>
      </c>
    </row>
    <row r="51" spans="2:121" x14ac:dyDescent="0.2">
      <c r="B51" t="s">
        <v>131</v>
      </c>
      <c r="C51">
        <v>20493</v>
      </c>
      <c r="D51">
        <v>2906</v>
      </c>
      <c r="F51" t="s">
        <v>56</v>
      </c>
      <c r="G51">
        <v>10475</v>
      </c>
      <c r="H51">
        <v>460.79064439140001</v>
      </c>
      <c r="I51">
        <v>6376</v>
      </c>
      <c r="J51">
        <v>3068</v>
      </c>
      <c r="K51">
        <v>14393</v>
      </c>
      <c r="L51">
        <v>9606</v>
      </c>
      <c r="M51">
        <v>2963</v>
      </c>
      <c r="N51">
        <v>2422</v>
      </c>
      <c r="O51">
        <v>792</v>
      </c>
      <c r="P51">
        <v>569</v>
      </c>
      <c r="Q51">
        <v>80</v>
      </c>
      <c r="R51">
        <v>254</v>
      </c>
      <c r="AH51" t="s">
        <v>388</v>
      </c>
      <c r="AI51">
        <v>17208</v>
      </c>
      <c r="AJ51">
        <v>508.0939679219</v>
      </c>
      <c r="AK51">
        <v>12624</v>
      </c>
      <c r="AL51">
        <v>3424</v>
      </c>
      <c r="AM51">
        <v>21866</v>
      </c>
      <c r="AN51">
        <v>14587</v>
      </c>
      <c r="AO51">
        <v>4366</v>
      </c>
      <c r="AP51">
        <v>3851</v>
      </c>
      <c r="AQ51">
        <v>5654</v>
      </c>
      <c r="AR51">
        <v>4207</v>
      </c>
      <c r="AS51">
        <v>627</v>
      </c>
      <c r="AT51">
        <v>35</v>
      </c>
      <c r="AV51" t="s">
        <v>416</v>
      </c>
      <c r="AW51">
        <v>32</v>
      </c>
      <c r="AX51">
        <v>39.1875</v>
      </c>
      <c r="AY51">
        <v>150</v>
      </c>
      <c r="AZ51">
        <v>4</v>
      </c>
      <c r="BA51">
        <v>72</v>
      </c>
      <c r="BB51">
        <v>4</v>
      </c>
      <c r="BC51">
        <v>0</v>
      </c>
      <c r="BE51">
        <v>4</v>
      </c>
      <c r="BF51">
        <v>3</v>
      </c>
      <c r="BG51">
        <v>104</v>
      </c>
      <c r="BH51">
        <v>19</v>
      </c>
      <c r="BJ51" t="s">
        <v>603</v>
      </c>
      <c r="BK51" t="s">
        <v>414</v>
      </c>
      <c r="BL51">
        <v>10035</v>
      </c>
      <c r="BM51">
        <v>3350</v>
      </c>
      <c r="BN51">
        <v>117.2947683109</v>
      </c>
      <c r="BO51">
        <v>30980</v>
      </c>
      <c r="BP51">
        <v>2172</v>
      </c>
      <c r="BQ51">
        <v>218.10029051000001</v>
      </c>
      <c r="BR51">
        <v>160.39917127070001</v>
      </c>
      <c r="BS51">
        <v>7185</v>
      </c>
      <c r="BT51">
        <v>1763</v>
      </c>
      <c r="BU51">
        <v>94.485455810700003</v>
      </c>
      <c r="BV51">
        <v>20601</v>
      </c>
      <c r="BW51">
        <v>1563</v>
      </c>
      <c r="BX51">
        <v>221.1552351828</v>
      </c>
      <c r="BY51">
        <v>139.25015994879999</v>
      </c>
      <c r="CA51" t="s">
        <v>436</v>
      </c>
      <c r="CB51" t="s">
        <v>900</v>
      </c>
      <c r="CC51" t="s">
        <v>1028</v>
      </c>
      <c r="CD51">
        <v>6094</v>
      </c>
      <c r="CE51">
        <v>1628</v>
      </c>
      <c r="CF51">
        <v>98.910895963200005</v>
      </c>
      <c r="CG51">
        <v>20911</v>
      </c>
      <c r="CH51">
        <v>1437</v>
      </c>
      <c r="CI51">
        <v>167.78427621829999</v>
      </c>
      <c r="CJ51">
        <v>153.22129436329999</v>
      </c>
      <c r="CL51" t="s">
        <v>436</v>
      </c>
      <c r="CM51" t="s">
        <v>881</v>
      </c>
      <c r="CN51" t="s">
        <v>882</v>
      </c>
      <c r="CO51">
        <v>574</v>
      </c>
      <c r="CP51">
        <v>45</v>
      </c>
      <c r="CQ51">
        <v>53.824041811800001</v>
      </c>
      <c r="CR51">
        <v>3355</v>
      </c>
      <c r="CS51">
        <v>216</v>
      </c>
      <c r="CT51">
        <v>69.704918032799995</v>
      </c>
      <c r="CU51">
        <v>70.629629629600004</v>
      </c>
      <c r="CW51" t="s">
        <v>436</v>
      </c>
      <c r="CX51" t="s">
        <v>891</v>
      </c>
      <c r="CY51" t="s">
        <v>892</v>
      </c>
      <c r="CZ51">
        <v>203</v>
      </c>
      <c r="DA51">
        <v>31</v>
      </c>
      <c r="DB51">
        <v>74.438423645300006</v>
      </c>
      <c r="DC51">
        <v>481</v>
      </c>
      <c r="DD51">
        <v>30</v>
      </c>
      <c r="DE51">
        <v>140.53014553009999</v>
      </c>
      <c r="DF51">
        <v>136.13333333329999</v>
      </c>
      <c r="DH51" t="s">
        <v>436</v>
      </c>
      <c r="DI51" t="s">
        <v>871</v>
      </c>
      <c r="DJ51" t="s">
        <v>872</v>
      </c>
      <c r="DK51">
        <v>118</v>
      </c>
      <c r="DL51">
        <v>14</v>
      </c>
      <c r="DM51">
        <v>68.228813559299994</v>
      </c>
      <c r="DN51">
        <v>417</v>
      </c>
      <c r="DO51">
        <v>16</v>
      </c>
      <c r="DP51">
        <v>172.79856115109999</v>
      </c>
      <c r="DQ51">
        <v>130.5</v>
      </c>
    </row>
    <row r="52" spans="2:121" x14ac:dyDescent="0.2">
      <c r="B52" t="s">
        <v>126</v>
      </c>
      <c r="C52">
        <v>540</v>
      </c>
      <c r="D52">
        <v>531</v>
      </c>
      <c r="F52" t="s">
        <v>45</v>
      </c>
      <c r="G52">
        <v>3018</v>
      </c>
      <c r="H52">
        <v>230.4966865474</v>
      </c>
      <c r="I52">
        <v>7275</v>
      </c>
      <c r="J52">
        <v>2063</v>
      </c>
      <c r="K52">
        <v>6112</v>
      </c>
      <c r="L52">
        <v>2479</v>
      </c>
      <c r="M52">
        <v>913</v>
      </c>
      <c r="N52">
        <v>732</v>
      </c>
      <c r="O52">
        <v>686</v>
      </c>
      <c r="P52">
        <v>481</v>
      </c>
      <c r="Q52">
        <v>4</v>
      </c>
      <c r="R52">
        <v>200</v>
      </c>
      <c r="AH52" t="s">
        <v>83</v>
      </c>
      <c r="AI52">
        <v>14439</v>
      </c>
      <c r="AJ52">
        <v>395.1538887735</v>
      </c>
      <c r="AK52">
        <v>7152</v>
      </c>
      <c r="AL52">
        <v>1890</v>
      </c>
      <c r="AM52">
        <v>20590</v>
      </c>
      <c r="AN52">
        <v>13596</v>
      </c>
      <c r="AO52">
        <v>3621</v>
      </c>
      <c r="AP52">
        <v>3241</v>
      </c>
      <c r="AQ52">
        <v>5382</v>
      </c>
      <c r="AR52">
        <v>4352</v>
      </c>
      <c r="AS52">
        <v>8</v>
      </c>
      <c r="AT52">
        <v>141</v>
      </c>
      <c r="AV52" t="s">
        <v>402</v>
      </c>
      <c r="AW52">
        <v>252</v>
      </c>
      <c r="AX52">
        <v>68.440476190499993</v>
      </c>
      <c r="AY52">
        <v>546</v>
      </c>
      <c r="AZ52">
        <v>47</v>
      </c>
      <c r="BA52">
        <v>473</v>
      </c>
      <c r="BB52">
        <v>49</v>
      </c>
      <c r="BC52">
        <v>6</v>
      </c>
      <c r="BD52">
        <v>6</v>
      </c>
      <c r="BE52">
        <v>44</v>
      </c>
      <c r="BF52">
        <v>18</v>
      </c>
      <c r="BG52">
        <v>361</v>
      </c>
      <c r="BH52">
        <v>40</v>
      </c>
      <c r="BJ52" t="s">
        <v>625</v>
      </c>
      <c r="BK52" t="s">
        <v>414</v>
      </c>
      <c r="BL52">
        <v>907</v>
      </c>
      <c r="BM52">
        <v>306</v>
      </c>
      <c r="BN52">
        <v>122.67585446530001</v>
      </c>
      <c r="BO52">
        <v>3643</v>
      </c>
      <c r="BP52">
        <v>298</v>
      </c>
      <c r="BQ52">
        <v>164.56491902280001</v>
      </c>
      <c r="BR52">
        <v>145.84899328860001</v>
      </c>
      <c r="BS52">
        <v>1502</v>
      </c>
      <c r="BT52">
        <v>694</v>
      </c>
      <c r="BU52">
        <v>166.4866844208</v>
      </c>
      <c r="BV52">
        <v>6844</v>
      </c>
      <c r="BW52">
        <v>499</v>
      </c>
      <c r="BX52">
        <v>210.69608416130001</v>
      </c>
      <c r="BY52">
        <v>190.3607214429</v>
      </c>
      <c r="CA52" t="s">
        <v>417</v>
      </c>
      <c r="CB52" t="s">
        <v>900</v>
      </c>
      <c r="CC52" t="s">
        <v>1029</v>
      </c>
      <c r="CD52">
        <v>30336</v>
      </c>
      <c r="CE52">
        <v>8558</v>
      </c>
      <c r="CF52">
        <v>108.0860363924</v>
      </c>
      <c r="CG52">
        <v>97130</v>
      </c>
      <c r="CH52">
        <v>6718</v>
      </c>
      <c r="CI52">
        <v>195.76198908680001</v>
      </c>
      <c r="CJ52">
        <v>155.9736528729</v>
      </c>
      <c r="CL52" t="s">
        <v>417</v>
      </c>
      <c r="CM52" t="s">
        <v>881</v>
      </c>
      <c r="CN52" t="s">
        <v>883</v>
      </c>
      <c r="CO52">
        <v>2251</v>
      </c>
      <c r="CP52">
        <v>124</v>
      </c>
      <c r="CQ52">
        <v>52.1266103954</v>
      </c>
      <c r="CR52">
        <v>13329</v>
      </c>
      <c r="CS52">
        <v>901</v>
      </c>
      <c r="CT52">
        <v>63.082751894399998</v>
      </c>
      <c r="CU52">
        <v>60.402885682600001</v>
      </c>
      <c r="CW52" t="s">
        <v>417</v>
      </c>
      <c r="CX52" t="s">
        <v>891</v>
      </c>
      <c r="CY52" t="s">
        <v>893</v>
      </c>
      <c r="CZ52">
        <v>1233</v>
      </c>
      <c r="DA52">
        <v>143</v>
      </c>
      <c r="DB52">
        <v>63.2944038929</v>
      </c>
      <c r="DC52">
        <v>3603</v>
      </c>
      <c r="DD52">
        <v>187</v>
      </c>
      <c r="DE52">
        <v>116.6019983347</v>
      </c>
      <c r="DF52">
        <v>98.508021390400003</v>
      </c>
      <c r="DH52" t="s">
        <v>417</v>
      </c>
      <c r="DI52" t="s">
        <v>871</v>
      </c>
      <c r="DJ52" t="s">
        <v>873</v>
      </c>
      <c r="DK52">
        <v>657</v>
      </c>
      <c r="DL52">
        <v>54</v>
      </c>
      <c r="DM52">
        <v>61.222222222200003</v>
      </c>
      <c r="DN52">
        <v>1765</v>
      </c>
      <c r="DO52">
        <v>75</v>
      </c>
      <c r="DP52">
        <v>163.0657223796</v>
      </c>
      <c r="DQ52">
        <v>123.88</v>
      </c>
    </row>
    <row r="53" spans="2:121" x14ac:dyDescent="0.2">
      <c r="B53" t="s">
        <v>109</v>
      </c>
      <c r="C53">
        <v>1289</v>
      </c>
      <c r="D53">
        <v>499</v>
      </c>
      <c r="F53" t="s">
        <v>75</v>
      </c>
      <c r="G53">
        <v>2209</v>
      </c>
      <c r="H53">
        <v>261.41783612490002</v>
      </c>
      <c r="I53">
        <v>2648</v>
      </c>
      <c r="J53">
        <v>931</v>
      </c>
      <c r="K53">
        <v>3707</v>
      </c>
      <c r="L53">
        <v>2617</v>
      </c>
      <c r="M53">
        <v>689</v>
      </c>
      <c r="N53">
        <v>627</v>
      </c>
      <c r="O53">
        <v>1484</v>
      </c>
      <c r="P53">
        <v>898</v>
      </c>
      <c r="Q53">
        <v>0</v>
      </c>
      <c r="R53">
        <v>5</v>
      </c>
      <c r="AH53" t="s">
        <v>389</v>
      </c>
      <c r="AI53">
        <v>2289</v>
      </c>
      <c r="AJ53">
        <v>250.95412844040001</v>
      </c>
      <c r="AK53">
        <v>2229</v>
      </c>
      <c r="AL53">
        <v>517</v>
      </c>
      <c r="AM53">
        <v>3496</v>
      </c>
      <c r="AN53">
        <v>1874</v>
      </c>
      <c r="AO53">
        <v>320</v>
      </c>
      <c r="AP53">
        <v>260</v>
      </c>
      <c r="AQ53">
        <v>1109</v>
      </c>
      <c r="AR53">
        <v>699</v>
      </c>
      <c r="AS53">
        <v>262</v>
      </c>
      <c r="AT53">
        <v>19</v>
      </c>
      <c r="AV53" t="s">
        <v>411</v>
      </c>
      <c r="AW53">
        <v>91</v>
      </c>
      <c r="AX53">
        <v>37.296703296700002</v>
      </c>
      <c r="AY53">
        <v>292</v>
      </c>
      <c r="AZ53">
        <v>9</v>
      </c>
      <c r="BA53">
        <v>157</v>
      </c>
      <c r="BB53">
        <v>3</v>
      </c>
      <c r="BC53">
        <v>1</v>
      </c>
      <c r="BD53">
        <v>1</v>
      </c>
      <c r="BE53">
        <v>5</v>
      </c>
      <c r="BF53">
        <v>1</v>
      </c>
      <c r="BG53">
        <v>376</v>
      </c>
      <c r="BH53">
        <v>43</v>
      </c>
      <c r="BJ53" t="s">
        <v>601</v>
      </c>
      <c r="BK53" t="s">
        <v>414</v>
      </c>
      <c r="BL53">
        <v>11115</v>
      </c>
      <c r="BM53">
        <v>3408</v>
      </c>
      <c r="BN53">
        <v>115.0529014845</v>
      </c>
      <c r="BO53">
        <v>34480</v>
      </c>
      <c r="BP53">
        <v>2555</v>
      </c>
      <c r="BQ53">
        <v>224.41432714620001</v>
      </c>
      <c r="BR53">
        <v>173.20195694719999</v>
      </c>
      <c r="BS53">
        <v>6539</v>
      </c>
      <c r="BT53">
        <v>1480</v>
      </c>
      <c r="BU53">
        <v>94.899678850000001</v>
      </c>
      <c r="BV53">
        <v>20382</v>
      </c>
      <c r="BW53">
        <v>1344</v>
      </c>
      <c r="BX53">
        <v>230.76175056420001</v>
      </c>
      <c r="BY53">
        <v>164.14360119049999</v>
      </c>
      <c r="CA53" t="s">
        <v>438</v>
      </c>
      <c r="CB53" t="s">
        <v>900</v>
      </c>
      <c r="CC53" t="s">
        <v>1030</v>
      </c>
      <c r="CD53">
        <v>1968</v>
      </c>
      <c r="CE53">
        <v>472</v>
      </c>
      <c r="CF53">
        <v>100.70477642279999</v>
      </c>
      <c r="CG53">
        <v>7354</v>
      </c>
      <c r="CH53">
        <v>451</v>
      </c>
      <c r="CI53">
        <v>165.07669295619999</v>
      </c>
      <c r="CJ53">
        <v>150.41685144120001</v>
      </c>
      <c r="CL53" t="s">
        <v>438</v>
      </c>
      <c r="CM53" t="s">
        <v>881</v>
      </c>
      <c r="CN53" t="s">
        <v>884</v>
      </c>
      <c r="CO53">
        <v>54</v>
      </c>
      <c r="CP53">
        <v>7</v>
      </c>
      <c r="CQ53">
        <v>60.833333333299997</v>
      </c>
      <c r="CR53">
        <v>351</v>
      </c>
      <c r="CS53">
        <v>28</v>
      </c>
      <c r="CT53">
        <v>67</v>
      </c>
      <c r="CU53">
        <v>74.892857142899999</v>
      </c>
      <c r="CW53" t="s">
        <v>438</v>
      </c>
      <c r="CX53" t="s">
        <v>891</v>
      </c>
      <c r="CY53" t="s">
        <v>894</v>
      </c>
      <c r="CZ53">
        <v>29</v>
      </c>
      <c r="DA53">
        <v>2</v>
      </c>
      <c r="DB53">
        <v>58.965517241400001</v>
      </c>
      <c r="DC53">
        <v>105</v>
      </c>
      <c r="DD53">
        <v>5</v>
      </c>
      <c r="DE53">
        <v>128.0095238095</v>
      </c>
      <c r="DF53">
        <v>128.19999999999999</v>
      </c>
      <c r="DH53" t="s">
        <v>438</v>
      </c>
      <c r="DI53" t="s">
        <v>871</v>
      </c>
      <c r="DJ53" t="s">
        <v>874</v>
      </c>
      <c r="DK53">
        <v>69</v>
      </c>
      <c r="DL53">
        <v>7</v>
      </c>
      <c r="DM53">
        <v>60.231884057999999</v>
      </c>
      <c r="DN53">
        <v>240</v>
      </c>
      <c r="DO53">
        <v>6</v>
      </c>
      <c r="DP53">
        <v>162.01666666669999</v>
      </c>
      <c r="DQ53">
        <v>116.3333333333</v>
      </c>
    </row>
    <row r="54" spans="2:121" x14ac:dyDescent="0.2">
      <c r="F54" t="s">
        <v>53</v>
      </c>
      <c r="G54">
        <v>2399</v>
      </c>
      <c r="H54">
        <v>130.0741975823</v>
      </c>
      <c r="I54">
        <v>1755</v>
      </c>
      <c r="J54">
        <v>308</v>
      </c>
      <c r="K54">
        <v>4814</v>
      </c>
      <c r="L54">
        <v>989</v>
      </c>
      <c r="M54">
        <v>590</v>
      </c>
      <c r="N54">
        <v>462</v>
      </c>
      <c r="O54">
        <v>341</v>
      </c>
      <c r="P54">
        <v>191</v>
      </c>
      <c r="Q54">
        <v>0</v>
      </c>
      <c r="R54">
        <v>14</v>
      </c>
      <c r="AH54" t="s">
        <v>406</v>
      </c>
      <c r="AI54">
        <v>5095</v>
      </c>
      <c r="AJ54">
        <v>234.6855740922</v>
      </c>
      <c r="AK54">
        <v>3801</v>
      </c>
      <c r="AL54">
        <v>959</v>
      </c>
      <c r="AM54">
        <v>6940</v>
      </c>
      <c r="AN54">
        <v>3586</v>
      </c>
      <c r="AO54">
        <v>324</v>
      </c>
      <c r="AP54">
        <v>256</v>
      </c>
      <c r="AQ54">
        <v>768</v>
      </c>
      <c r="AR54">
        <v>383</v>
      </c>
      <c r="AS54">
        <v>6</v>
      </c>
      <c r="AT54">
        <v>9</v>
      </c>
      <c r="AV54" t="s">
        <v>434</v>
      </c>
      <c r="AW54">
        <v>4</v>
      </c>
      <c r="AX54">
        <v>32</v>
      </c>
      <c r="AY54">
        <v>7</v>
      </c>
      <c r="BA54">
        <v>15</v>
      </c>
      <c r="BB54">
        <v>1</v>
      </c>
      <c r="BC54">
        <v>0</v>
      </c>
      <c r="BE54">
        <v>0</v>
      </c>
      <c r="BG54">
        <v>27</v>
      </c>
      <c r="BH54">
        <v>7</v>
      </c>
      <c r="BJ54" t="s">
        <v>414</v>
      </c>
      <c r="BK54" t="s">
        <v>414</v>
      </c>
      <c r="BL54">
        <v>62140</v>
      </c>
      <c r="BM54">
        <v>17325</v>
      </c>
      <c r="BN54">
        <v>105.8473607982</v>
      </c>
      <c r="BO54">
        <v>230870</v>
      </c>
      <c r="BP54">
        <v>15979</v>
      </c>
      <c r="BQ54">
        <v>176.29937194089999</v>
      </c>
      <c r="BR54">
        <v>142.8660116403</v>
      </c>
      <c r="BS54">
        <v>57056</v>
      </c>
      <c r="BT54">
        <v>14805</v>
      </c>
      <c r="BU54">
        <v>101.6791573191</v>
      </c>
      <c r="BV54">
        <v>212578</v>
      </c>
      <c r="BW54">
        <v>14482</v>
      </c>
      <c r="BX54">
        <v>173.8997732597</v>
      </c>
      <c r="BY54">
        <v>139.5185057313</v>
      </c>
      <c r="CA54" t="s">
        <v>418</v>
      </c>
      <c r="CB54" t="s">
        <v>900</v>
      </c>
      <c r="CC54" t="s">
        <v>1031</v>
      </c>
      <c r="CD54">
        <v>1645</v>
      </c>
      <c r="CE54">
        <v>451</v>
      </c>
      <c r="CF54">
        <v>100.77507598779999</v>
      </c>
      <c r="CG54">
        <v>4762</v>
      </c>
      <c r="CH54">
        <v>313</v>
      </c>
      <c r="CI54">
        <v>147.57307853840001</v>
      </c>
      <c r="CJ54">
        <v>159.27476038340001</v>
      </c>
      <c r="CL54" t="s">
        <v>418</v>
      </c>
      <c r="CM54" t="s">
        <v>881</v>
      </c>
      <c r="CN54" t="s">
        <v>885</v>
      </c>
      <c r="CO54">
        <v>96</v>
      </c>
      <c r="CP54">
        <v>14</v>
      </c>
      <c r="CQ54">
        <v>64.947916666699996</v>
      </c>
      <c r="CR54">
        <v>783</v>
      </c>
      <c r="CS54">
        <v>54</v>
      </c>
      <c r="CT54">
        <v>58.952745849300001</v>
      </c>
      <c r="CU54">
        <v>64.611111111100001</v>
      </c>
      <c r="CW54" t="s">
        <v>418</v>
      </c>
      <c r="CX54" t="s">
        <v>891</v>
      </c>
      <c r="CY54" t="s">
        <v>895</v>
      </c>
      <c r="CZ54">
        <v>33</v>
      </c>
      <c r="DA54">
        <v>2</v>
      </c>
      <c r="DB54">
        <v>50.181818181799997</v>
      </c>
      <c r="DC54">
        <v>115</v>
      </c>
      <c r="DD54">
        <v>5</v>
      </c>
      <c r="DE54">
        <v>130.0347826087</v>
      </c>
      <c r="DF54">
        <v>161</v>
      </c>
      <c r="DH54" t="s">
        <v>418</v>
      </c>
      <c r="DI54" t="s">
        <v>871</v>
      </c>
      <c r="DJ54" t="s">
        <v>875</v>
      </c>
      <c r="DK54">
        <v>42</v>
      </c>
      <c r="DL54">
        <v>2</v>
      </c>
      <c r="DM54">
        <v>55.047619047600001</v>
      </c>
      <c r="DN54">
        <v>66</v>
      </c>
      <c r="DO54">
        <v>7</v>
      </c>
      <c r="DP54">
        <v>168.2727272727</v>
      </c>
      <c r="DQ54">
        <v>127.2857142857</v>
      </c>
    </row>
    <row r="55" spans="2:121" x14ac:dyDescent="0.2">
      <c r="F55" t="s">
        <v>79</v>
      </c>
      <c r="G55">
        <v>5231</v>
      </c>
      <c r="H55">
        <v>352.41062894279997</v>
      </c>
      <c r="I55">
        <v>10225</v>
      </c>
      <c r="J55">
        <v>2264</v>
      </c>
      <c r="K55">
        <v>12715</v>
      </c>
      <c r="L55">
        <v>4697</v>
      </c>
      <c r="M55">
        <v>458</v>
      </c>
      <c r="N55">
        <v>342</v>
      </c>
      <c r="O55">
        <v>1453</v>
      </c>
      <c r="P55">
        <v>778</v>
      </c>
      <c r="Q55">
        <v>25</v>
      </c>
      <c r="R55">
        <v>0</v>
      </c>
      <c r="AH55" t="s">
        <v>431</v>
      </c>
      <c r="AI55">
        <v>740</v>
      </c>
      <c r="AJ55">
        <v>281.9810810811</v>
      </c>
      <c r="AK55">
        <v>930</v>
      </c>
      <c r="AL55">
        <v>245</v>
      </c>
      <c r="AM55">
        <v>1187</v>
      </c>
      <c r="AN55">
        <v>545</v>
      </c>
      <c r="AO55">
        <v>210</v>
      </c>
      <c r="AP55">
        <v>128</v>
      </c>
      <c r="AQ55">
        <v>174</v>
      </c>
      <c r="AR55">
        <v>73</v>
      </c>
      <c r="AS55">
        <v>26</v>
      </c>
      <c r="AT55">
        <v>7</v>
      </c>
      <c r="AV55" t="s">
        <v>389</v>
      </c>
      <c r="AW55">
        <v>239</v>
      </c>
      <c r="AX55">
        <v>98.393305439299994</v>
      </c>
      <c r="AY55">
        <v>182</v>
      </c>
      <c r="AZ55">
        <v>41</v>
      </c>
      <c r="BA55">
        <v>347</v>
      </c>
      <c r="BB55">
        <v>98</v>
      </c>
      <c r="BC55">
        <v>8</v>
      </c>
      <c r="BD55">
        <v>8</v>
      </c>
      <c r="BE55">
        <v>94</v>
      </c>
      <c r="BF55">
        <v>14</v>
      </c>
      <c r="BG55">
        <v>42</v>
      </c>
      <c r="BH55">
        <v>68</v>
      </c>
      <c r="BJ55" t="s">
        <v>605</v>
      </c>
      <c r="BK55" t="s">
        <v>414</v>
      </c>
      <c r="BL55">
        <v>5148</v>
      </c>
      <c r="BM55">
        <v>1308</v>
      </c>
      <c r="BN55">
        <v>97.759324009300002</v>
      </c>
      <c r="BO55">
        <v>18251</v>
      </c>
      <c r="BP55">
        <v>1234</v>
      </c>
      <c r="BQ55">
        <v>172.1879349077</v>
      </c>
      <c r="BR55">
        <v>159.85494327390001</v>
      </c>
      <c r="BS55">
        <v>7660</v>
      </c>
      <c r="BT55">
        <v>2221</v>
      </c>
      <c r="BU55">
        <v>107.8305483029</v>
      </c>
      <c r="BV55">
        <v>26145</v>
      </c>
      <c r="BW55">
        <v>1803</v>
      </c>
      <c r="BX55">
        <v>187.6040160643</v>
      </c>
      <c r="BY55">
        <v>173.44315030499999</v>
      </c>
      <c r="CA55" t="s">
        <v>423</v>
      </c>
      <c r="CB55" t="s">
        <v>900</v>
      </c>
      <c r="CC55" t="s">
        <v>1032</v>
      </c>
      <c r="CD55">
        <v>3946</v>
      </c>
      <c r="CE55">
        <v>1292</v>
      </c>
      <c r="CF55">
        <v>120.5139381652</v>
      </c>
      <c r="CG55">
        <v>11863</v>
      </c>
      <c r="CH55">
        <v>744</v>
      </c>
      <c r="CI55">
        <v>227.3308606592</v>
      </c>
      <c r="CJ55">
        <v>178.6142473118</v>
      </c>
      <c r="CL55" t="s">
        <v>423</v>
      </c>
      <c r="CM55" t="s">
        <v>881</v>
      </c>
      <c r="CN55" t="s">
        <v>886</v>
      </c>
      <c r="CO55">
        <v>239</v>
      </c>
      <c r="CP55">
        <v>14</v>
      </c>
      <c r="CQ55">
        <v>54.949790794999998</v>
      </c>
      <c r="CR55">
        <v>1509</v>
      </c>
      <c r="CS55">
        <v>99</v>
      </c>
      <c r="CT55">
        <v>70.954274353900004</v>
      </c>
      <c r="CU55">
        <v>57.474747474700003</v>
      </c>
      <c r="CW55" t="s">
        <v>423</v>
      </c>
      <c r="CX55" t="s">
        <v>891</v>
      </c>
      <c r="CY55" t="s">
        <v>896</v>
      </c>
      <c r="CZ55">
        <v>83</v>
      </c>
      <c r="DA55">
        <v>12</v>
      </c>
      <c r="DB55">
        <v>68.698795180700003</v>
      </c>
      <c r="DC55">
        <v>254</v>
      </c>
      <c r="DD55">
        <v>10</v>
      </c>
      <c r="DE55">
        <v>122.9566929134</v>
      </c>
      <c r="DF55">
        <v>137.1</v>
      </c>
      <c r="DH55" t="s">
        <v>423</v>
      </c>
      <c r="DI55" t="s">
        <v>871</v>
      </c>
      <c r="DJ55" t="s">
        <v>876</v>
      </c>
      <c r="DK55">
        <v>71</v>
      </c>
      <c r="DL55">
        <v>5</v>
      </c>
      <c r="DM55">
        <v>66.028169014100001</v>
      </c>
      <c r="DN55">
        <v>285</v>
      </c>
      <c r="DO55">
        <v>15</v>
      </c>
      <c r="DP55">
        <v>165.20701754390001</v>
      </c>
      <c r="DQ55">
        <v>129.73333333330001</v>
      </c>
    </row>
    <row r="56" spans="2:121" x14ac:dyDescent="0.2">
      <c r="F56" t="s">
        <v>65</v>
      </c>
      <c r="G56">
        <v>11288</v>
      </c>
      <c r="H56">
        <v>384.19250531540001</v>
      </c>
      <c r="I56">
        <v>10968</v>
      </c>
      <c r="J56">
        <v>3330</v>
      </c>
      <c r="K56">
        <v>14740</v>
      </c>
      <c r="L56">
        <v>10388</v>
      </c>
      <c r="M56">
        <v>5026</v>
      </c>
      <c r="N56">
        <v>3693</v>
      </c>
      <c r="O56">
        <v>3630</v>
      </c>
      <c r="P56">
        <v>2757</v>
      </c>
      <c r="Q56">
        <v>0</v>
      </c>
      <c r="R56">
        <v>45</v>
      </c>
      <c r="BJ56" t="s">
        <v>613</v>
      </c>
      <c r="BK56" t="s">
        <v>414</v>
      </c>
      <c r="BL56">
        <v>5361</v>
      </c>
      <c r="BM56">
        <v>1905</v>
      </c>
      <c r="BN56">
        <v>118.12236523040001</v>
      </c>
      <c r="BO56">
        <v>16425</v>
      </c>
      <c r="BP56">
        <v>1292</v>
      </c>
      <c r="BQ56">
        <v>188.37120243530001</v>
      </c>
      <c r="BR56">
        <v>148.2151702786</v>
      </c>
      <c r="BS56">
        <v>4966</v>
      </c>
      <c r="BT56">
        <v>1808</v>
      </c>
      <c r="BU56">
        <v>120.1171969392</v>
      </c>
      <c r="BV56">
        <v>16106</v>
      </c>
      <c r="BW56">
        <v>1133</v>
      </c>
      <c r="BX56">
        <v>189.82292313420001</v>
      </c>
      <c r="BY56">
        <v>152.6240070609</v>
      </c>
      <c r="CA56" t="s">
        <v>415</v>
      </c>
      <c r="CB56" t="s">
        <v>900</v>
      </c>
      <c r="CC56" t="s">
        <v>1033</v>
      </c>
      <c r="CD56">
        <v>2921</v>
      </c>
      <c r="CE56">
        <v>863</v>
      </c>
      <c r="CF56">
        <v>110.3365285861</v>
      </c>
      <c r="CG56">
        <v>8569</v>
      </c>
      <c r="CH56">
        <v>624</v>
      </c>
      <c r="CI56">
        <v>174.60800560160001</v>
      </c>
      <c r="CJ56">
        <v>157.99839743589999</v>
      </c>
      <c r="CL56" t="s">
        <v>415</v>
      </c>
      <c r="CM56" t="s">
        <v>881</v>
      </c>
      <c r="CN56" t="s">
        <v>887</v>
      </c>
      <c r="CO56">
        <v>194</v>
      </c>
      <c r="CP56">
        <v>13</v>
      </c>
      <c r="CQ56">
        <v>58.201030927799998</v>
      </c>
      <c r="CR56">
        <v>1207</v>
      </c>
      <c r="CS56">
        <v>75</v>
      </c>
      <c r="CT56">
        <v>61.305716652900003</v>
      </c>
      <c r="CU56">
        <v>83.906666666700005</v>
      </c>
      <c r="CW56" t="s">
        <v>415</v>
      </c>
      <c r="CX56" t="s">
        <v>891</v>
      </c>
      <c r="CY56" t="s">
        <v>897</v>
      </c>
      <c r="CZ56">
        <v>61</v>
      </c>
      <c r="DA56">
        <v>16</v>
      </c>
      <c r="DB56">
        <v>91.934426229500005</v>
      </c>
      <c r="DC56">
        <v>140</v>
      </c>
      <c r="DD56">
        <v>8</v>
      </c>
      <c r="DE56">
        <v>126.9</v>
      </c>
      <c r="DF56">
        <v>143.5</v>
      </c>
      <c r="DH56" t="s">
        <v>415</v>
      </c>
      <c r="DI56" t="s">
        <v>871</v>
      </c>
      <c r="DJ56" t="s">
        <v>877</v>
      </c>
      <c r="DK56">
        <v>53</v>
      </c>
      <c r="DL56">
        <v>4</v>
      </c>
      <c r="DM56">
        <v>74.584905660399997</v>
      </c>
      <c r="DN56">
        <v>149</v>
      </c>
      <c r="DO56">
        <v>9</v>
      </c>
      <c r="DP56">
        <v>163.8791946309</v>
      </c>
      <c r="DQ56">
        <v>99.111111111100001</v>
      </c>
    </row>
    <row r="57" spans="2:121" x14ac:dyDescent="0.2">
      <c r="F57" t="s">
        <v>67</v>
      </c>
      <c r="G57">
        <v>5631</v>
      </c>
      <c r="H57">
        <v>260.70342745520003</v>
      </c>
      <c r="I57">
        <v>4995</v>
      </c>
      <c r="J57">
        <v>1272</v>
      </c>
      <c r="K57">
        <v>6640</v>
      </c>
      <c r="L57">
        <v>3772</v>
      </c>
      <c r="M57">
        <v>257</v>
      </c>
      <c r="N57">
        <v>197</v>
      </c>
      <c r="O57">
        <v>2898</v>
      </c>
      <c r="P57">
        <v>2301</v>
      </c>
      <c r="Q57">
        <v>0</v>
      </c>
      <c r="R57">
        <v>71</v>
      </c>
      <c r="BJ57" t="s">
        <v>621</v>
      </c>
      <c r="BK57" t="s">
        <v>414</v>
      </c>
      <c r="BL57">
        <v>3764</v>
      </c>
      <c r="BM57">
        <v>1264</v>
      </c>
      <c r="BN57">
        <v>121.2058979809</v>
      </c>
      <c r="BO57">
        <v>11183</v>
      </c>
      <c r="BP57">
        <v>721</v>
      </c>
      <c r="BQ57">
        <v>237.57927210950001</v>
      </c>
      <c r="BR57">
        <v>188.23994452150001</v>
      </c>
      <c r="BS57">
        <v>2410</v>
      </c>
      <c r="BT57">
        <v>486</v>
      </c>
      <c r="BU57">
        <v>95.287551867199994</v>
      </c>
      <c r="BV57">
        <v>5579</v>
      </c>
      <c r="BW57">
        <v>371</v>
      </c>
      <c r="BX57">
        <v>264.72952141960002</v>
      </c>
      <c r="BY57">
        <v>186.03234501349999</v>
      </c>
      <c r="CA57" t="s">
        <v>419</v>
      </c>
      <c r="CB57" t="s">
        <v>900</v>
      </c>
      <c r="CC57" t="s">
        <v>1034</v>
      </c>
      <c r="CD57">
        <v>5323</v>
      </c>
      <c r="CE57">
        <v>1921</v>
      </c>
      <c r="CF57">
        <v>118.1371407101</v>
      </c>
      <c r="CG57">
        <v>16968</v>
      </c>
      <c r="CH57">
        <v>1293</v>
      </c>
      <c r="CI57">
        <v>187.00223950969999</v>
      </c>
      <c r="CJ57">
        <v>149.4493426141</v>
      </c>
      <c r="CL57" t="s">
        <v>419</v>
      </c>
      <c r="CM57" t="s">
        <v>881</v>
      </c>
      <c r="CN57" t="s">
        <v>888</v>
      </c>
      <c r="CO57">
        <v>319</v>
      </c>
      <c r="CP57">
        <v>22</v>
      </c>
      <c r="CQ57">
        <v>56.253918495299999</v>
      </c>
      <c r="CR57">
        <v>2127</v>
      </c>
      <c r="CS57">
        <v>140</v>
      </c>
      <c r="CT57">
        <v>65.364833098299997</v>
      </c>
      <c r="CU57">
        <v>64.128571428599997</v>
      </c>
      <c r="CW57" t="s">
        <v>419</v>
      </c>
      <c r="CX57" t="s">
        <v>891</v>
      </c>
      <c r="CY57" t="s">
        <v>898</v>
      </c>
      <c r="CZ57">
        <v>104</v>
      </c>
      <c r="DA57">
        <v>6</v>
      </c>
      <c r="DB57">
        <v>57.846153846199996</v>
      </c>
      <c r="DC57">
        <v>228</v>
      </c>
      <c r="DD57">
        <v>24</v>
      </c>
      <c r="DE57">
        <v>116.3640350877</v>
      </c>
      <c r="DF57">
        <v>84.5</v>
      </c>
      <c r="DH57" t="s">
        <v>419</v>
      </c>
      <c r="DI57" t="s">
        <v>871</v>
      </c>
      <c r="DJ57" t="s">
        <v>878</v>
      </c>
      <c r="DK57">
        <v>35</v>
      </c>
      <c r="DL57">
        <v>5</v>
      </c>
      <c r="DM57">
        <v>83.4</v>
      </c>
      <c r="DN57">
        <v>145</v>
      </c>
      <c r="DO57">
        <v>6</v>
      </c>
      <c r="DP57">
        <v>159.2344827586</v>
      </c>
      <c r="DQ57">
        <v>147.3333333333</v>
      </c>
    </row>
    <row r="58" spans="2:121" x14ac:dyDescent="0.2">
      <c r="F58" t="s">
        <v>57</v>
      </c>
      <c r="G58">
        <v>1781</v>
      </c>
      <c r="H58">
        <v>375.7574396407</v>
      </c>
      <c r="I58">
        <v>1131</v>
      </c>
      <c r="J58">
        <v>261</v>
      </c>
      <c r="K58">
        <v>2176</v>
      </c>
      <c r="L58">
        <v>1469</v>
      </c>
      <c r="M58">
        <v>561</v>
      </c>
      <c r="N58">
        <v>540</v>
      </c>
      <c r="O58">
        <v>139</v>
      </c>
      <c r="P58">
        <v>85</v>
      </c>
      <c r="Q58">
        <v>0</v>
      </c>
      <c r="R58">
        <v>1</v>
      </c>
      <c r="BJ58" t="s">
        <v>634</v>
      </c>
      <c r="BK58" t="s">
        <v>414</v>
      </c>
      <c r="BL58">
        <v>9831</v>
      </c>
      <c r="BM58">
        <v>1953</v>
      </c>
      <c r="BN58">
        <v>86.742040484200004</v>
      </c>
      <c r="BO58">
        <v>29421</v>
      </c>
      <c r="BP58">
        <v>1970</v>
      </c>
      <c r="BQ58">
        <v>156.36399170659999</v>
      </c>
      <c r="BR58">
        <v>143.40913705579999</v>
      </c>
      <c r="BS58">
        <v>11360</v>
      </c>
      <c r="BT58">
        <v>2857</v>
      </c>
      <c r="BU58">
        <v>102.4221830986</v>
      </c>
      <c r="BV58">
        <v>36206</v>
      </c>
      <c r="BW58">
        <v>2328</v>
      </c>
      <c r="BX58">
        <v>172.98627299340001</v>
      </c>
      <c r="BY58">
        <v>154.69716494849999</v>
      </c>
      <c r="CA58" t="s">
        <v>83</v>
      </c>
      <c r="CB58" t="s">
        <v>900</v>
      </c>
      <c r="CC58" t="s">
        <v>1035</v>
      </c>
      <c r="CD58">
        <v>6613</v>
      </c>
      <c r="CE58">
        <v>1847</v>
      </c>
      <c r="CF58">
        <v>111.27718130949999</v>
      </c>
      <c r="CG58">
        <v>29457</v>
      </c>
      <c r="CH58">
        <v>2225</v>
      </c>
      <c r="CI58">
        <v>221.51067657940001</v>
      </c>
      <c r="CJ58">
        <v>149.39056179779999</v>
      </c>
      <c r="CL58" t="s">
        <v>83</v>
      </c>
      <c r="CM58" t="s">
        <v>881</v>
      </c>
      <c r="CN58" t="s">
        <v>889</v>
      </c>
      <c r="CO58">
        <v>569</v>
      </c>
      <c r="CP58">
        <v>52</v>
      </c>
      <c r="CQ58">
        <v>59.481546572900001</v>
      </c>
      <c r="CR58">
        <v>3306</v>
      </c>
      <c r="CS58">
        <v>209</v>
      </c>
      <c r="CT58">
        <v>68.6984271022</v>
      </c>
      <c r="CU58">
        <v>66.234449760800004</v>
      </c>
      <c r="CW58" t="s">
        <v>83</v>
      </c>
      <c r="CX58" t="s">
        <v>891</v>
      </c>
      <c r="CY58" t="s">
        <v>899</v>
      </c>
      <c r="CZ58">
        <v>228</v>
      </c>
      <c r="DA58">
        <v>23</v>
      </c>
      <c r="DB58">
        <v>59.021929824600001</v>
      </c>
      <c r="DC58">
        <v>834</v>
      </c>
      <c r="DD58">
        <v>33</v>
      </c>
      <c r="DE58">
        <v>124.3321342926</v>
      </c>
      <c r="DF58">
        <v>109.2121212121</v>
      </c>
      <c r="DH58" t="s">
        <v>83</v>
      </c>
      <c r="DI58" t="s">
        <v>871</v>
      </c>
      <c r="DJ58" t="s">
        <v>879</v>
      </c>
      <c r="DK58">
        <v>427</v>
      </c>
      <c r="DL58">
        <v>33</v>
      </c>
      <c r="DM58">
        <v>67.540983606599994</v>
      </c>
      <c r="DN58">
        <v>1200</v>
      </c>
      <c r="DO58">
        <v>88</v>
      </c>
      <c r="DP58">
        <v>162.4025</v>
      </c>
      <c r="DQ58">
        <v>130.20454545449999</v>
      </c>
    </row>
    <row r="59" spans="2:121" x14ac:dyDescent="0.2">
      <c r="F59" t="s">
        <v>49</v>
      </c>
      <c r="G59">
        <v>13022</v>
      </c>
      <c r="H59">
        <v>338.89402549530001</v>
      </c>
      <c r="I59">
        <v>16843</v>
      </c>
      <c r="J59">
        <v>5457</v>
      </c>
      <c r="K59">
        <v>17300</v>
      </c>
      <c r="L59">
        <v>11359</v>
      </c>
      <c r="M59">
        <v>1796</v>
      </c>
      <c r="N59">
        <v>1471</v>
      </c>
      <c r="O59">
        <v>4502</v>
      </c>
      <c r="P59">
        <v>3478</v>
      </c>
      <c r="Q59">
        <v>0</v>
      </c>
      <c r="R59">
        <v>241</v>
      </c>
      <c r="BJ59" t="s">
        <v>607</v>
      </c>
      <c r="BK59" t="s">
        <v>414</v>
      </c>
      <c r="BL59">
        <v>7959</v>
      </c>
      <c r="BM59">
        <v>1829</v>
      </c>
      <c r="BN59">
        <v>96.023621057900002</v>
      </c>
      <c r="BO59">
        <v>63497</v>
      </c>
      <c r="BP59">
        <v>4192</v>
      </c>
      <c r="BQ59">
        <v>127.7647762886</v>
      </c>
      <c r="BR59">
        <v>92.314646946600007</v>
      </c>
      <c r="BS59">
        <v>7659</v>
      </c>
      <c r="BT59">
        <v>1497</v>
      </c>
      <c r="BU59">
        <v>85.322104713399995</v>
      </c>
      <c r="BV59">
        <v>57705</v>
      </c>
      <c r="BW59">
        <v>3987</v>
      </c>
      <c r="BX59">
        <v>112.9778182133</v>
      </c>
      <c r="BY59">
        <v>81.894406822199997</v>
      </c>
      <c r="CA59" t="s">
        <v>414</v>
      </c>
      <c r="CB59" t="s">
        <v>900</v>
      </c>
      <c r="CD59">
        <v>59896</v>
      </c>
      <c r="CE59">
        <v>17187</v>
      </c>
      <c r="CF59">
        <v>108.3297215173</v>
      </c>
      <c r="CG59">
        <v>200947</v>
      </c>
      <c r="CH59">
        <v>14117</v>
      </c>
      <c r="CI59">
        <v>193.3023931683</v>
      </c>
      <c r="CJ59">
        <v>154.5598923284</v>
      </c>
      <c r="CL59" t="s">
        <v>414</v>
      </c>
      <c r="CM59" t="s">
        <v>881</v>
      </c>
      <c r="CO59">
        <v>4323</v>
      </c>
      <c r="CP59">
        <v>295</v>
      </c>
      <c r="CQ59">
        <v>54.574832292399996</v>
      </c>
      <c r="CR59">
        <v>26165</v>
      </c>
      <c r="CS59">
        <v>1738</v>
      </c>
      <c r="CT59">
        <v>65.110376457100003</v>
      </c>
      <c r="CU59">
        <v>64.135788262399998</v>
      </c>
      <c r="CW59" t="s">
        <v>414</v>
      </c>
      <c r="CX59" t="s">
        <v>891</v>
      </c>
      <c r="CZ59">
        <v>1999</v>
      </c>
      <c r="DA59">
        <v>238</v>
      </c>
      <c r="DB59">
        <v>64.612306153099993</v>
      </c>
      <c r="DC59">
        <v>5851</v>
      </c>
      <c r="DD59">
        <v>306</v>
      </c>
      <c r="DE59">
        <v>120.7610664844</v>
      </c>
      <c r="DF59">
        <v>105.9836601307</v>
      </c>
      <c r="DH59" t="s">
        <v>414</v>
      </c>
      <c r="DI59" t="s">
        <v>871</v>
      </c>
      <c r="DK59">
        <v>1522</v>
      </c>
      <c r="DL59">
        <v>128</v>
      </c>
      <c r="DM59">
        <v>64.856110381099995</v>
      </c>
      <c r="DN59">
        <v>4378</v>
      </c>
      <c r="DO59">
        <v>227</v>
      </c>
      <c r="DP59">
        <v>164.10073092740001</v>
      </c>
      <c r="DQ59">
        <v>126.15418502199999</v>
      </c>
    </row>
    <row r="60" spans="2:121" x14ac:dyDescent="0.2">
      <c r="F60" t="s">
        <v>141</v>
      </c>
      <c r="G60">
        <v>467</v>
      </c>
      <c r="H60">
        <v>332.74732334049997</v>
      </c>
      <c r="I60">
        <v>374</v>
      </c>
      <c r="J60">
        <v>123</v>
      </c>
      <c r="K60">
        <v>656</v>
      </c>
      <c r="L60">
        <v>434</v>
      </c>
      <c r="M60">
        <v>75</v>
      </c>
      <c r="N60">
        <v>66</v>
      </c>
      <c r="O60">
        <v>96</v>
      </c>
      <c r="P60">
        <v>77</v>
      </c>
      <c r="Q60">
        <v>0</v>
      </c>
      <c r="R60">
        <v>1</v>
      </c>
      <c r="BJ60" t="s">
        <v>549</v>
      </c>
      <c r="BK60" t="s">
        <v>390</v>
      </c>
      <c r="BL60">
        <v>14433</v>
      </c>
      <c r="BM60">
        <v>4615</v>
      </c>
      <c r="BN60">
        <v>115.57486316080001</v>
      </c>
      <c r="BO60">
        <v>49769</v>
      </c>
      <c r="BP60">
        <v>2945</v>
      </c>
      <c r="BQ60">
        <v>196.3048283068</v>
      </c>
      <c r="BR60">
        <v>180.92971137519999</v>
      </c>
      <c r="BS60">
        <v>13074</v>
      </c>
      <c r="BT60">
        <v>3327</v>
      </c>
      <c r="BU60">
        <v>105.35375554540001</v>
      </c>
      <c r="BV60">
        <v>42044</v>
      </c>
      <c r="BW60">
        <v>2428</v>
      </c>
      <c r="BX60">
        <v>190.5099657502</v>
      </c>
      <c r="BY60">
        <v>175.7195222405</v>
      </c>
      <c r="CA60" t="s">
        <v>398</v>
      </c>
      <c r="CB60" t="s">
        <v>925</v>
      </c>
      <c r="CC60" t="s">
        <v>1036</v>
      </c>
      <c r="CD60">
        <v>7801</v>
      </c>
      <c r="CE60">
        <v>2092</v>
      </c>
      <c r="CF60">
        <v>101.77002948339999</v>
      </c>
      <c r="CG60">
        <v>24486</v>
      </c>
      <c r="CH60">
        <v>1452</v>
      </c>
      <c r="CI60">
        <v>194.98921832880001</v>
      </c>
      <c r="CJ60">
        <v>177.2679063361</v>
      </c>
      <c r="CL60" t="s">
        <v>398</v>
      </c>
      <c r="CM60" t="s">
        <v>910</v>
      </c>
      <c r="CN60" t="s">
        <v>909</v>
      </c>
      <c r="CO60">
        <v>547</v>
      </c>
      <c r="CP60">
        <v>52</v>
      </c>
      <c r="CQ60">
        <v>56.270566727599999</v>
      </c>
      <c r="CR60">
        <v>4186</v>
      </c>
      <c r="CS60">
        <v>201</v>
      </c>
      <c r="CT60">
        <v>49.624940277100002</v>
      </c>
      <c r="CU60">
        <v>56.6567164179</v>
      </c>
      <c r="CW60" t="s">
        <v>398</v>
      </c>
      <c r="CX60" t="s">
        <v>918</v>
      </c>
      <c r="CY60" t="s">
        <v>917</v>
      </c>
      <c r="CZ60">
        <v>161</v>
      </c>
      <c r="DA60">
        <v>28</v>
      </c>
      <c r="DB60">
        <v>70.192546583899997</v>
      </c>
      <c r="DC60">
        <v>357</v>
      </c>
      <c r="DD60">
        <v>30</v>
      </c>
      <c r="DE60">
        <v>141.35574229689999</v>
      </c>
      <c r="DF60">
        <v>140.26666666669999</v>
      </c>
      <c r="DH60" t="s">
        <v>398</v>
      </c>
      <c r="DI60" t="s">
        <v>902</v>
      </c>
      <c r="DJ60" t="s">
        <v>901</v>
      </c>
      <c r="DK60">
        <v>145</v>
      </c>
      <c r="DL60">
        <v>21</v>
      </c>
      <c r="DM60">
        <v>77.303448275899996</v>
      </c>
      <c r="DN60">
        <v>364</v>
      </c>
      <c r="DO60">
        <v>16</v>
      </c>
      <c r="DP60">
        <v>144.3873626374</v>
      </c>
      <c r="DQ60">
        <v>139.875</v>
      </c>
    </row>
    <row r="61" spans="2:121" x14ac:dyDescent="0.2">
      <c r="F61" t="s">
        <v>59</v>
      </c>
      <c r="G61">
        <v>7923</v>
      </c>
      <c r="H61">
        <v>249.00025242960001</v>
      </c>
      <c r="I61">
        <v>5705</v>
      </c>
      <c r="J61">
        <v>1230</v>
      </c>
      <c r="K61">
        <v>10184</v>
      </c>
      <c r="L61">
        <v>5050</v>
      </c>
      <c r="M61">
        <v>342</v>
      </c>
      <c r="N61">
        <v>222</v>
      </c>
      <c r="O61">
        <v>472</v>
      </c>
      <c r="P61">
        <v>199</v>
      </c>
      <c r="Q61">
        <v>85</v>
      </c>
      <c r="R61">
        <v>0</v>
      </c>
      <c r="BJ61" t="s">
        <v>557</v>
      </c>
      <c r="BK61" t="s">
        <v>390</v>
      </c>
      <c r="BL61">
        <v>8938</v>
      </c>
      <c r="BM61">
        <v>2525</v>
      </c>
      <c r="BN61">
        <v>104.75352427839999</v>
      </c>
      <c r="BO61">
        <v>29429</v>
      </c>
      <c r="BP61">
        <v>1817</v>
      </c>
      <c r="BQ61">
        <v>194.45074586289999</v>
      </c>
      <c r="BR61">
        <v>159.1937259218</v>
      </c>
      <c r="BS61">
        <v>8852</v>
      </c>
      <c r="BT61">
        <v>2736</v>
      </c>
      <c r="BU61">
        <v>108.74039765019999</v>
      </c>
      <c r="BV61">
        <v>28038</v>
      </c>
      <c r="BW61">
        <v>1909</v>
      </c>
      <c r="BX61">
        <v>190.8132177759</v>
      </c>
      <c r="BY61">
        <v>164.9607124149</v>
      </c>
      <c r="CA61" t="s">
        <v>435</v>
      </c>
      <c r="CB61" t="s">
        <v>925</v>
      </c>
      <c r="CC61" t="s">
        <v>1037</v>
      </c>
      <c r="CD61">
        <v>23598</v>
      </c>
      <c r="CE61">
        <v>8300</v>
      </c>
      <c r="CF61">
        <v>126.21272989240001</v>
      </c>
      <c r="CG61">
        <v>77861</v>
      </c>
      <c r="CH61">
        <v>5967</v>
      </c>
      <c r="CI61">
        <v>205.2658327019</v>
      </c>
      <c r="CJ61">
        <v>171.149321267</v>
      </c>
      <c r="CL61" t="s">
        <v>435</v>
      </c>
      <c r="CM61" t="s">
        <v>910</v>
      </c>
      <c r="CN61" t="s">
        <v>911</v>
      </c>
      <c r="CO61">
        <v>1207</v>
      </c>
      <c r="CP61">
        <v>143</v>
      </c>
      <c r="CQ61">
        <v>65.635459817699996</v>
      </c>
      <c r="CR61">
        <v>10396</v>
      </c>
      <c r="CS61">
        <v>615</v>
      </c>
      <c r="CT61">
        <v>73.710176991200001</v>
      </c>
      <c r="CU61">
        <v>72.247154471499996</v>
      </c>
      <c r="CW61" t="s">
        <v>435</v>
      </c>
      <c r="CX61" t="s">
        <v>918</v>
      </c>
      <c r="CY61" t="s">
        <v>919</v>
      </c>
      <c r="CZ61">
        <v>724</v>
      </c>
      <c r="DA61">
        <v>140</v>
      </c>
      <c r="DB61">
        <v>79.287292817700006</v>
      </c>
      <c r="DC61">
        <v>1825</v>
      </c>
      <c r="DD61">
        <v>113</v>
      </c>
      <c r="DE61">
        <v>141.55397260269999</v>
      </c>
      <c r="DF61">
        <v>140.80530973450001</v>
      </c>
      <c r="DH61" t="s">
        <v>435</v>
      </c>
      <c r="DI61" t="s">
        <v>902</v>
      </c>
      <c r="DJ61" t="s">
        <v>903</v>
      </c>
      <c r="DK61">
        <v>858</v>
      </c>
      <c r="DL61">
        <v>123</v>
      </c>
      <c r="DM61">
        <v>75.715617715600004</v>
      </c>
      <c r="DN61">
        <v>1929</v>
      </c>
      <c r="DO61">
        <v>113</v>
      </c>
      <c r="DP61">
        <v>141.3462934163</v>
      </c>
      <c r="DQ61">
        <v>143.55752212389999</v>
      </c>
    </row>
    <row r="62" spans="2:121" x14ac:dyDescent="0.2">
      <c r="BJ62" t="s">
        <v>573</v>
      </c>
      <c r="BK62" t="s">
        <v>390</v>
      </c>
      <c r="BL62">
        <v>6694</v>
      </c>
      <c r="BM62">
        <v>2968</v>
      </c>
      <c r="BN62">
        <v>162.20630415299999</v>
      </c>
      <c r="BO62">
        <v>18708</v>
      </c>
      <c r="BP62">
        <v>1195</v>
      </c>
      <c r="BQ62">
        <v>224.5448471242</v>
      </c>
      <c r="BR62">
        <v>199.41338912130001</v>
      </c>
      <c r="BS62">
        <v>7230</v>
      </c>
      <c r="BT62">
        <v>3253</v>
      </c>
      <c r="BU62">
        <v>158.73679114800001</v>
      </c>
      <c r="BV62">
        <v>19408</v>
      </c>
      <c r="BW62">
        <v>1237</v>
      </c>
      <c r="BX62">
        <v>225.30338004949999</v>
      </c>
      <c r="BY62">
        <v>195.78253839940001</v>
      </c>
      <c r="CA62" t="s">
        <v>391</v>
      </c>
      <c r="CB62" t="s">
        <v>925</v>
      </c>
      <c r="CC62" t="s">
        <v>1038</v>
      </c>
      <c r="CD62">
        <v>15314</v>
      </c>
      <c r="CE62">
        <v>4775</v>
      </c>
      <c r="CF62">
        <v>114.80775760740001</v>
      </c>
      <c r="CG62">
        <v>55231</v>
      </c>
      <c r="CH62">
        <v>3297</v>
      </c>
      <c r="CI62">
        <v>188.2713331281</v>
      </c>
      <c r="CJ62">
        <v>171.48195329090001</v>
      </c>
      <c r="CL62" t="s">
        <v>391</v>
      </c>
      <c r="CM62" t="s">
        <v>910</v>
      </c>
      <c r="CN62" t="s">
        <v>912</v>
      </c>
      <c r="CO62">
        <v>642</v>
      </c>
      <c r="CP62">
        <v>93</v>
      </c>
      <c r="CQ62">
        <v>75.643302180700005</v>
      </c>
      <c r="CR62">
        <v>4925</v>
      </c>
      <c r="CS62">
        <v>295</v>
      </c>
      <c r="CT62">
        <v>74.879796954300005</v>
      </c>
      <c r="CU62">
        <v>79.450847457600005</v>
      </c>
      <c r="CW62" t="s">
        <v>391</v>
      </c>
      <c r="CX62" t="s">
        <v>918</v>
      </c>
      <c r="CY62" t="s">
        <v>920</v>
      </c>
      <c r="CZ62">
        <v>412</v>
      </c>
      <c r="DA62">
        <v>66</v>
      </c>
      <c r="DB62">
        <v>78.155339805799997</v>
      </c>
      <c r="DC62">
        <v>1001</v>
      </c>
      <c r="DD62">
        <v>69</v>
      </c>
      <c r="DE62">
        <v>152.31868131869999</v>
      </c>
      <c r="DF62">
        <v>132.86956521740001</v>
      </c>
      <c r="DH62" t="s">
        <v>391</v>
      </c>
      <c r="DI62" t="s">
        <v>902</v>
      </c>
      <c r="DJ62" t="s">
        <v>904</v>
      </c>
      <c r="DK62">
        <v>442</v>
      </c>
      <c r="DL62">
        <v>71</v>
      </c>
      <c r="DM62">
        <v>75.9932126697</v>
      </c>
      <c r="DN62">
        <v>1017</v>
      </c>
      <c r="DO62">
        <v>59</v>
      </c>
      <c r="DP62">
        <v>149.8888888889</v>
      </c>
      <c r="DQ62">
        <v>145.7118644068</v>
      </c>
    </row>
    <row r="63" spans="2:121" x14ac:dyDescent="0.2">
      <c r="BJ63" t="s">
        <v>563</v>
      </c>
      <c r="BK63" t="s">
        <v>390</v>
      </c>
      <c r="BL63">
        <v>7602</v>
      </c>
      <c r="BM63">
        <v>1939</v>
      </c>
      <c r="BN63">
        <v>97.512891344400003</v>
      </c>
      <c r="BO63">
        <v>22561</v>
      </c>
      <c r="BP63">
        <v>1328</v>
      </c>
      <c r="BQ63">
        <v>202.63157661450001</v>
      </c>
      <c r="BR63">
        <v>186.54593373489999</v>
      </c>
      <c r="BS63">
        <v>7370</v>
      </c>
      <c r="BT63">
        <v>1608</v>
      </c>
      <c r="BU63">
        <v>90.962550882000002</v>
      </c>
      <c r="BV63">
        <v>22264</v>
      </c>
      <c r="BW63">
        <v>1227</v>
      </c>
      <c r="BX63">
        <v>204.15176967299999</v>
      </c>
      <c r="BY63">
        <v>183.18011409939999</v>
      </c>
      <c r="CA63" t="s">
        <v>403</v>
      </c>
      <c r="CB63" t="s">
        <v>925</v>
      </c>
      <c r="CC63" t="s">
        <v>1039</v>
      </c>
      <c r="CD63">
        <v>4580</v>
      </c>
      <c r="CE63">
        <v>1263</v>
      </c>
      <c r="CF63">
        <v>113.82030567690001</v>
      </c>
      <c r="CG63">
        <v>14873</v>
      </c>
      <c r="CH63">
        <v>999</v>
      </c>
      <c r="CI63">
        <v>169.9587171384</v>
      </c>
      <c r="CJ63">
        <v>154.5225225225</v>
      </c>
      <c r="CL63" t="s">
        <v>403</v>
      </c>
      <c r="CM63" t="s">
        <v>910</v>
      </c>
      <c r="CN63" t="s">
        <v>913</v>
      </c>
      <c r="CO63">
        <v>299</v>
      </c>
      <c r="CP63">
        <v>35</v>
      </c>
      <c r="CQ63">
        <v>60.157190635500001</v>
      </c>
      <c r="CR63">
        <v>2116</v>
      </c>
      <c r="CS63">
        <v>124</v>
      </c>
      <c r="CT63">
        <v>55.619092627599997</v>
      </c>
      <c r="CU63">
        <v>47.217741935500001</v>
      </c>
      <c r="CW63" t="s">
        <v>403</v>
      </c>
      <c r="CX63" t="s">
        <v>918</v>
      </c>
      <c r="CY63" t="s">
        <v>921</v>
      </c>
      <c r="CZ63">
        <v>85</v>
      </c>
      <c r="DA63">
        <v>11</v>
      </c>
      <c r="DB63">
        <v>67.576470588199996</v>
      </c>
      <c r="DC63">
        <v>254</v>
      </c>
      <c r="DD63">
        <v>13</v>
      </c>
      <c r="DE63">
        <v>136.18897637800001</v>
      </c>
      <c r="DF63">
        <v>157.38461538460001</v>
      </c>
      <c r="DH63" t="s">
        <v>403</v>
      </c>
      <c r="DI63" t="s">
        <v>902</v>
      </c>
      <c r="DJ63" t="s">
        <v>905</v>
      </c>
      <c r="DK63">
        <v>130</v>
      </c>
      <c r="DL63">
        <v>14</v>
      </c>
      <c r="DM63">
        <v>69.030769230800004</v>
      </c>
      <c r="DN63">
        <v>299</v>
      </c>
      <c r="DO63">
        <v>17</v>
      </c>
      <c r="DP63">
        <v>131.27424749159999</v>
      </c>
      <c r="DQ63">
        <v>147.29411764709999</v>
      </c>
    </row>
    <row r="64" spans="2:121" x14ac:dyDescent="0.2">
      <c r="BJ64" t="s">
        <v>559</v>
      </c>
      <c r="BK64" t="s">
        <v>390</v>
      </c>
      <c r="BL64">
        <v>9462</v>
      </c>
      <c r="BM64">
        <v>2160</v>
      </c>
      <c r="BN64">
        <v>94.308602832399998</v>
      </c>
      <c r="BO64">
        <v>27768</v>
      </c>
      <c r="BP64">
        <v>1997</v>
      </c>
      <c r="BQ64">
        <v>154.49218524919999</v>
      </c>
      <c r="BR64">
        <v>138.60841261889999</v>
      </c>
      <c r="BS64">
        <v>9926</v>
      </c>
      <c r="BT64">
        <v>2698</v>
      </c>
      <c r="BU64">
        <v>109.5036268386</v>
      </c>
      <c r="BV64">
        <v>31762</v>
      </c>
      <c r="BW64">
        <v>2155</v>
      </c>
      <c r="BX64">
        <v>169.95179774569999</v>
      </c>
      <c r="BY64">
        <v>157.07378190259999</v>
      </c>
      <c r="CA64" t="s">
        <v>437</v>
      </c>
      <c r="CB64" t="s">
        <v>925</v>
      </c>
      <c r="CC64" t="s">
        <v>1040</v>
      </c>
      <c r="CD64">
        <v>2664</v>
      </c>
      <c r="CE64">
        <v>911</v>
      </c>
      <c r="CF64">
        <v>111.6524024024</v>
      </c>
      <c r="CG64">
        <v>8917</v>
      </c>
      <c r="CH64">
        <v>616</v>
      </c>
      <c r="CI64">
        <v>158.07110014579999</v>
      </c>
      <c r="CJ64">
        <v>128.88636363640001</v>
      </c>
      <c r="CL64" t="s">
        <v>437</v>
      </c>
      <c r="CM64" t="s">
        <v>910</v>
      </c>
      <c r="CN64" t="s">
        <v>914</v>
      </c>
      <c r="CO64">
        <v>226</v>
      </c>
      <c r="CP64">
        <v>25</v>
      </c>
      <c r="CQ64">
        <v>76.9292035398</v>
      </c>
      <c r="CR64">
        <v>2249</v>
      </c>
      <c r="CS64">
        <v>125</v>
      </c>
      <c r="CT64">
        <v>81.378390395699995</v>
      </c>
      <c r="CU64">
        <v>93.864000000000004</v>
      </c>
      <c r="CW64" t="s">
        <v>437</v>
      </c>
      <c r="CX64" t="s">
        <v>918</v>
      </c>
      <c r="CY64" t="s">
        <v>922</v>
      </c>
      <c r="CZ64">
        <v>8</v>
      </c>
      <c r="DA64">
        <v>3</v>
      </c>
      <c r="DB64">
        <v>101.875</v>
      </c>
      <c r="DC64">
        <v>27</v>
      </c>
      <c r="DD64">
        <v>1</v>
      </c>
      <c r="DE64">
        <v>113.7037037037</v>
      </c>
      <c r="DF64">
        <v>138</v>
      </c>
      <c r="DH64" t="s">
        <v>437</v>
      </c>
      <c r="DI64" t="s">
        <v>902</v>
      </c>
      <c r="DJ64" t="s">
        <v>906</v>
      </c>
      <c r="DK64">
        <v>10</v>
      </c>
      <c r="DL64">
        <v>3</v>
      </c>
      <c r="DM64">
        <v>90.6</v>
      </c>
      <c r="DN64">
        <v>40</v>
      </c>
      <c r="DO64">
        <v>2</v>
      </c>
      <c r="DP64">
        <v>152</v>
      </c>
      <c r="DQ64">
        <v>83</v>
      </c>
    </row>
    <row r="65" spans="62:121" x14ac:dyDescent="0.2">
      <c r="BJ65" t="s">
        <v>623</v>
      </c>
      <c r="BK65" t="s">
        <v>390</v>
      </c>
      <c r="BL65">
        <v>2696</v>
      </c>
      <c r="BM65">
        <v>939</v>
      </c>
      <c r="BN65">
        <v>111.94065281899999</v>
      </c>
      <c r="BO65">
        <v>8693</v>
      </c>
      <c r="BP65">
        <v>590</v>
      </c>
      <c r="BQ65">
        <v>159.4398941677</v>
      </c>
      <c r="BR65">
        <v>133.11016949149999</v>
      </c>
      <c r="BS65">
        <v>3080</v>
      </c>
      <c r="BT65">
        <v>1316</v>
      </c>
      <c r="BU65">
        <v>132.2077922078</v>
      </c>
      <c r="BV65">
        <v>10812</v>
      </c>
      <c r="BW65">
        <v>665</v>
      </c>
      <c r="BX65">
        <v>169.50046244910001</v>
      </c>
      <c r="BY65">
        <v>149.47969924809999</v>
      </c>
      <c r="CA65" t="s">
        <v>393</v>
      </c>
      <c r="CB65" t="s">
        <v>925</v>
      </c>
      <c r="CC65" t="s">
        <v>1041</v>
      </c>
      <c r="CD65">
        <v>9353</v>
      </c>
      <c r="CE65">
        <v>2623</v>
      </c>
      <c r="CF65">
        <v>104.95167325990001</v>
      </c>
      <c r="CG65">
        <v>31106</v>
      </c>
      <c r="CH65">
        <v>1941</v>
      </c>
      <c r="CI65">
        <v>190.34954671119999</v>
      </c>
      <c r="CJ65">
        <v>154.95414734670001</v>
      </c>
      <c r="CL65" t="s">
        <v>393</v>
      </c>
      <c r="CM65" t="s">
        <v>910</v>
      </c>
      <c r="CN65" t="s">
        <v>915</v>
      </c>
      <c r="CO65">
        <v>387</v>
      </c>
      <c r="CP65">
        <v>54</v>
      </c>
      <c r="CQ65">
        <v>72.739018087900007</v>
      </c>
      <c r="CR65">
        <v>3105</v>
      </c>
      <c r="CS65">
        <v>181</v>
      </c>
      <c r="CT65">
        <v>71.9929146538</v>
      </c>
      <c r="CU65">
        <v>72.022099447499997</v>
      </c>
      <c r="CW65" t="s">
        <v>393</v>
      </c>
      <c r="CX65" t="s">
        <v>918</v>
      </c>
      <c r="CY65" t="s">
        <v>923</v>
      </c>
      <c r="CZ65">
        <v>220</v>
      </c>
      <c r="DA65">
        <v>30</v>
      </c>
      <c r="DB65">
        <v>69.209090909099999</v>
      </c>
      <c r="DC65">
        <v>611</v>
      </c>
      <c r="DD65">
        <v>31</v>
      </c>
      <c r="DE65">
        <v>152.27986906710001</v>
      </c>
      <c r="DF65">
        <v>160.74193548389999</v>
      </c>
      <c r="DH65" t="s">
        <v>393</v>
      </c>
      <c r="DI65" t="s">
        <v>902</v>
      </c>
      <c r="DJ65" t="s">
        <v>907</v>
      </c>
      <c r="DK65">
        <v>232</v>
      </c>
      <c r="DL65">
        <v>43</v>
      </c>
      <c r="DM65">
        <v>78.883620689699995</v>
      </c>
      <c r="DN65">
        <v>483</v>
      </c>
      <c r="DO65">
        <v>31</v>
      </c>
      <c r="DP65">
        <v>140.75362318840001</v>
      </c>
      <c r="DQ65">
        <v>142.935483871</v>
      </c>
    </row>
    <row r="66" spans="62:121" x14ac:dyDescent="0.2">
      <c r="BJ66" t="s">
        <v>390</v>
      </c>
      <c r="BK66" t="s">
        <v>390</v>
      </c>
      <c r="BL66">
        <v>72165</v>
      </c>
      <c r="BM66">
        <v>22951</v>
      </c>
      <c r="BN66">
        <v>116.9296750502</v>
      </c>
      <c r="BO66">
        <v>230053</v>
      </c>
      <c r="BP66">
        <v>15472</v>
      </c>
      <c r="BQ66">
        <v>197.13924182689999</v>
      </c>
      <c r="BR66">
        <v>170.37144519130001</v>
      </c>
      <c r="BS66">
        <v>69557</v>
      </c>
      <c r="BT66">
        <v>20700</v>
      </c>
      <c r="BU66">
        <v>113.82454677459999</v>
      </c>
      <c r="BV66">
        <v>213462</v>
      </c>
      <c r="BW66">
        <v>14508</v>
      </c>
      <c r="BX66">
        <v>195.72946941379999</v>
      </c>
      <c r="BY66">
        <v>167.95264681559999</v>
      </c>
      <c r="CA66" t="s">
        <v>394</v>
      </c>
      <c r="CB66" t="s">
        <v>925</v>
      </c>
      <c r="CC66" t="s">
        <v>1042</v>
      </c>
      <c r="CD66">
        <v>9479</v>
      </c>
      <c r="CE66">
        <v>2275</v>
      </c>
      <c r="CF66">
        <v>97.131342968699997</v>
      </c>
      <c r="CG66">
        <v>29779</v>
      </c>
      <c r="CH66">
        <v>2110</v>
      </c>
      <c r="CI66">
        <v>150.82289532889999</v>
      </c>
      <c r="CJ66">
        <v>135.31516587679999</v>
      </c>
      <c r="CL66" t="s">
        <v>394</v>
      </c>
      <c r="CM66" t="s">
        <v>910</v>
      </c>
      <c r="CN66" t="s">
        <v>916</v>
      </c>
      <c r="CO66">
        <v>530</v>
      </c>
      <c r="CP66">
        <v>51</v>
      </c>
      <c r="CQ66">
        <v>54.903773584900001</v>
      </c>
      <c r="CR66">
        <v>4057</v>
      </c>
      <c r="CS66">
        <v>203</v>
      </c>
      <c r="CT66">
        <v>51.316490017299998</v>
      </c>
      <c r="CU66">
        <v>54.551724137900003</v>
      </c>
      <c r="CW66" t="s">
        <v>394</v>
      </c>
      <c r="CX66" t="s">
        <v>918</v>
      </c>
      <c r="CY66" t="s">
        <v>924</v>
      </c>
      <c r="CZ66">
        <v>194</v>
      </c>
      <c r="DA66">
        <v>29</v>
      </c>
      <c r="DB66">
        <v>75.412371133999997</v>
      </c>
      <c r="DC66">
        <v>479</v>
      </c>
      <c r="DD66">
        <v>32</v>
      </c>
      <c r="DE66">
        <v>148.07724425890001</v>
      </c>
      <c r="DF66">
        <v>129.15625</v>
      </c>
      <c r="DH66" t="s">
        <v>394</v>
      </c>
      <c r="DI66" t="s">
        <v>902</v>
      </c>
      <c r="DJ66" t="s">
        <v>908</v>
      </c>
      <c r="DK66">
        <v>344</v>
      </c>
      <c r="DL66">
        <v>49</v>
      </c>
      <c r="DM66">
        <v>75.235465116300006</v>
      </c>
      <c r="DN66">
        <v>681</v>
      </c>
      <c r="DO66">
        <v>38</v>
      </c>
      <c r="DP66">
        <v>132.93979442</v>
      </c>
      <c r="DQ66">
        <v>140.31578947369999</v>
      </c>
    </row>
    <row r="67" spans="62:121" x14ac:dyDescent="0.2">
      <c r="BJ67" t="s">
        <v>551</v>
      </c>
      <c r="BK67" t="s">
        <v>390</v>
      </c>
      <c r="BL67">
        <v>22340</v>
      </c>
      <c r="BM67">
        <v>7805</v>
      </c>
      <c r="BN67">
        <v>125.90013428829999</v>
      </c>
      <c r="BO67">
        <v>73125</v>
      </c>
      <c r="BP67">
        <v>5600</v>
      </c>
      <c r="BQ67">
        <v>210.75941196580001</v>
      </c>
      <c r="BR67">
        <v>173.66535714290001</v>
      </c>
      <c r="BS67">
        <v>20025</v>
      </c>
      <c r="BT67">
        <v>5762</v>
      </c>
      <c r="BU67">
        <v>113.1153558052</v>
      </c>
      <c r="BV67">
        <v>59134</v>
      </c>
      <c r="BW67">
        <v>4887</v>
      </c>
      <c r="BX67">
        <v>207.53561402919999</v>
      </c>
      <c r="BY67">
        <v>161.70595457339999</v>
      </c>
      <c r="CA67" t="s">
        <v>390</v>
      </c>
      <c r="CB67" t="s">
        <v>925</v>
      </c>
      <c r="CD67">
        <v>72789</v>
      </c>
      <c r="CE67">
        <v>22239</v>
      </c>
      <c r="CF67">
        <v>113.36193655629999</v>
      </c>
      <c r="CG67">
        <v>242253</v>
      </c>
      <c r="CH67">
        <v>16382</v>
      </c>
      <c r="CI67">
        <v>187.84001436509999</v>
      </c>
      <c r="CJ67">
        <v>162.62116957640001</v>
      </c>
      <c r="CL67" t="s">
        <v>390</v>
      </c>
      <c r="CM67" t="s">
        <v>910</v>
      </c>
      <c r="CO67">
        <v>3838</v>
      </c>
      <c r="CP67">
        <v>453</v>
      </c>
      <c r="CQ67">
        <v>65.447368421099995</v>
      </c>
      <c r="CR67">
        <v>31034</v>
      </c>
      <c r="CS67">
        <v>1744</v>
      </c>
      <c r="CT67">
        <v>66.8699813108</v>
      </c>
      <c r="CU67">
        <v>69.355504587200002</v>
      </c>
      <c r="CW67" t="s">
        <v>390</v>
      </c>
      <c r="CX67" t="s">
        <v>918</v>
      </c>
      <c r="CZ67">
        <v>1804</v>
      </c>
      <c r="DA67">
        <v>307</v>
      </c>
      <c r="DB67">
        <v>76.119733924599998</v>
      </c>
      <c r="DC67">
        <v>4554</v>
      </c>
      <c r="DD67">
        <v>289</v>
      </c>
      <c r="DE67">
        <v>145.5654369785</v>
      </c>
      <c r="DF67">
        <v>140.43944636680001</v>
      </c>
      <c r="DH67" t="s">
        <v>390</v>
      </c>
      <c r="DI67" t="s">
        <v>902</v>
      </c>
      <c r="DK67">
        <v>2161</v>
      </c>
      <c r="DL67">
        <v>324</v>
      </c>
      <c r="DM67">
        <v>75.809347524299994</v>
      </c>
      <c r="DN67">
        <v>4813</v>
      </c>
      <c r="DO67">
        <v>276</v>
      </c>
      <c r="DP67">
        <v>141.59526282979999</v>
      </c>
      <c r="DQ67">
        <v>143.07971014489999</v>
      </c>
    </row>
    <row r="68" spans="62:121" x14ac:dyDescent="0.2">
      <c r="BJ68" t="s">
        <v>317</v>
      </c>
      <c r="BK68" t="s">
        <v>705</v>
      </c>
      <c r="BL68">
        <v>1822</v>
      </c>
      <c r="BM68">
        <v>237</v>
      </c>
      <c r="BN68">
        <v>68.168496158099998</v>
      </c>
      <c r="BO68">
        <v>2268</v>
      </c>
      <c r="BP68">
        <v>192</v>
      </c>
      <c r="BQ68">
        <v>144.3315696649</v>
      </c>
      <c r="BR68">
        <v>127.5520833333</v>
      </c>
      <c r="BS68">
        <v>565</v>
      </c>
      <c r="BT68">
        <v>104</v>
      </c>
      <c r="BU68">
        <v>83.292035398199999</v>
      </c>
      <c r="BV68">
        <v>1851</v>
      </c>
      <c r="BW68">
        <v>95</v>
      </c>
      <c r="BX68">
        <v>145.52782279850001</v>
      </c>
      <c r="BY68">
        <v>107.6736842105</v>
      </c>
      <c r="CA68" t="s">
        <v>708</v>
      </c>
      <c r="CD68">
        <v>362799</v>
      </c>
      <c r="CE68">
        <v>98535</v>
      </c>
      <c r="CF68">
        <v>105.42895377329999</v>
      </c>
      <c r="CG68">
        <v>1243664</v>
      </c>
      <c r="CH68">
        <v>83386</v>
      </c>
      <c r="CI68">
        <v>172.05414484939999</v>
      </c>
      <c r="CJ68">
        <v>149.37102151440001</v>
      </c>
      <c r="CL68" t="s">
        <v>708</v>
      </c>
      <c r="CO68">
        <v>362799</v>
      </c>
      <c r="CP68">
        <v>98535</v>
      </c>
      <c r="CQ68">
        <v>105.42895377329999</v>
      </c>
      <c r="CR68">
        <v>1243664</v>
      </c>
      <c r="CS68">
        <v>83386</v>
      </c>
      <c r="CT68">
        <v>172.05414484939999</v>
      </c>
      <c r="CU68">
        <v>149.37102151440001</v>
      </c>
      <c r="CW68" t="s">
        <v>708</v>
      </c>
      <c r="CZ68">
        <v>362799</v>
      </c>
      <c r="DA68">
        <v>98535</v>
      </c>
      <c r="DB68">
        <v>105.42895377329999</v>
      </c>
      <c r="DC68">
        <v>1243664</v>
      </c>
      <c r="DD68">
        <v>83386</v>
      </c>
      <c r="DE68">
        <v>172.05414484939999</v>
      </c>
      <c r="DF68">
        <v>149.37102151440001</v>
      </c>
      <c r="DH68" t="s">
        <v>708</v>
      </c>
      <c r="DK68">
        <v>362799</v>
      </c>
      <c r="DL68">
        <v>98535</v>
      </c>
      <c r="DM68">
        <v>105.42895377329999</v>
      </c>
      <c r="DN68">
        <v>1243664</v>
      </c>
      <c r="DO68">
        <v>83386</v>
      </c>
      <c r="DP68">
        <v>172.05414484939999</v>
      </c>
      <c r="DQ68">
        <v>149.37102151440001</v>
      </c>
    </row>
    <row r="69" spans="62:121" x14ac:dyDescent="0.2">
      <c r="BJ69" t="s">
        <v>219</v>
      </c>
      <c r="BK69" t="s">
        <v>705</v>
      </c>
      <c r="BL69">
        <v>3178</v>
      </c>
      <c r="BM69">
        <v>273</v>
      </c>
      <c r="BN69">
        <v>67.807426054100006</v>
      </c>
      <c r="BO69">
        <v>11893</v>
      </c>
      <c r="BP69">
        <v>647</v>
      </c>
      <c r="BQ69">
        <v>168.26788867400001</v>
      </c>
      <c r="BR69">
        <v>130.41421947449999</v>
      </c>
      <c r="BS69">
        <v>3447</v>
      </c>
      <c r="BT69">
        <v>274</v>
      </c>
      <c r="BU69">
        <v>65.427038004099998</v>
      </c>
      <c r="BV69">
        <v>11892</v>
      </c>
      <c r="BW69">
        <v>647</v>
      </c>
      <c r="BX69">
        <v>168.4955432223</v>
      </c>
      <c r="BY69">
        <v>131.3060278207</v>
      </c>
    </row>
    <row r="70" spans="62:121" x14ac:dyDescent="0.2">
      <c r="BJ70" t="s">
        <v>705</v>
      </c>
      <c r="BK70" t="s">
        <v>705</v>
      </c>
      <c r="BL70">
        <v>9106</v>
      </c>
      <c r="BM70">
        <v>1095</v>
      </c>
      <c r="BN70">
        <v>70.623874368499997</v>
      </c>
      <c r="BO70">
        <v>22932</v>
      </c>
      <c r="BP70">
        <v>1289</v>
      </c>
      <c r="BQ70">
        <v>151.35300017439999</v>
      </c>
      <c r="BR70">
        <v>134.55236617529999</v>
      </c>
      <c r="BS70">
        <v>9106</v>
      </c>
      <c r="BT70">
        <v>1095</v>
      </c>
      <c r="BU70">
        <v>70.623874368499997</v>
      </c>
      <c r="BV70">
        <v>22932</v>
      </c>
      <c r="BW70">
        <v>1289</v>
      </c>
      <c r="BX70">
        <v>151.35300017439999</v>
      </c>
      <c r="BY70">
        <v>134.55236617529999</v>
      </c>
    </row>
    <row r="71" spans="62:121" x14ac:dyDescent="0.2">
      <c r="BJ71" t="s">
        <v>221</v>
      </c>
      <c r="BK71" t="s">
        <v>705</v>
      </c>
      <c r="BL71">
        <v>4106</v>
      </c>
      <c r="BM71">
        <v>585</v>
      </c>
      <c r="BN71">
        <v>73.893326838799993</v>
      </c>
      <c r="BO71">
        <v>8771</v>
      </c>
      <c r="BP71">
        <v>450</v>
      </c>
      <c r="BQ71">
        <v>130.2329266902</v>
      </c>
      <c r="BR71">
        <v>143.48888888889999</v>
      </c>
      <c r="BS71">
        <v>5094</v>
      </c>
      <c r="BT71">
        <v>717</v>
      </c>
      <c r="BU71">
        <v>72.735374950899995</v>
      </c>
      <c r="BV71">
        <v>9189</v>
      </c>
      <c r="BW71">
        <v>547</v>
      </c>
      <c r="BX71">
        <v>130.3412776145</v>
      </c>
      <c r="BY71">
        <v>143.06032906760001</v>
      </c>
    </row>
    <row r="72" spans="62:121" x14ac:dyDescent="0.2">
      <c r="BJ72" t="s">
        <v>217</v>
      </c>
      <c r="BK72" t="s">
        <v>706</v>
      </c>
      <c r="BL72">
        <v>5178</v>
      </c>
      <c r="BM72">
        <v>479</v>
      </c>
      <c r="BN72">
        <v>56.236577829300003</v>
      </c>
      <c r="BO72">
        <v>38196</v>
      </c>
      <c r="BP72">
        <v>1770</v>
      </c>
      <c r="BQ72">
        <v>54.742826473999997</v>
      </c>
      <c r="BR72">
        <v>56.315819208999997</v>
      </c>
      <c r="BS72">
        <v>5188</v>
      </c>
      <c r="BT72">
        <v>484</v>
      </c>
      <c r="BU72">
        <v>56.402081727099997</v>
      </c>
      <c r="BV72">
        <v>38286</v>
      </c>
      <c r="BW72">
        <v>1775</v>
      </c>
      <c r="BX72">
        <v>55.053021992399998</v>
      </c>
      <c r="BY72">
        <v>56.4214084507</v>
      </c>
    </row>
    <row r="73" spans="62:121" x14ac:dyDescent="0.2">
      <c r="BJ73" t="s">
        <v>232</v>
      </c>
      <c r="BK73" t="s">
        <v>706</v>
      </c>
      <c r="BL73">
        <v>500</v>
      </c>
      <c r="BM73">
        <v>240</v>
      </c>
      <c r="BN73">
        <v>170.63399999999999</v>
      </c>
      <c r="BO73">
        <v>5075</v>
      </c>
      <c r="BP73">
        <v>279</v>
      </c>
      <c r="BQ73">
        <v>67.201576354699995</v>
      </c>
      <c r="BR73">
        <v>53.569892473099998</v>
      </c>
      <c r="BS73">
        <v>451</v>
      </c>
      <c r="BT73">
        <v>224</v>
      </c>
      <c r="BU73">
        <v>176.28603104210001</v>
      </c>
      <c r="BV73">
        <v>4739</v>
      </c>
      <c r="BW73">
        <v>246</v>
      </c>
      <c r="BX73">
        <v>59.395231061399997</v>
      </c>
      <c r="BY73">
        <v>44.727642276399997</v>
      </c>
    </row>
    <row r="74" spans="62:121" x14ac:dyDescent="0.2">
      <c r="BJ74" t="s">
        <v>218</v>
      </c>
      <c r="BK74" t="s">
        <v>706</v>
      </c>
      <c r="BL74">
        <v>5797</v>
      </c>
      <c r="BM74">
        <v>657</v>
      </c>
      <c r="BN74">
        <v>66.720200103500005</v>
      </c>
      <c r="BO74">
        <v>43492</v>
      </c>
      <c r="BP74">
        <v>2643</v>
      </c>
      <c r="BQ74">
        <v>72.299480364199994</v>
      </c>
      <c r="BR74">
        <v>75.191449110899995</v>
      </c>
      <c r="BS74">
        <v>5820</v>
      </c>
      <c r="BT74">
        <v>666</v>
      </c>
      <c r="BU74">
        <v>66.989175257699998</v>
      </c>
      <c r="BV74">
        <v>43601</v>
      </c>
      <c r="BW74">
        <v>2656</v>
      </c>
      <c r="BX74">
        <v>72.595834957899996</v>
      </c>
      <c r="BY74">
        <v>75.394201807200005</v>
      </c>
    </row>
    <row r="75" spans="62:121" x14ac:dyDescent="0.2">
      <c r="BJ75" t="s">
        <v>220</v>
      </c>
      <c r="BK75" t="s">
        <v>706</v>
      </c>
      <c r="BL75">
        <v>8082</v>
      </c>
      <c r="BM75">
        <v>539</v>
      </c>
      <c r="BN75">
        <v>53.9966592428</v>
      </c>
      <c r="BO75">
        <v>49652</v>
      </c>
      <c r="BP75">
        <v>3225</v>
      </c>
      <c r="BQ75">
        <v>64.720353661499999</v>
      </c>
      <c r="BR75">
        <v>65.799379845000004</v>
      </c>
      <c r="BS75">
        <v>8098</v>
      </c>
      <c r="BT75">
        <v>541</v>
      </c>
      <c r="BU75">
        <v>54.049394912300002</v>
      </c>
      <c r="BV75">
        <v>49790</v>
      </c>
      <c r="BW75">
        <v>3240</v>
      </c>
      <c r="BX75">
        <v>64.990861618799997</v>
      </c>
      <c r="BY75">
        <v>66.099074074100002</v>
      </c>
    </row>
    <row r="76" spans="62:121" x14ac:dyDescent="0.2">
      <c r="BJ76" t="s">
        <v>706</v>
      </c>
      <c r="BK76" t="s">
        <v>706</v>
      </c>
      <c r="BL76">
        <v>19557</v>
      </c>
      <c r="BM76">
        <v>1915</v>
      </c>
      <c r="BN76">
        <v>61.343150790000003</v>
      </c>
      <c r="BO76">
        <v>136415</v>
      </c>
      <c r="BP76">
        <v>7917</v>
      </c>
      <c r="BQ76">
        <v>64.4353553495</v>
      </c>
      <c r="BR76">
        <v>66.383604900799995</v>
      </c>
      <c r="BS76">
        <v>19557</v>
      </c>
      <c r="BT76">
        <v>1915</v>
      </c>
      <c r="BU76">
        <v>61.343150790000003</v>
      </c>
      <c r="BV76">
        <v>136416</v>
      </c>
      <c r="BW76">
        <v>7917</v>
      </c>
      <c r="BX76">
        <v>64.438042458400005</v>
      </c>
      <c r="BY76">
        <v>66.383604900799995</v>
      </c>
    </row>
    <row r="77" spans="62:121" x14ac:dyDescent="0.2">
      <c r="BJ77" t="s">
        <v>316</v>
      </c>
      <c r="BK77" t="s">
        <v>707</v>
      </c>
      <c r="BL77">
        <v>2752</v>
      </c>
      <c r="BM77">
        <v>321</v>
      </c>
      <c r="BN77">
        <v>66.631177325600007</v>
      </c>
      <c r="BO77">
        <v>3558</v>
      </c>
      <c r="BP77">
        <v>357</v>
      </c>
      <c r="BQ77">
        <v>123.3839235526</v>
      </c>
      <c r="BR77">
        <v>116.10084033610001</v>
      </c>
      <c r="BS77">
        <v>529</v>
      </c>
      <c r="BT77">
        <v>47</v>
      </c>
      <c r="BU77">
        <v>56.181474480200002</v>
      </c>
      <c r="BV77">
        <v>600</v>
      </c>
      <c r="BW77">
        <v>35</v>
      </c>
      <c r="BX77">
        <v>189.2783333333</v>
      </c>
      <c r="BY77">
        <v>122.3142857143</v>
      </c>
    </row>
    <row r="78" spans="62:121" x14ac:dyDescent="0.2">
      <c r="BJ78" t="s">
        <v>968</v>
      </c>
      <c r="BK78" t="s">
        <v>707</v>
      </c>
      <c r="BL78">
        <v>2753</v>
      </c>
      <c r="BM78">
        <v>320</v>
      </c>
      <c r="BN78">
        <v>63.971667272099999</v>
      </c>
      <c r="BO78">
        <v>9607</v>
      </c>
      <c r="BP78">
        <v>537</v>
      </c>
      <c r="BQ78">
        <v>118.70802539810001</v>
      </c>
      <c r="BR78">
        <v>104.4357541899</v>
      </c>
      <c r="BS78">
        <v>3687</v>
      </c>
      <c r="BT78">
        <v>424</v>
      </c>
      <c r="BU78">
        <v>64.390832655300002</v>
      </c>
      <c r="BV78">
        <v>11941</v>
      </c>
      <c r="BW78">
        <v>715</v>
      </c>
      <c r="BX78">
        <v>115.80579515949999</v>
      </c>
      <c r="BY78">
        <v>102.3006993007</v>
      </c>
    </row>
    <row r="79" spans="62:121" x14ac:dyDescent="0.2">
      <c r="BJ79" t="s">
        <v>707</v>
      </c>
      <c r="BK79" t="s">
        <v>707</v>
      </c>
      <c r="BL79">
        <v>8283</v>
      </c>
      <c r="BM79">
        <v>1157</v>
      </c>
      <c r="BN79">
        <v>70.354098756499994</v>
      </c>
      <c r="BO79">
        <v>23037</v>
      </c>
      <c r="BP79">
        <v>1325</v>
      </c>
      <c r="BQ79">
        <v>133.30980596430001</v>
      </c>
      <c r="BR79">
        <v>125.8203773585</v>
      </c>
      <c r="BS79">
        <v>8283</v>
      </c>
      <c r="BT79">
        <v>1157</v>
      </c>
      <c r="BU79">
        <v>70.354098756499994</v>
      </c>
      <c r="BV79">
        <v>23037</v>
      </c>
      <c r="BW79">
        <v>1325</v>
      </c>
      <c r="BX79">
        <v>133.30980596430001</v>
      </c>
      <c r="BY79">
        <v>125.8203773585</v>
      </c>
    </row>
    <row r="80" spans="62:121" x14ac:dyDescent="0.2">
      <c r="BJ80" t="s">
        <v>969</v>
      </c>
      <c r="BK80" t="s">
        <v>707</v>
      </c>
      <c r="BL80">
        <v>2778</v>
      </c>
      <c r="BM80">
        <v>516</v>
      </c>
      <c r="BN80">
        <v>80.367170626299995</v>
      </c>
      <c r="BO80">
        <v>9872</v>
      </c>
      <c r="BP80">
        <v>431</v>
      </c>
      <c r="BQ80">
        <v>151.0970421394</v>
      </c>
      <c r="BR80">
        <v>160.51508120650001</v>
      </c>
      <c r="BS80">
        <v>4067</v>
      </c>
      <c r="BT80">
        <v>686</v>
      </c>
      <c r="BU80">
        <v>77.603639045999998</v>
      </c>
      <c r="BV80">
        <v>10496</v>
      </c>
      <c r="BW80">
        <v>575</v>
      </c>
      <c r="BX80">
        <v>150.02419969510001</v>
      </c>
      <c r="BY80">
        <v>155.28</v>
      </c>
    </row>
    <row r="81" spans="62:77" x14ac:dyDescent="0.2">
      <c r="BJ81" t="s">
        <v>708</v>
      </c>
      <c r="BL81">
        <v>362799</v>
      </c>
      <c r="BM81">
        <v>98535</v>
      </c>
      <c r="BN81" s="154">
        <v>105.42895377329999</v>
      </c>
      <c r="BO81">
        <v>1243664</v>
      </c>
      <c r="BP81">
        <v>83386</v>
      </c>
      <c r="BQ81">
        <v>172.05414484939999</v>
      </c>
      <c r="BR81">
        <v>149.37102151440001</v>
      </c>
      <c r="BS81">
        <v>362799</v>
      </c>
      <c r="BT81">
        <v>98535</v>
      </c>
      <c r="BU81">
        <v>105.42895377329999</v>
      </c>
      <c r="BV81">
        <v>1243664</v>
      </c>
      <c r="BW81">
        <v>83386</v>
      </c>
      <c r="BX81">
        <v>172.05414484939999</v>
      </c>
      <c r="BY81">
        <v>149.37102151440001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362799</CP_Inventory>
    <Fiscal_Year xmlns="c9744be7-b815-40bc-84fa-afc9c406d9bc">2015</Fiscal_Year>
    <CP_Backlog xmlns="c9744be7-b815-40bc-84fa-afc9c406d9bc">98535</CP_Backlog>
    <Creation_date xmlns="c9744be7-b815-40bc-84fa-afc9c406d9bc">2015-08-24T00:00:00-04:00</Creation_date>
    <Data_date xmlns="c9744be7-b815-40bc-84fa-afc9c406d9bc">2015-08-22T00:00:00-04:00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2.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02957D3-0785-447F-B2B9-DE4BF4DA9AC1}">
  <ds:schemaRefs>
    <ds:schemaRef ds:uri="http://purl.org/dc/terms/"/>
    <ds:schemaRef ds:uri="http://purl.org/dc/dcmitype/"/>
    <ds:schemaRef ds:uri="c9744be7-b815-40bc-84fa-afc9c406d9bc"/>
    <ds:schemaRef ds:uri="http://www.w3.org/XML/1998/namespace"/>
    <ds:schemaRef ds:uri="http://purl.org/dc/elements/1.1/"/>
    <ds:schemaRef ds:uri="http://schemas.microsoft.com/office/2006/metadata/properties"/>
    <ds:schemaRef ds:uri="http://schemas.microsoft.com/office/infopath/2007/PartnerControls"/>
    <ds:schemaRef ds:uri="http://schemas.microsoft.com/office/2006/documentManagement/types"/>
    <ds:schemaRef ds:uri="http://schemas.openxmlformats.org/package/2006/metadata/core-properties"/>
    <ds:schemaRef ds:uri="fef9c9dc-374b-4157-9e06-089f148416e5"/>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August 24,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Neal, James  VBACO</cp:lastModifiedBy>
  <cp:lastPrinted>2015-06-19T18:10:05Z</cp:lastPrinted>
  <dcterms:created xsi:type="dcterms:W3CDTF">2009-08-25T18:46:26Z</dcterms:created>
  <dcterms:modified xsi:type="dcterms:W3CDTF">2015-08-24T12:51:01Z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0x0101005FE5213B5EDB884398141553EBAD7133</vt:lpwstr>
  </property>
  <property fmtid="{D5CDD505-2E9C-101B-9397-08002B2CF9AE}" pid="8" name="_dlc_DocIdItemGuid">
    <vt:lpwstr>b35c4e0f-4bb3-4860-9a7e-1b9831f94b05</vt:lpwstr>
  </property>
</Properties>
</file>