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3192" yWindow="696" windowWidth="15336" windowHeight="9036"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O16" i="46" l="1"/>
  <c r="N16" i="46"/>
  <c r="M16" i="46"/>
  <c r="L16" i="46"/>
  <c r="K16" i="46"/>
  <c r="J16" i="46"/>
  <c r="O34" i="46"/>
  <c r="N34" i="46"/>
  <c r="M34" i="46"/>
  <c r="L34" i="46"/>
  <c r="K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H22" i="35" s="1"/>
  <c r="I5" i="7"/>
  <c r="L11" i="35"/>
  <c r="G7" i="35"/>
  <c r="H30" i="35" l="1"/>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<sst xmlns="http://schemas.openxmlformats.org/spreadsheetml/2006/main" count="4089" uniqueCount="1062">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</sst>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0">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4" fontId="8" fillId="4"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8" fillId="38" borderId="8" xfId="0" applyFont="1" applyFill="1" applyBorder="1" applyProtection="1">
      <protection hidden="1"/>
    </xf>
    <xf numFmtId="0" fontId="8" fillId="38" borderId="0" xfId="0" applyFont="1" applyFill="1" applyBorder="1" applyProtection="1">
      <protection hidden="1"/>
    </xf>
    <xf numFmtId="0" fontId="8" fillId="38" borderId="4" xfId="0" applyFont="1" applyFill="1" applyBorder="1" applyProtection="1">
      <protection hidden="1"/>
    </xf>
    <xf numFmtId="4" fontId="8" fillId="38" borderId="8" xfId="0" applyNumberFormat="1" applyFont="1" applyFill="1" applyBorder="1" applyProtection="1">
      <protection hidden="1"/>
    </xf>
    <xf numFmtId="4" fontId="8" fillId="38" borderId="0" xfId="0" applyNumberFormat="1" applyFont="1" applyFill="1" applyBorder="1" applyProtection="1">
      <protection hidden="1"/>
    </xf>
    <xf numFmtId="4" fontId="8" fillId="38" borderId="4" xfId="0" applyNumberFormat="1" applyFont="1" applyFill="1" applyBorder="1" applyProtection="1">
      <protection hidden="1"/>
    </xf>
    <xf numFmtId="4" fontId="8" fillId="38" borderId="15" xfId="0" applyNumberFormat="1" applyFont="1" applyFill="1" applyBorder="1" applyProtection="1">
      <protection hidden="1"/>
    </xf>
    <xf numFmtId="4" fontId="8" fillId="38" borderId="16" xfId="0" applyNumberFormat="1" applyFont="1" applyFill="1" applyBorder="1" applyProtection="1">
      <protection hidden="1"/>
    </xf>
    <xf numFmtId="4" fontId="8"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8" fillId="38" borderId="53" xfId="0" applyNumberFormat="1" applyFont="1" applyFill="1" applyBorder="1" applyProtection="1">
      <protection hidden="1"/>
    </xf>
    <xf numFmtId="4" fontId="8" fillId="38" borderId="50" xfId="0" applyNumberFormat="1" applyFont="1" applyFill="1" applyBorder="1" applyProtection="1">
      <protection hidden="1"/>
    </xf>
    <xf numFmtId="4" fontId="8" fillId="38" borderId="51" xfId="0" applyNumberFormat="1" applyFont="1" applyFill="1" applyBorder="1" applyProtection="1">
      <protection hidden="1"/>
    </xf>
    <xf numFmtId="4" fontId="8" fillId="38" borderId="25" xfId="0" applyNumberFormat="1" applyFont="1" applyFill="1" applyBorder="1" applyProtection="1">
      <protection hidden="1"/>
    </xf>
    <xf numFmtId="4" fontId="8" fillId="38" borderId="43" xfId="0" applyNumberFormat="1" applyFont="1" applyFill="1" applyBorder="1" applyProtection="1">
      <protection hidden="1"/>
    </xf>
    <xf numFmtId="4" fontId="8"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22860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99060</xdr:colOff>
          <xdr:row>4</xdr:row>
          <xdr:rowOff>68580</xdr:rowOff>
        </xdr:from>
        <xdr:to>
          <xdr:col>1</xdr:col>
          <xdr:colOff>1897380</xdr:colOff>
          <xdr:row>5</xdr:row>
          <xdr:rowOff>121920</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106680</xdr:colOff>
          <xdr:row>4</xdr:row>
          <xdr:rowOff>76200</xdr:rowOff>
        </xdr:from>
        <xdr:to>
          <xdr:col>1</xdr:col>
          <xdr:colOff>1905000</xdr:colOff>
          <xdr:row>5</xdr:row>
          <xdr:rowOff>137160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45720</xdr:colOff>
          <xdr:row>4</xdr:row>
          <xdr:rowOff>7620</xdr:rowOff>
        </xdr:from>
        <xdr:to>
          <xdr:col>1</xdr:col>
          <xdr:colOff>1851660</xdr:colOff>
          <xdr:row>5</xdr:row>
          <xdr:rowOff>68580</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3.2" zeroHeight="1" x14ac:dyDescent="0.25"/>
  <cols>
    <col min="1" max="7" width="9.109375" customWidth="1"/>
    <col min="8" max="8" width="12.5546875" customWidth="1"/>
    <col min="9" max="13" width="9.109375" customWidth="1"/>
    <col min="14" max="14" width="10.44140625" customWidth="1"/>
    <col min="15" max="16" width="9.109375" customWidth="1"/>
    <col min="17" max="16384" width="9.109375" hidden="1"/>
  </cols>
  <sheetData>
    <row r="1" spans="1:16" ht="29.25" customHeight="1" thickBot="1" x14ac:dyDescent="0.3">
      <c r="A1" s="273" t="s">
        <v>312</v>
      </c>
      <c r="B1" s="274"/>
      <c r="C1" s="274"/>
      <c r="D1" s="274"/>
      <c r="E1" s="274"/>
      <c r="F1" s="274"/>
      <c r="G1" s="274"/>
      <c r="H1" s="274"/>
      <c r="I1" s="274"/>
      <c r="J1" s="274"/>
      <c r="K1" s="274"/>
      <c r="L1" s="274"/>
      <c r="M1" s="274"/>
      <c r="N1" s="274"/>
      <c r="O1" s="274"/>
      <c r="P1" s="275"/>
    </row>
    <row r="2" spans="1:16" ht="29.25" customHeight="1" x14ac:dyDescent="0.25">
      <c r="A2" s="267" t="s">
        <v>314</v>
      </c>
      <c r="B2" s="268"/>
      <c r="C2" s="268"/>
      <c r="D2" s="268"/>
      <c r="E2" s="268"/>
      <c r="F2" s="268"/>
      <c r="G2" s="268"/>
      <c r="H2" s="268"/>
      <c r="I2" s="268"/>
      <c r="J2" s="268"/>
      <c r="K2" s="268"/>
      <c r="L2" s="268"/>
      <c r="M2" s="268"/>
      <c r="N2" s="269"/>
      <c r="O2" s="276"/>
      <c r="P2" s="277"/>
    </row>
    <row r="3" spans="1:16" x14ac:dyDescent="0.25">
      <c r="A3" s="267"/>
      <c r="B3" s="268"/>
      <c r="C3" s="268"/>
      <c r="D3" s="268"/>
      <c r="E3" s="268"/>
      <c r="F3" s="268"/>
      <c r="G3" s="268"/>
      <c r="H3" s="268"/>
      <c r="I3" s="268"/>
      <c r="J3" s="268"/>
      <c r="K3" s="268"/>
      <c r="L3" s="268"/>
      <c r="M3" s="268"/>
      <c r="N3" s="269"/>
      <c r="O3" s="278"/>
      <c r="P3" s="279"/>
    </row>
    <row r="4" spans="1:16" x14ac:dyDescent="0.25">
      <c r="A4" s="267"/>
      <c r="B4" s="268"/>
      <c r="C4" s="268"/>
      <c r="D4" s="268"/>
      <c r="E4" s="268"/>
      <c r="F4" s="268"/>
      <c r="G4" s="268"/>
      <c r="H4" s="268"/>
      <c r="I4" s="268"/>
      <c r="J4" s="268"/>
      <c r="K4" s="268"/>
      <c r="L4" s="268"/>
      <c r="M4" s="268"/>
      <c r="N4" s="269"/>
      <c r="O4" s="278"/>
      <c r="P4" s="279"/>
    </row>
    <row r="5" spans="1:16" x14ac:dyDescent="0.25">
      <c r="A5" s="267"/>
      <c r="B5" s="268"/>
      <c r="C5" s="268"/>
      <c r="D5" s="268"/>
      <c r="E5" s="268"/>
      <c r="F5" s="268"/>
      <c r="G5" s="268"/>
      <c r="H5" s="268"/>
      <c r="I5" s="268"/>
      <c r="J5" s="268"/>
      <c r="K5" s="268"/>
      <c r="L5" s="268"/>
      <c r="M5" s="268"/>
      <c r="N5" s="269"/>
      <c r="O5" s="278"/>
      <c r="P5" s="279"/>
    </row>
    <row r="6" spans="1:16" x14ac:dyDescent="0.25">
      <c r="A6" s="267"/>
      <c r="B6" s="268"/>
      <c r="C6" s="268"/>
      <c r="D6" s="268"/>
      <c r="E6" s="268"/>
      <c r="F6" s="268"/>
      <c r="G6" s="268"/>
      <c r="H6" s="268"/>
      <c r="I6" s="268"/>
      <c r="J6" s="268"/>
      <c r="K6" s="268"/>
      <c r="L6" s="268"/>
      <c r="M6" s="268"/>
      <c r="N6" s="269"/>
      <c r="O6" s="278"/>
      <c r="P6" s="279"/>
    </row>
    <row r="7" spans="1:16" ht="18" customHeight="1" thickBot="1" x14ac:dyDescent="0.3">
      <c r="A7" s="270"/>
      <c r="B7" s="271"/>
      <c r="C7" s="271"/>
      <c r="D7" s="271"/>
      <c r="E7" s="271"/>
      <c r="F7" s="271"/>
      <c r="G7" s="271"/>
      <c r="H7" s="271"/>
      <c r="I7" s="271"/>
      <c r="J7" s="271"/>
      <c r="K7" s="271"/>
      <c r="L7" s="271"/>
      <c r="M7" s="271"/>
      <c r="N7" s="272"/>
      <c r="O7" s="280"/>
      <c r="P7" s="281"/>
    </row>
    <row r="8" spans="1:16" ht="18" thickBot="1" x14ac:dyDescent="0.3">
      <c r="A8" s="264" t="s">
        <v>310</v>
      </c>
      <c r="B8" s="265"/>
      <c r="C8" s="265"/>
      <c r="D8" s="265"/>
      <c r="E8" s="265"/>
      <c r="F8" s="265"/>
      <c r="G8" s="266"/>
      <c r="H8" s="264" t="s">
        <v>311</v>
      </c>
      <c r="I8" s="265"/>
      <c r="J8" s="265"/>
      <c r="K8" s="265"/>
      <c r="L8" s="265"/>
      <c r="M8" s="265"/>
      <c r="N8" s="265"/>
      <c r="O8" s="265"/>
      <c r="P8" s="266"/>
    </row>
    <row r="9" spans="1:16" x14ac:dyDescent="0.25">
      <c r="A9" s="2"/>
      <c r="B9" s="3"/>
      <c r="C9" s="3"/>
      <c r="D9" s="3"/>
      <c r="E9" s="3"/>
      <c r="F9" s="3"/>
      <c r="G9" s="4"/>
      <c r="H9" s="3"/>
      <c r="I9" s="3"/>
      <c r="J9" s="3"/>
      <c r="K9" s="3"/>
      <c r="L9" s="3"/>
      <c r="M9" s="3"/>
      <c r="N9" s="3"/>
      <c r="O9" s="3"/>
      <c r="P9" s="4"/>
    </row>
    <row r="10" spans="1:16" x14ac:dyDescent="0.25">
      <c r="A10" s="2"/>
      <c r="B10" s="3"/>
      <c r="C10" s="3"/>
      <c r="D10" s="3"/>
      <c r="E10" s="3"/>
      <c r="F10" s="3"/>
      <c r="G10" s="4"/>
      <c r="H10" s="3"/>
      <c r="I10" s="3"/>
      <c r="J10" s="3"/>
      <c r="K10" s="3"/>
      <c r="L10" s="3"/>
      <c r="M10" s="3"/>
      <c r="N10" s="3"/>
      <c r="O10" s="3"/>
      <c r="P10" s="4"/>
    </row>
    <row r="11" spans="1:16" x14ac:dyDescent="0.25">
      <c r="A11" s="2"/>
      <c r="B11" s="3"/>
      <c r="C11" s="3"/>
      <c r="D11" s="3"/>
      <c r="E11" s="3"/>
      <c r="F11" s="3"/>
      <c r="G11" s="4"/>
      <c r="H11" s="3"/>
      <c r="I11" s="3"/>
      <c r="J11" s="3"/>
      <c r="K11" s="3"/>
      <c r="L11" s="3"/>
      <c r="M11" s="3"/>
      <c r="N11" s="3"/>
      <c r="O11" s="3"/>
      <c r="P11" s="4"/>
    </row>
    <row r="12" spans="1:16" x14ac:dyDescent="0.25">
      <c r="A12" s="2"/>
      <c r="B12" s="3"/>
      <c r="C12" s="3"/>
      <c r="D12" s="3"/>
      <c r="E12" s="3"/>
      <c r="F12" s="3"/>
      <c r="G12" s="4"/>
      <c r="H12" s="3"/>
      <c r="I12" s="3"/>
      <c r="J12" s="3"/>
      <c r="K12" s="3"/>
      <c r="L12" s="3"/>
      <c r="M12" s="3"/>
      <c r="N12" s="3"/>
      <c r="O12" s="3"/>
      <c r="P12" s="4"/>
    </row>
    <row r="13" spans="1:16" x14ac:dyDescent="0.25">
      <c r="A13" s="2"/>
      <c r="B13" s="3"/>
      <c r="C13" s="3"/>
      <c r="D13" s="3"/>
      <c r="E13" s="3"/>
      <c r="F13" s="3"/>
      <c r="G13" s="4"/>
      <c r="H13" s="3"/>
      <c r="I13" s="3"/>
      <c r="J13" s="3"/>
      <c r="K13" s="3"/>
      <c r="L13" s="3"/>
      <c r="M13" s="3"/>
      <c r="N13" s="3"/>
      <c r="O13" s="3"/>
      <c r="P13" s="4"/>
    </row>
    <row r="14" spans="1:16" x14ac:dyDescent="0.25">
      <c r="A14" s="2"/>
      <c r="B14" s="3"/>
      <c r="C14" s="3"/>
      <c r="D14" s="3"/>
      <c r="E14" s="3"/>
      <c r="F14" s="3"/>
      <c r="G14" s="4"/>
      <c r="H14" s="3"/>
      <c r="I14" s="3"/>
      <c r="J14" s="3"/>
      <c r="K14" s="3"/>
      <c r="L14" s="3"/>
      <c r="M14" s="3"/>
      <c r="N14" s="3"/>
      <c r="O14" s="3"/>
      <c r="P14" s="4"/>
    </row>
    <row r="15" spans="1:16" x14ac:dyDescent="0.25">
      <c r="A15" s="2"/>
      <c r="B15" s="3"/>
      <c r="C15" s="3"/>
      <c r="D15" s="3"/>
      <c r="E15" s="3"/>
      <c r="F15" s="3"/>
      <c r="G15" s="4"/>
      <c r="H15" s="3"/>
      <c r="I15" s="3"/>
      <c r="J15" s="3"/>
      <c r="K15" s="3"/>
      <c r="L15" s="3"/>
      <c r="M15" s="3"/>
      <c r="N15" s="3"/>
      <c r="O15" s="3"/>
      <c r="P15" s="4"/>
    </row>
    <row r="16" spans="1:16" x14ac:dyDescent="0.25">
      <c r="A16" s="2"/>
      <c r="B16" s="3"/>
      <c r="C16" s="3"/>
      <c r="D16" s="3"/>
      <c r="E16" s="3"/>
      <c r="F16" s="3"/>
      <c r="G16" s="4"/>
      <c r="H16" s="3"/>
      <c r="I16" s="3"/>
      <c r="J16" s="3"/>
      <c r="K16" s="3"/>
      <c r="L16" s="3"/>
      <c r="M16" s="3"/>
      <c r="N16" s="3"/>
      <c r="O16" s="3"/>
      <c r="P16" s="4"/>
    </row>
    <row r="17" spans="1:16" x14ac:dyDescent="0.25">
      <c r="A17" s="2"/>
      <c r="B17" s="3"/>
      <c r="C17" s="3"/>
      <c r="D17" s="3"/>
      <c r="E17" s="3"/>
      <c r="F17" s="3"/>
      <c r="G17" s="4"/>
      <c r="H17" s="3"/>
      <c r="I17" s="3"/>
      <c r="J17" s="3"/>
      <c r="K17" s="3"/>
      <c r="L17" s="3"/>
      <c r="M17" s="3"/>
      <c r="N17" s="3"/>
      <c r="O17" s="3"/>
      <c r="P17" s="4"/>
    </row>
    <row r="18" spans="1:16" x14ac:dyDescent="0.25">
      <c r="A18" s="2"/>
      <c r="B18" s="3"/>
      <c r="C18" s="3"/>
      <c r="D18" s="3"/>
      <c r="E18" s="3"/>
      <c r="F18" s="3"/>
      <c r="G18" s="4"/>
      <c r="H18" s="3"/>
      <c r="I18" s="3"/>
      <c r="J18" s="3"/>
      <c r="K18" s="3"/>
      <c r="L18" s="3"/>
      <c r="M18" s="3"/>
      <c r="N18" s="3"/>
      <c r="O18" s="3"/>
      <c r="P18" s="4"/>
    </row>
    <row r="19" spans="1:16" x14ac:dyDescent="0.25">
      <c r="A19" s="2"/>
      <c r="B19" s="3"/>
      <c r="C19" s="3"/>
      <c r="D19" s="3"/>
      <c r="E19" s="3"/>
      <c r="F19" s="3"/>
      <c r="G19" s="4"/>
      <c r="H19" s="3"/>
      <c r="I19" s="3"/>
      <c r="J19" s="3"/>
      <c r="K19" s="3"/>
      <c r="L19" s="3"/>
      <c r="M19" s="3"/>
      <c r="N19" s="3"/>
      <c r="O19" s="3"/>
      <c r="P19" s="4"/>
    </row>
    <row r="20" spans="1:16" x14ac:dyDescent="0.25">
      <c r="A20" s="2"/>
      <c r="B20" s="3"/>
      <c r="C20" s="3"/>
      <c r="D20" s="3"/>
      <c r="E20" s="3"/>
      <c r="F20" s="3"/>
      <c r="G20" s="4"/>
      <c r="H20" s="3"/>
      <c r="I20" s="3"/>
      <c r="J20" s="3"/>
      <c r="K20" s="3"/>
      <c r="L20" s="3"/>
      <c r="M20" s="3"/>
      <c r="N20" s="3"/>
      <c r="O20" s="3"/>
      <c r="P20" s="4"/>
    </row>
    <row r="21" spans="1:16" x14ac:dyDescent="0.25">
      <c r="A21" s="2"/>
      <c r="B21" s="3"/>
      <c r="C21" s="3"/>
      <c r="D21" s="3"/>
      <c r="E21" s="3"/>
      <c r="F21" s="3"/>
      <c r="G21" s="4"/>
      <c r="H21" s="3"/>
      <c r="I21" s="3"/>
      <c r="J21" s="3"/>
      <c r="K21" s="3"/>
      <c r="L21" s="3"/>
      <c r="M21" s="3"/>
      <c r="N21" s="3"/>
      <c r="O21" s="3"/>
      <c r="P21" s="4"/>
    </row>
    <row r="22" spans="1:16" x14ac:dyDescent="0.25">
      <c r="A22" s="2"/>
      <c r="B22" s="3"/>
      <c r="C22" s="3"/>
      <c r="D22" s="3"/>
      <c r="E22" s="3"/>
      <c r="F22" s="3"/>
      <c r="G22" s="4"/>
      <c r="H22" s="3"/>
      <c r="I22" s="3"/>
      <c r="J22" s="3"/>
      <c r="K22" s="3"/>
      <c r="L22" s="3"/>
      <c r="M22" s="3"/>
      <c r="N22" s="3"/>
      <c r="O22" s="3"/>
      <c r="P22" s="4"/>
    </row>
    <row r="23" spans="1:16" x14ac:dyDescent="0.25">
      <c r="A23" s="2"/>
      <c r="B23" s="3"/>
      <c r="C23" s="3"/>
      <c r="D23" s="3"/>
      <c r="E23" s="3"/>
      <c r="F23" s="3"/>
      <c r="G23" s="4"/>
      <c r="H23" s="3"/>
      <c r="I23" s="3"/>
      <c r="J23" s="3"/>
      <c r="K23" s="3"/>
      <c r="L23" s="3"/>
      <c r="M23" s="3"/>
      <c r="N23" s="3"/>
      <c r="O23" s="3"/>
      <c r="P23" s="4"/>
    </row>
    <row r="24" spans="1:16" x14ac:dyDescent="0.25">
      <c r="A24" s="2"/>
      <c r="B24" s="3"/>
      <c r="C24" s="3"/>
      <c r="D24" s="3"/>
      <c r="E24" s="3"/>
      <c r="F24" s="3"/>
      <c r="G24" s="4"/>
      <c r="H24" s="3"/>
      <c r="I24" s="3"/>
      <c r="J24" s="3"/>
      <c r="K24" s="3"/>
      <c r="L24" s="3"/>
      <c r="M24" s="3"/>
      <c r="N24" s="3"/>
      <c r="O24" s="3"/>
      <c r="P24" s="4"/>
    </row>
    <row r="25" spans="1:16" x14ac:dyDescent="0.25">
      <c r="A25" s="2"/>
      <c r="B25" s="3"/>
      <c r="C25" s="3"/>
      <c r="D25" s="3"/>
      <c r="E25" s="3"/>
      <c r="F25" s="3"/>
      <c r="G25" s="4"/>
      <c r="H25" s="3"/>
      <c r="I25" s="3"/>
      <c r="J25" s="3"/>
      <c r="K25" s="3"/>
      <c r="L25" s="3"/>
      <c r="M25" s="3"/>
      <c r="N25" s="3"/>
      <c r="O25" s="3"/>
      <c r="P25" s="4"/>
    </row>
    <row r="26" spans="1:16" x14ac:dyDescent="0.25">
      <c r="A26" s="2"/>
      <c r="B26" s="3"/>
      <c r="C26" s="3"/>
      <c r="D26" s="3"/>
      <c r="E26" s="3"/>
      <c r="F26" s="3"/>
      <c r="G26" s="4"/>
      <c r="H26" s="3"/>
      <c r="I26" s="3"/>
      <c r="J26" s="3"/>
      <c r="K26" s="3"/>
      <c r="L26" s="3"/>
      <c r="M26" s="3"/>
      <c r="N26" s="3"/>
      <c r="O26" s="3"/>
      <c r="P26" s="4"/>
    </row>
    <row r="27" spans="1:16" x14ac:dyDescent="0.25">
      <c r="A27" s="2"/>
      <c r="B27" s="3"/>
      <c r="C27" s="3"/>
      <c r="D27" s="3"/>
      <c r="E27" s="3"/>
      <c r="F27" s="3"/>
      <c r="G27" s="4"/>
      <c r="H27" s="3"/>
      <c r="I27" s="3"/>
      <c r="J27" s="3"/>
      <c r="K27" s="3"/>
      <c r="L27" s="3"/>
      <c r="M27" s="3"/>
      <c r="N27" s="3"/>
      <c r="O27" s="3"/>
      <c r="P27" s="4"/>
    </row>
    <row r="28" spans="1:16" x14ac:dyDescent="0.25">
      <c r="A28" s="2"/>
      <c r="B28" s="3"/>
      <c r="C28" s="3"/>
      <c r="D28" s="3"/>
      <c r="E28" s="3"/>
      <c r="F28" s="3"/>
      <c r="G28" s="4"/>
      <c r="H28" s="3"/>
      <c r="I28" s="3"/>
      <c r="J28" s="3"/>
      <c r="K28" s="3"/>
      <c r="L28" s="3"/>
      <c r="M28" s="3"/>
      <c r="N28" s="3"/>
      <c r="O28" s="3"/>
      <c r="P28" s="4"/>
    </row>
    <row r="29" spans="1:16" x14ac:dyDescent="0.25">
      <c r="A29" s="2"/>
      <c r="B29" s="3"/>
      <c r="C29" s="3"/>
      <c r="D29" s="3"/>
      <c r="E29" s="3"/>
      <c r="F29" s="3"/>
      <c r="G29" s="4"/>
      <c r="H29" s="3"/>
      <c r="I29" s="3"/>
      <c r="J29" s="3"/>
      <c r="K29" s="3"/>
      <c r="L29" s="3"/>
      <c r="M29" s="3"/>
      <c r="N29" s="3"/>
      <c r="O29" s="3"/>
      <c r="P29" s="4"/>
    </row>
    <row r="30" spans="1:16" x14ac:dyDescent="0.25">
      <c r="A30" s="2"/>
      <c r="B30" s="3"/>
      <c r="C30" s="3"/>
      <c r="D30" s="3"/>
      <c r="E30" s="3"/>
      <c r="F30" s="3"/>
      <c r="G30" s="4"/>
      <c r="H30" s="3"/>
      <c r="I30" s="3"/>
      <c r="J30" s="3"/>
      <c r="K30" s="3"/>
      <c r="L30" s="3"/>
      <c r="M30" s="3"/>
      <c r="N30" s="3"/>
      <c r="O30" s="3"/>
      <c r="P30" s="4"/>
    </row>
    <row r="31" spans="1:16" x14ac:dyDescent="0.25">
      <c r="A31" s="2"/>
      <c r="B31" s="3"/>
      <c r="C31" s="3"/>
      <c r="D31" s="3"/>
      <c r="E31" s="3"/>
      <c r="F31" s="3"/>
      <c r="G31" s="4"/>
      <c r="H31" s="3"/>
      <c r="I31" s="3"/>
      <c r="J31" s="3"/>
      <c r="K31" s="3"/>
      <c r="L31" s="3"/>
      <c r="M31" s="3"/>
      <c r="N31" s="3"/>
      <c r="O31" s="3"/>
      <c r="P31" s="4"/>
    </row>
    <row r="32" spans="1:16" x14ac:dyDescent="0.25">
      <c r="A32" s="2"/>
      <c r="B32" s="3"/>
      <c r="C32" s="3"/>
      <c r="D32" s="3"/>
      <c r="E32" s="3"/>
      <c r="F32" s="3"/>
      <c r="G32" s="4"/>
      <c r="H32" s="3"/>
      <c r="I32" s="3"/>
      <c r="J32" s="3"/>
      <c r="K32" s="3"/>
      <c r="L32" s="3"/>
      <c r="M32" s="3"/>
      <c r="N32" s="3"/>
      <c r="O32" s="3"/>
      <c r="P32" s="4"/>
    </row>
    <row r="33" spans="1:16" x14ac:dyDescent="0.25">
      <c r="A33" s="2"/>
      <c r="B33" s="3"/>
      <c r="C33" s="3"/>
      <c r="D33" s="3"/>
      <c r="E33" s="3"/>
      <c r="F33" s="3"/>
      <c r="G33" s="4"/>
      <c r="H33" s="3"/>
      <c r="I33" s="3"/>
      <c r="J33" s="3"/>
      <c r="K33" s="3"/>
      <c r="L33" s="3"/>
      <c r="M33" s="3"/>
      <c r="N33" s="3"/>
      <c r="O33" s="3"/>
      <c r="P33" s="4"/>
    </row>
    <row r="34" spans="1:16" x14ac:dyDescent="0.25">
      <c r="A34" s="2"/>
      <c r="B34" s="3"/>
      <c r="C34" s="3"/>
      <c r="D34" s="3"/>
      <c r="E34" s="3"/>
      <c r="F34" s="3"/>
      <c r="G34" s="4"/>
      <c r="H34" s="3"/>
      <c r="I34" s="3"/>
      <c r="J34" s="3"/>
      <c r="K34" s="3"/>
      <c r="L34" s="3"/>
      <c r="M34" s="3"/>
      <c r="N34" s="3"/>
      <c r="O34" s="3"/>
      <c r="P34" s="4"/>
    </row>
    <row r="35" spans="1:16" x14ac:dyDescent="0.25">
      <c r="A35" s="2"/>
      <c r="B35" s="3"/>
      <c r="C35" s="3"/>
      <c r="D35" s="3"/>
      <c r="E35" s="3"/>
      <c r="F35" s="3"/>
      <c r="G35" s="4"/>
      <c r="H35" s="3"/>
      <c r="I35" s="3"/>
      <c r="J35" s="3"/>
      <c r="K35" s="3"/>
      <c r="L35" s="3"/>
      <c r="M35" s="3"/>
      <c r="N35" s="3"/>
      <c r="O35" s="3"/>
      <c r="P35" s="4"/>
    </row>
    <row r="36" spans="1:16" x14ac:dyDescent="0.25">
      <c r="A36" s="2"/>
      <c r="B36" s="3"/>
      <c r="C36" s="3"/>
      <c r="D36" s="3"/>
      <c r="E36" s="3"/>
      <c r="F36" s="3"/>
      <c r="G36" s="4"/>
      <c r="H36" s="3"/>
      <c r="I36" s="3"/>
      <c r="J36" s="3"/>
      <c r="K36" s="3"/>
      <c r="L36" s="3"/>
      <c r="M36" s="3"/>
      <c r="N36" s="3"/>
      <c r="O36" s="3"/>
      <c r="P36" s="4"/>
    </row>
    <row r="37" spans="1:16" x14ac:dyDescent="0.25">
      <c r="A37" s="2"/>
      <c r="B37" s="3"/>
      <c r="C37" s="3"/>
      <c r="D37" s="3"/>
      <c r="E37" s="3"/>
      <c r="F37" s="3"/>
      <c r="G37" s="4"/>
      <c r="H37" s="3"/>
      <c r="I37" s="3"/>
      <c r="J37" s="3"/>
      <c r="K37" s="3"/>
      <c r="L37" s="3"/>
      <c r="M37" s="3"/>
      <c r="N37" s="3"/>
      <c r="O37" s="3"/>
      <c r="P37" s="4"/>
    </row>
    <row r="38" spans="1:16" x14ac:dyDescent="0.25">
      <c r="A38" s="2"/>
      <c r="B38" s="3"/>
      <c r="C38" s="3"/>
      <c r="D38" s="3"/>
      <c r="E38" s="3"/>
      <c r="F38" s="3"/>
      <c r="G38" s="4"/>
      <c r="H38" s="3"/>
      <c r="I38" s="3"/>
      <c r="J38" s="3"/>
      <c r="K38" s="3"/>
      <c r="L38" s="3"/>
      <c r="M38" s="3"/>
      <c r="N38" s="3"/>
      <c r="O38" s="3"/>
      <c r="P38" s="4"/>
    </row>
    <row r="39" spans="1:16" x14ac:dyDescent="0.25">
      <c r="A39" s="2"/>
      <c r="B39" s="3"/>
      <c r="C39" s="3"/>
      <c r="D39" s="3"/>
      <c r="E39" s="3"/>
      <c r="F39" s="3"/>
      <c r="G39" s="4"/>
      <c r="H39" s="3"/>
      <c r="I39" s="3"/>
      <c r="J39" s="3"/>
      <c r="K39" s="3"/>
      <c r="L39" s="3"/>
      <c r="M39" s="3"/>
      <c r="N39" s="3"/>
      <c r="O39" s="3"/>
      <c r="P39" s="4"/>
    </row>
    <row r="40" spans="1:16" ht="13.8" thickBot="1" x14ac:dyDescent="0.3">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22860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3.2" x14ac:dyDescent="0.25"/>
  <cols>
    <col min="2" max="2" width="22.5546875" bestFit="1" customWidth="1"/>
    <col min="3" max="3" width="11.88671875" bestFit="1" customWidth="1"/>
    <col min="4" max="4" width="15.5546875" bestFit="1" customWidth="1"/>
    <col min="5" max="5" width="4" bestFit="1" customWidth="1"/>
    <col min="6" max="6" width="29.88671875" bestFit="1" customWidth="1"/>
    <col min="7" max="7" width="33.33203125" bestFit="1" customWidth="1"/>
    <col min="8" max="8" width="34.44140625" bestFit="1" customWidth="1"/>
    <col min="9" max="9" width="25" bestFit="1" customWidth="1"/>
    <col min="10" max="10" width="34.21875" bestFit="1" customWidth="1"/>
    <col min="11" max="11" width="24.77734375" bestFit="1" customWidth="1"/>
    <col min="12" max="12" width="31.88671875" bestFit="1" customWidth="1"/>
    <col min="13" max="13" width="32.88671875" bestFit="1" customWidth="1"/>
    <col min="14" max="14" width="23.5546875" bestFit="1" customWidth="1"/>
    <col min="15" max="15" width="32.6640625" bestFit="1" customWidth="1"/>
    <col min="16" max="16" width="23.33203125" bestFit="1" customWidth="1"/>
    <col min="17" max="19" width="12.6640625" bestFit="1" customWidth="1"/>
  </cols>
  <sheetData>
    <row r="2" spans="2:16" x14ac:dyDescent="0.25">
      <c r="B2" t="s">
        <v>1061</v>
      </c>
      <c r="C2" t="s">
        <v>512</v>
      </c>
      <c r="D2" t="s">
        <v>928</v>
      </c>
      <c r="E2" t="s">
        <v>929</v>
      </c>
      <c r="F2" t="s">
        <v>930</v>
      </c>
      <c r="G2" t="s">
        <v>931</v>
      </c>
      <c r="H2" t="s">
        <v>933</v>
      </c>
      <c r="I2" t="s">
        <v>1055</v>
      </c>
      <c r="J2" t="s">
        <v>934</v>
      </c>
      <c r="K2" t="s">
        <v>935</v>
      </c>
      <c r="L2" t="s">
        <v>932</v>
      </c>
      <c r="M2" t="s">
        <v>939</v>
      </c>
      <c r="N2" t="s">
        <v>940</v>
      </c>
      <c r="O2" t="s">
        <v>941</v>
      </c>
      <c r="P2" t="s">
        <v>942</v>
      </c>
    </row>
    <row r="3" spans="2:16" x14ac:dyDescent="0.25">
      <c r="B3" t="s">
        <v>596</v>
      </c>
      <c r="C3" t="s">
        <v>414</v>
      </c>
      <c r="D3" s="18">
        <v>42236.439930555556</v>
      </c>
      <c r="E3" t="s">
        <v>169</v>
      </c>
      <c r="F3" s="19">
        <v>0.95908672169939124</v>
      </c>
      <c r="G3" s="19">
        <v>0.88232704402515727</v>
      </c>
      <c r="H3" s="19">
        <v>0.91032080673679172</v>
      </c>
      <c r="I3" s="19">
        <v>4.5910594654970181E-2</v>
      </c>
      <c r="J3" s="19">
        <v>0.93487798378866072</v>
      </c>
      <c r="K3" s="19">
        <v>3.6639304602416163E-2</v>
      </c>
      <c r="L3" s="19"/>
      <c r="M3" s="19"/>
      <c r="N3" s="19"/>
      <c r="O3" s="19"/>
      <c r="P3" s="19"/>
    </row>
    <row r="4" spans="2:16" x14ac:dyDescent="0.25">
      <c r="B4" t="s">
        <v>655</v>
      </c>
      <c r="C4" t="s">
        <v>414</v>
      </c>
      <c r="D4" s="18">
        <v>42236.439930555556</v>
      </c>
      <c r="E4" t="s">
        <v>194</v>
      </c>
      <c r="F4" s="19">
        <v>0.92853091546980371</v>
      </c>
      <c r="G4" s="19">
        <v>0.80458959899749372</v>
      </c>
      <c r="H4" s="19">
        <v>0.87135248933078624</v>
      </c>
      <c r="I4" s="19">
        <v>4.6582951817081053E-2</v>
      </c>
      <c r="J4" s="19">
        <v>0.93468435050849297</v>
      </c>
      <c r="K4" s="19">
        <v>4.1974921120297069E-2</v>
      </c>
      <c r="L4" s="19"/>
      <c r="M4" s="19"/>
      <c r="N4" s="19"/>
      <c r="O4" s="19"/>
      <c r="P4" s="19"/>
    </row>
    <row r="5" spans="2:16" x14ac:dyDescent="0.25">
      <c r="B5" t="s">
        <v>549</v>
      </c>
      <c r="C5" t="s">
        <v>390</v>
      </c>
      <c r="D5" s="18">
        <v>42236.439930555556</v>
      </c>
      <c r="E5" t="s">
        <v>151</v>
      </c>
      <c r="F5" s="19">
        <v>0.97165298590145999</v>
      </c>
      <c r="G5" s="19">
        <v>0.88863235744941749</v>
      </c>
      <c r="H5" s="19">
        <v>0.90132839190977565</v>
      </c>
      <c r="I5" s="19">
        <v>4.2717327941768135E-2</v>
      </c>
      <c r="J5" s="19">
        <v>0.83249212231662439</v>
      </c>
      <c r="K5" s="19">
        <v>5.1252663798710074E-2</v>
      </c>
      <c r="L5" s="19"/>
      <c r="M5" s="19"/>
      <c r="N5" s="19"/>
      <c r="O5" s="19"/>
      <c r="P5" s="19"/>
    </row>
    <row r="6" spans="2:16" x14ac:dyDescent="0.25">
      <c r="B6" t="s">
        <v>543</v>
      </c>
      <c r="C6" t="s">
        <v>379</v>
      </c>
      <c r="D6" s="18">
        <v>42236.439930555556</v>
      </c>
      <c r="E6" t="s">
        <v>149</v>
      </c>
      <c r="F6" s="19">
        <v>0.93458483652634283</v>
      </c>
      <c r="G6" s="19">
        <v>0.86612899229415996</v>
      </c>
      <c r="H6" s="19">
        <v>0.84835657905458473</v>
      </c>
      <c r="I6" s="19">
        <v>4.6490202491033944E-2</v>
      </c>
      <c r="J6" s="19">
        <v>0.84672428389324095</v>
      </c>
      <c r="K6" s="19">
        <v>4.8553838218814892E-2</v>
      </c>
      <c r="L6" s="19"/>
      <c r="M6" s="19"/>
      <c r="N6" s="19"/>
      <c r="O6" s="19"/>
      <c r="P6" s="19"/>
    </row>
    <row r="7" spans="2:16" x14ac:dyDescent="0.25">
      <c r="B7" t="s">
        <v>611</v>
      </c>
      <c r="C7" t="s">
        <v>414</v>
      </c>
      <c r="D7" s="18">
        <v>42236.439930555556</v>
      </c>
      <c r="E7" t="s">
        <v>175</v>
      </c>
      <c r="F7" s="19">
        <v>0.98495312171804283</v>
      </c>
      <c r="G7" s="19">
        <v>0.93494771601541005</v>
      </c>
      <c r="H7" s="19">
        <v>0.92649942444329769</v>
      </c>
      <c r="I7" s="19">
        <v>4.2543897113850516E-2</v>
      </c>
      <c r="J7" s="19">
        <v>0.96956314255025322</v>
      </c>
      <c r="K7" s="19">
        <v>2.7353974320496448E-2</v>
      </c>
      <c r="L7" s="19"/>
      <c r="M7" s="19"/>
      <c r="N7" s="19"/>
      <c r="O7" s="19"/>
      <c r="P7" s="19"/>
    </row>
    <row r="8" spans="2:16" x14ac:dyDescent="0.25">
      <c r="B8" t="s">
        <v>522</v>
      </c>
      <c r="C8" t="s">
        <v>379</v>
      </c>
      <c r="D8" s="18">
        <v>42236.439930555556</v>
      </c>
      <c r="E8" t="s">
        <v>142</v>
      </c>
      <c r="F8" s="19">
        <v>0.83258888854239843</v>
      </c>
      <c r="G8" s="19">
        <v>0.72847704129111168</v>
      </c>
      <c r="H8" s="19">
        <v>0.83333772256728789</v>
      </c>
      <c r="I8" s="19">
        <v>5.6563560059354999E-2</v>
      </c>
      <c r="J8" s="19">
        <v>0.89697203766859634</v>
      </c>
      <c r="K8" s="19">
        <v>5.6536773506483159E-2</v>
      </c>
      <c r="L8" s="19"/>
      <c r="M8" s="19"/>
      <c r="N8" s="19"/>
      <c r="O8" s="19"/>
      <c r="P8" s="19"/>
    </row>
    <row r="9" spans="2:16" x14ac:dyDescent="0.25">
      <c r="B9" t="s">
        <v>530</v>
      </c>
      <c r="C9" t="s">
        <v>379</v>
      </c>
      <c r="D9" s="18">
        <v>42236.439930555556</v>
      </c>
      <c r="E9" t="s">
        <v>145</v>
      </c>
      <c r="F9" s="19">
        <v>0.88777503867063057</v>
      </c>
      <c r="G9" s="19">
        <v>0.77864214992927872</v>
      </c>
      <c r="H9" s="19">
        <v>0.8838616785045289</v>
      </c>
      <c r="I9" s="19">
        <v>4.7077772133462897E-2</v>
      </c>
      <c r="J9" s="19">
        <v>0.86852391383655392</v>
      </c>
      <c r="K9" s="19">
        <v>4.7183905315532827E-2</v>
      </c>
      <c r="L9" s="19"/>
      <c r="M9" s="19"/>
      <c r="N9" s="19"/>
      <c r="O9" s="19"/>
      <c r="P9" s="19"/>
    </row>
    <row r="10" spans="2:16" x14ac:dyDescent="0.25">
      <c r="B10" t="s">
        <v>647</v>
      </c>
      <c r="C10" t="s">
        <v>395</v>
      </c>
      <c r="D10" s="18">
        <v>42236.439930555556</v>
      </c>
      <c r="E10" t="s">
        <v>683</v>
      </c>
      <c r="F10" s="19">
        <v>0.95820588041215904</v>
      </c>
      <c r="G10" s="19">
        <v>0.83907856643705714</v>
      </c>
      <c r="H10" s="19">
        <v>0.86528808977135452</v>
      </c>
      <c r="I10" s="19">
        <v>5.2020990274825749E-2</v>
      </c>
      <c r="J10" s="19">
        <v>0.9424051425872918</v>
      </c>
      <c r="K10" s="19">
        <v>3.433275583871094E-2</v>
      </c>
      <c r="L10" s="19"/>
      <c r="M10" s="19"/>
      <c r="N10" s="19"/>
      <c r="O10" s="19"/>
      <c r="P10" s="19"/>
    </row>
    <row r="11" spans="2:16" x14ac:dyDescent="0.25">
      <c r="B11" t="s">
        <v>577</v>
      </c>
      <c r="C11" t="s">
        <v>400</v>
      </c>
      <c r="D11" s="18">
        <v>42236.439930555556</v>
      </c>
      <c r="E11" t="s">
        <v>161</v>
      </c>
      <c r="F11" s="19">
        <v>0.93522923313470541</v>
      </c>
      <c r="G11" s="19">
        <v>0.88954552916366769</v>
      </c>
      <c r="H11" s="19">
        <v>0.86916160641918749</v>
      </c>
      <c r="I11" s="19">
        <v>4.6271235564951073E-2</v>
      </c>
      <c r="J11" s="19">
        <v>0.85870767114765878</v>
      </c>
      <c r="K11" s="19">
        <v>5.0834596819334693E-2</v>
      </c>
      <c r="L11" s="255"/>
      <c r="M11" s="255"/>
      <c r="N11" s="255"/>
      <c r="O11" s="255"/>
      <c r="P11" s="255"/>
    </row>
    <row r="12" spans="2:16" x14ac:dyDescent="0.25">
      <c r="B12" t="s">
        <v>569</v>
      </c>
      <c r="C12" t="s">
        <v>400</v>
      </c>
      <c r="D12" s="18">
        <v>42236.439930555556</v>
      </c>
      <c r="E12" t="s">
        <v>158</v>
      </c>
      <c r="F12" s="19">
        <v>0.95711754493768686</v>
      </c>
      <c r="G12" s="19">
        <v>0.89943925233644861</v>
      </c>
      <c r="H12" s="19">
        <v>0.93502847446343551</v>
      </c>
      <c r="I12" s="19">
        <v>3.6312379536337147E-2</v>
      </c>
      <c r="J12" s="19">
        <v>0.88544552043398495</v>
      </c>
      <c r="K12" s="19">
        <v>4.7797456494252939E-2</v>
      </c>
      <c r="L12" s="19"/>
      <c r="M12" s="19"/>
      <c r="N12" s="19"/>
      <c r="O12" s="19"/>
      <c r="P12" s="19"/>
    </row>
    <row r="13" spans="2:16" x14ac:dyDescent="0.25">
      <c r="B13" t="s">
        <v>557</v>
      </c>
      <c r="C13" t="s">
        <v>390</v>
      </c>
      <c r="D13" s="18">
        <v>42236.439930555556</v>
      </c>
      <c r="E13" t="s">
        <v>154</v>
      </c>
      <c r="F13" s="19">
        <v>0.97058793271951016</v>
      </c>
      <c r="G13" s="19">
        <v>0.88608490566037734</v>
      </c>
      <c r="H13" s="19">
        <v>0.93309199019727596</v>
      </c>
      <c r="I13" s="19">
        <v>4.6949464201507564E-2</v>
      </c>
      <c r="J13" s="19">
        <v>0.94167352438662977</v>
      </c>
      <c r="K13" s="19">
        <v>4.0866402070416044E-2</v>
      </c>
      <c r="L13" s="19"/>
      <c r="M13" s="19"/>
      <c r="N13" s="19"/>
      <c r="O13" s="19"/>
      <c r="P13" s="19"/>
    </row>
    <row r="14" spans="2:16" x14ac:dyDescent="0.25">
      <c r="B14" t="s">
        <v>395</v>
      </c>
      <c r="C14" t="s">
        <v>395</v>
      </c>
      <c r="D14" s="18">
        <v>42236.439930555556</v>
      </c>
      <c r="E14" t="s">
        <v>675</v>
      </c>
      <c r="F14" s="19">
        <v>0.95863658107150174</v>
      </c>
      <c r="G14" s="19">
        <v>0.8791479799969133</v>
      </c>
      <c r="H14" s="19">
        <v>0.9096142337281502</v>
      </c>
      <c r="I14" s="19">
        <v>1.5368146827678614E-2</v>
      </c>
      <c r="J14" s="19">
        <v>0.9291960431793731</v>
      </c>
      <c r="K14" s="19">
        <v>1.6107583192639937E-2</v>
      </c>
      <c r="L14" s="19"/>
      <c r="M14" s="19"/>
      <c r="N14" s="19"/>
      <c r="O14" s="19"/>
      <c r="P14" s="19"/>
    </row>
    <row r="15" spans="2:16" x14ac:dyDescent="0.25">
      <c r="B15" t="s">
        <v>594</v>
      </c>
      <c r="C15" t="s">
        <v>395</v>
      </c>
      <c r="D15" s="18">
        <v>42236.439930555556</v>
      </c>
      <c r="E15" t="s">
        <v>168</v>
      </c>
      <c r="F15" s="19">
        <v>0.96893415063341837</v>
      </c>
      <c r="G15" s="19">
        <v>0.88626569543845346</v>
      </c>
      <c r="H15" s="19">
        <v>0.93176681655811033</v>
      </c>
      <c r="I15" s="19">
        <v>3.6989649366352635E-2</v>
      </c>
      <c r="J15" s="19">
        <v>0.92856629995843687</v>
      </c>
      <c r="K15" s="19">
        <v>3.7185817874234174E-2</v>
      </c>
      <c r="L15" s="19"/>
      <c r="M15" s="19"/>
      <c r="N15" s="19"/>
      <c r="O15" s="19"/>
      <c r="P15" s="19"/>
    </row>
    <row r="16" spans="2:16" x14ac:dyDescent="0.25">
      <c r="B16" t="s">
        <v>586</v>
      </c>
      <c r="C16" t="s">
        <v>400</v>
      </c>
      <c r="D16" s="18">
        <v>42236.439930555556</v>
      </c>
      <c r="E16" t="s">
        <v>165</v>
      </c>
      <c r="F16" s="19">
        <v>0.99047206582936342</v>
      </c>
      <c r="G16" s="19">
        <v>1</v>
      </c>
      <c r="H16" s="19">
        <v>0.97806516087493411</v>
      </c>
      <c r="I16" s="19">
        <v>1.7770136806626979E-2</v>
      </c>
      <c r="J16" s="19">
        <v>0.96741635923788638</v>
      </c>
      <c r="K16" s="19">
        <v>2.2879680878814382E-2</v>
      </c>
      <c r="L16" s="255"/>
      <c r="M16" s="255"/>
      <c r="N16" s="255"/>
      <c r="O16" s="255"/>
      <c r="P16" s="255"/>
    </row>
    <row r="17" spans="2:16" x14ac:dyDescent="0.25">
      <c r="B17" t="s">
        <v>579</v>
      </c>
      <c r="C17" t="s">
        <v>400</v>
      </c>
      <c r="D17" s="18">
        <v>42236.439930555556</v>
      </c>
      <c r="E17" t="s">
        <v>162</v>
      </c>
      <c r="F17" s="19">
        <v>0.93196047031554052</v>
      </c>
      <c r="G17" s="19">
        <v>0.81553504380475605</v>
      </c>
      <c r="H17" s="19">
        <v>0.87767847415452704</v>
      </c>
      <c r="I17" s="19">
        <v>4.5720021465680459E-2</v>
      </c>
      <c r="J17" s="19">
        <v>0.90666263535407088</v>
      </c>
      <c r="K17" s="19">
        <v>4.4138471205772661E-2</v>
      </c>
      <c r="L17" s="19"/>
      <c r="M17" s="19"/>
      <c r="N17" s="19"/>
      <c r="O17" s="19"/>
      <c r="P17" s="19"/>
    </row>
    <row r="18" spans="2:16" x14ac:dyDescent="0.25">
      <c r="B18" t="s">
        <v>643</v>
      </c>
      <c r="C18" t="s">
        <v>400</v>
      </c>
      <c r="D18" s="18">
        <v>42236.439930555556</v>
      </c>
      <c r="E18" t="s">
        <v>189</v>
      </c>
      <c r="F18" s="19">
        <v>0.9886092082204877</v>
      </c>
      <c r="G18" s="19">
        <v>0.96761775362318825</v>
      </c>
      <c r="H18" s="19">
        <v>0.96963605099357353</v>
      </c>
      <c r="I18" s="19">
        <v>2.8421120454973591E-2</v>
      </c>
      <c r="J18" s="19">
        <v>0.95486078997938217</v>
      </c>
      <c r="K18" s="19">
        <v>3.2524911868673033E-2</v>
      </c>
      <c r="L18" s="19"/>
      <c r="M18" s="19"/>
      <c r="N18" s="19"/>
      <c r="O18" s="19"/>
      <c r="P18" s="19"/>
    </row>
    <row r="19" spans="2:16" x14ac:dyDescent="0.25">
      <c r="B19" t="s">
        <v>641</v>
      </c>
      <c r="C19" t="s">
        <v>395</v>
      </c>
      <c r="D19" s="18">
        <v>42236.439930555556</v>
      </c>
      <c r="E19" t="s">
        <v>188</v>
      </c>
      <c r="F19" s="19">
        <v>0.95507012177526396</v>
      </c>
      <c r="G19" s="19">
        <v>0.86642143983184439</v>
      </c>
      <c r="H19" s="19">
        <v>0.91212246013399179</v>
      </c>
      <c r="I19" s="19">
        <v>4.8800628568202456E-2</v>
      </c>
      <c r="J19" s="19">
        <v>0.96481459105088985</v>
      </c>
      <c r="K19" s="19">
        <v>2.5263111107909353E-2</v>
      </c>
      <c r="L19" s="19"/>
      <c r="M19" s="19"/>
      <c r="N19" s="19"/>
      <c r="O19" s="19"/>
      <c r="P19" s="19"/>
    </row>
    <row r="20" spans="2:16" x14ac:dyDescent="0.25">
      <c r="B20" t="s">
        <v>532</v>
      </c>
      <c r="C20" t="s">
        <v>379</v>
      </c>
      <c r="D20" s="18">
        <v>42236.439930555556</v>
      </c>
      <c r="E20" t="s">
        <v>146</v>
      </c>
      <c r="F20" s="19">
        <v>0.93634586818856991</v>
      </c>
      <c r="G20" s="19">
        <v>0.83326688815060923</v>
      </c>
      <c r="H20" s="19">
        <v>0.92617741466470604</v>
      </c>
      <c r="I20" s="19">
        <v>3.9299517285578532E-2</v>
      </c>
      <c r="J20" s="19">
        <v>0.98116096259719621</v>
      </c>
      <c r="K20" s="19">
        <v>2.181423874731479E-2</v>
      </c>
      <c r="L20" s="19"/>
      <c r="M20" s="19"/>
      <c r="N20" s="19"/>
      <c r="O20" s="19"/>
      <c r="P20" s="19"/>
    </row>
    <row r="21" spans="2:16" x14ac:dyDescent="0.25">
      <c r="B21" t="s">
        <v>651</v>
      </c>
      <c r="C21" t="s">
        <v>414</v>
      </c>
      <c r="D21" s="18">
        <v>42236.439930555556</v>
      </c>
      <c r="E21" t="s">
        <v>192</v>
      </c>
      <c r="F21" s="19">
        <v>0.96066107674946788</v>
      </c>
      <c r="G21" s="19">
        <v>0.80189900733707387</v>
      </c>
      <c r="H21" s="19">
        <v>0.89445888563194043</v>
      </c>
      <c r="I21" s="19">
        <v>4.465457537152652E-2</v>
      </c>
      <c r="J21" s="19">
        <v>0.95692498745744525</v>
      </c>
      <c r="K21" s="19">
        <v>2.9342474926057988E-2</v>
      </c>
      <c r="L21" s="19"/>
      <c r="M21" s="19"/>
      <c r="N21" s="19"/>
      <c r="O21" s="19"/>
      <c r="P21" s="19"/>
    </row>
    <row r="22" spans="2:16" x14ac:dyDescent="0.25">
      <c r="B22" t="s">
        <v>629</v>
      </c>
      <c r="C22" t="s">
        <v>395</v>
      </c>
      <c r="D22" s="18">
        <v>42236.439930555556</v>
      </c>
      <c r="E22" t="s">
        <v>183</v>
      </c>
      <c r="F22" s="19">
        <v>0.94683273665787637</v>
      </c>
      <c r="G22" s="19">
        <v>0.82109621494453799</v>
      </c>
      <c r="H22" s="19">
        <v>0.871795690288936</v>
      </c>
      <c r="I22" s="19">
        <v>4.3075626919612663E-2</v>
      </c>
      <c r="J22" s="19">
        <v>0.92105942071800617</v>
      </c>
      <c r="K22" s="19">
        <v>4.0113131529229164E-2</v>
      </c>
      <c r="L22" s="19"/>
      <c r="M22" s="19"/>
      <c r="N22" s="19"/>
      <c r="O22" s="19"/>
      <c r="P22" s="19"/>
    </row>
    <row r="23" spans="2:16" x14ac:dyDescent="0.25">
      <c r="B23" t="s">
        <v>547</v>
      </c>
      <c r="C23" t="s">
        <v>379</v>
      </c>
      <c r="D23" s="18">
        <v>42236.439930555556</v>
      </c>
      <c r="E23" t="s">
        <v>150</v>
      </c>
      <c r="F23" s="19">
        <v>0.89772613887071928</v>
      </c>
      <c r="G23" s="19">
        <v>0.83736235688762495</v>
      </c>
      <c r="H23" s="19">
        <v>0.90065387479148451</v>
      </c>
      <c r="I23" s="19">
        <v>4.2578938260772997E-2</v>
      </c>
      <c r="J23" s="19">
        <v>0.9306136032499075</v>
      </c>
      <c r="K23" s="19">
        <v>4.1368126299368486E-2</v>
      </c>
      <c r="L23" s="19"/>
      <c r="M23" s="19"/>
      <c r="N23" s="19"/>
      <c r="O23" s="19"/>
      <c r="P23" s="19"/>
    </row>
    <row r="24" spans="2:16" x14ac:dyDescent="0.25">
      <c r="B24" t="s">
        <v>571</v>
      </c>
      <c r="C24" t="s">
        <v>400</v>
      </c>
      <c r="D24" s="18">
        <v>42236.439930555556</v>
      </c>
      <c r="E24" t="s">
        <v>159</v>
      </c>
      <c r="F24" s="19">
        <v>0.97991085692376523</v>
      </c>
      <c r="G24" s="19">
        <v>0.94786774375352256</v>
      </c>
      <c r="H24" s="19">
        <v>0.91953357012527104</v>
      </c>
      <c r="I24" s="19">
        <v>3.843695884766362E-2</v>
      </c>
      <c r="J24" s="19">
        <v>0.93537038425994301</v>
      </c>
      <c r="K24" s="19">
        <v>3.263894244395104E-2</v>
      </c>
      <c r="L24" s="19"/>
      <c r="M24" s="19"/>
      <c r="N24" s="19"/>
      <c r="O24" s="19"/>
      <c r="P24" s="19"/>
    </row>
    <row r="25" spans="2:16" x14ac:dyDescent="0.25">
      <c r="B25" t="s">
        <v>565</v>
      </c>
      <c r="C25" t="s">
        <v>395</v>
      </c>
      <c r="D25" s="18">
        <v>42236.439930555556</v>
      </c>
      <c r="E25" t="s">
        <v>157</v>
      </c>
      <c r="F25" s="19">
        <v>0.95627236331315102</v>
      </c>
      <c r="G25" s="19">
        <v>0.80435716420140446</v>
      </c>
      <c r="H25" s="19">
        <v>0.89369308269869085</v>
      </c>
      <c r="I25" s="19">
        <v>4.0959482941463107E-2</v>
      </c>
      <c r="J25" s="19">
        <v>0.86609153924416526</v>
      </c>
      <c r="K25" s="19">
        <v>5.6617053041343797E-2</v>
      </c>
      <c r="L25" s="19"/>
      <c r="M25" s="19"/>
      <c r="N25" s="19"/>
      <c r="O25" s="19"/>
      <c r="P25" s="19"/>
    </row>
    <row r="26" spans="2:16" x14ac:dyDescent="0.25">
      <c r="B26" t="s">
        <v>588</v>
      </c>
      <c r="C26" t="s">
        <v>400</v>
      </c>
      <c r="D26" s="18">
        <v>42236.439930555556</v>
      </c>
      <c r="E26" t="s">
        <v>166</v>
      </c>
      <c r="F26" s="19">
        <v>1</v>
      </c>
      <c r="G26" s="19">
        <v>1</v>
      </c>
      <c r="H26" s="19">
        <v>0.97280663186238092</v>
      </c>
      <c r="I26" s="19">
        <v>2.8178742079086307E-2</v>
      </c>
      <c r="J26" s="19">
        <v>0.98491891991725766</v>
      </c>
      <c r="K26" s="19">
        <v>1.6477706993184498E-2</v>
      </c>
      <c r="L26" s="19"/>
      <c r="M26" s="19"/>
      <c r="N26" s="19"/>
      <c r="O26" s="19"/>
      <c r="P26" s="19"/>
    </row>
    <row r="27" spans="2:16" x14ac:dyDescent="0.25">
      <c r="B27" t="s">
        <v>617</v>
      </c>
      <c r="C27" t="s">
        <v>395</v>
      </c>
      <c r="D27" s="18">
        <v>42236.439930555556</v>
      </c>
      <c r="E27" t="s">
        <v>178</v>
      </c>
      <c r="F27" s="19">
        <v>0.95222659179667202</v>
      </c>
      <c r="G27" s="19">
        <v>0.84154002026342456</v>
      </c>
      <c r="H27" s="19">
        <v>0.88898787439044147</v>
      </c>
      <c r="I27" s="19">
        <v>4.9253675676700866E-2</v>
      </c>
      <c r="J27" s="19">
        <v>0.93052194293498247</v>
      </c>
      <c r="K27" s="19">
        <v>4.6459114093037782E-2</v>
      </c>
      <c r="L27" s="19"/>
      <c r="M27" s="19"/>
      <c r="N27" s="19"/>
      <c r="O27" s="19"/>
      <c r="P27" s="19"/>
    </row>
    <row r="28" spans="2:16" x14ac:dyDescent="0.25">
      <c r="B28" t="s">
        <v>603</v>
      </c>
      <c r="C28" t="s">
        <v>414</v>
      </c>
      <c r="D28" s="18">
        <v>42236.439930555556</v>
      </c>
      <c r="E28" t="s">
        <v>172</v>
      </c>
      <c r="F28" s="19">
        <v>0.91044139783101352</v>
      </c>
      <c r="G28" s="19">
        <v>0.83444726775387223</v>
      </c>
      <c r="H28" s="19">
        <v>0.87493579361899765</v>
      </c>
      <c r="I28" s="19">
        <v>4.7334957912545619E-2</v>
      </c>
      <c r="J28" s="19">
        <v>0.92159831977985207</v>
      </c>
      <c r="K28" s="19">
        <v>4.0825526189012321E-2</v>
      </c>
      <c r="L28" s="19"/>
      <c r="M28" s="19"/>
      <c r="N28" s="19"/>
      <c r="O28" s="19"/>
      <c r="P28" s="19"/>
    </row>
    <row r="29" spans="2:16" x14ac:dyDescent="0.25">
      <c r="B29" t="s">
        <v>573</v>
      </c>
      <c r="C29" t="s">
        <v>390</v>
      </c>
      <c r="D29" s="18">
        <v>42236.439930555556</v>
      </c>
      <c r="E29" t="s">
        <v>160</v>
      </c>
      <c r="F29" s="19">
        <v>0.97235783402143783</v>
      </c>
      <c r="G29" s="19">
        <v>0.91293929114341121</v>
      </c>
      <c r="H29" s="19">
        <v>0.91094854246611123</v>
      </c>
      <c r="I29" s="19">
        <v>4.3640655298843284E-2</v>
      </c>
      <c r="J29" s="19">
        <v>0.91032923811056787</v>
      </c>
      <c r="K29" s="19">
        <v>4.0337058903989344E-2</v>
      </c>
      <c r="L29" s="19"/>
      <c r="M29" s="19"/>
      <c r="N29" s="19"/>
      <c r="O29" s="19"/>
      <c r="P29" s="19"/>
    </row>
    <row r="30" spans="2:16" x14ac:dyDescent="0.25">
      <c r="B30" t="s">
        <v>632</v>
      </c>
      <c r="C30" t="s">
        <v>379</v>
      </c>
      <c r="D30" s="18">
        <v>42236.439930555556</v>
      </c>
      <c r="E30" t="s">
        <v>184</v>
      </c>
      <c r="F30" s="19">
        <v>0.97038707409636038</v>
      </c>
      <c r="G30" s="19">
        <v>0.95511337868480728</v>
      </c>
      <c r="H30" s="19">
        <v>0.9113165818631912</v>
      </c>
      <c r="I30" s="19">
        <v>4.0565564837001418E-2</v>
      </c>
      <c r="J30" s="19">
        <v>0.92428788734355638</v>
      </c>
      <c r="K30" s="19">
        <v>3.5225778992118109E-2</v>
      </c>
      <c r="L30" s="19"/>
      <c r="M30" s="19"/>
      <c r="N30" s="19"/>
      <c r="O30" s="19"/>
      <c r="P30" s="19"/>
    </row>
    <row r="31" spans="2:16" x14ac:dyDescent="0.25">
      <c r="B31" t="s">
        <v>625</v>
      </c>
      <c r="C31" t="s">
        <v>414</v>
      </c>
      <c r="D31" s="18">
        <v>42236.439930555556</v>
      </c>
      <c r="E31" t="s">
        <v>182</v>
      </c>
      <c r="F31" s="19">
        <v>0.97572268025473008</v>
      </c>
      <c r="G31" s="19">
        <v>0.9376831695109451</v>
      </c>
      <c r="H31" s="19">
        <v>0.95677708160816677</v>
      </c>
      <c r="I31" s="19">
        <v>3.4114975897660715E-2</v>
      </c>
      <c r="J31" s="19">
        <v>0.96306697794111973</v>
      </c>
      <c r="K31" s="19">
        <v>2.4998215207560719E-2</v>
      </c>
      <c r="L31" s="19"/>
      <c r="M31" s="19"/>
      <c r="N31" s="19"/>
      <c r="O31" s="19"/>
      <c r="P31" s="19"/>
    </row>
    <row r="32" spans="2:16" x14ac:dyDescent="0.25">
      <c r="B32" t="s">
        <v>400</v>
      </c>
      <c r="C32" t="s">
        <v>400</v>
      </c>
      <c r="D32" s="18">
        <v>42236.439930555556</v>
      </c>
      <c r="E32" t="s">
        <v>674</v>
      </c>
      <c r="F32" s="19">
        <v>0.96348509599148879</v>
      </c>
      <c r="G32" s="19">
        <v>0.91635133468325103</v>
      </c>
      <c r="H32" s="19">
        <v>0.92697470565628071</v>
      </c>
      <c r="I32" s="19">
        <v>1.2383926399406206E-2</v>
      </c>
      <c r="J32" s="19">
        <v>0.90779442696534629</v>
      </c>
      <c r="K32" s="19">
        <v>2.0488025531473112E-2</v>
      </c>
      <c r="L32" s="19"/>
      <c r="M32" s="19"/>
      <c r="N32" s="19"/>
      <c r="O32" s="19"/>
      <c r="P32" s="19"/>
    </row>
    <row r="33" spans="2:16" x14ac:dyDescent="0.25">
      <c r="B33" t="s">
        <v>217</v>
      </c>
      <c r="C33" t="s">
        <v>400</v>
      </c>
      <c r="D33" s="18">
        <v>42236.439930555556</v>
      </c>
      <c r="E33" t="s">
        <v>163</v>
      </c>
      <c r="F33" s="19">
        <v>0.99317074904112879</v>
      </c>
      <c r="G33" s="19">
        <v>1</v>
      </c>
      <c r="H33" s="19">
        <v>0.96612727919094854</v>
      </c>
      <c r="I33" s="19">
        <v>3.2616924677418807E-2</v>
      </c>
      <c r="J33" s="19">
        <v>0.93409523307530906</v>
      </c>
      <c r="K33" s="19">
        <v>4.5167559089512109E-2</v>
      </c>
      <c r="L33" s="19">
        <v>0.95182394634332079</v>
      </c>
      <c r="M33" s="19">
        <v>0.95346117649031581</v>
      </c>
      <c r="N33" s="19">
        <v>3.0790613258238082E-2</v>
      </c>
      <c r="O33" s="19">
        <v>0.98790875472638884</v>
      </c>
      <c r="P33" s="19">
        <v>1.5286980222886583E-2</v>
      </c>
    </row>
    <row r="34" spans="2:16" x14ac:dyDescent="0.25">
      <c r="B34" t="s">
        <v>581</v>
      </c>
      <c r="C34" t="s">
        <v>400</v>
      </c>
      <c r="D34" s="18">
        <v>42236.439930555556</v>
      </c>
      <c r="E34" t="s">
        <v>163</v>
      </c>
      <c r="F34" s="19">
        <v>0.99317074904112879</v>
      </c>
      <c r="G34" s="19">
        <v>1</v>
      </c>
      <c r="H34" s="19">
        <v>0.96612727919094854</v>
      </c>
      <c r="I34" s="19">
        <v>3.2616924677418807E-2</v>
      </c>
      <c r="J34" s="19">
        <v>0.93409523307530906</v>
      </c>
      <c r="K34" s="19">
        <v>4.5167559089512109E-2</v>
      </c>
      <c r="L34" s="19">
        <v>0.95182394634332079</v>
      </c>
      <c r="M34" s="19">
        <v>0.95346117649031581</v>
      </c>
      <c r="N34" s="19">
        <v>3.0790613258238082E-2</v>
      </c>
      <c r="O34" s="19">
        <v>0.98790875472638884</v>
      </c>
      <c r="P34" s="19">
        <v>1.5286980222886583E-2</v>
      </c>
    </row>
    <row r="35" spans="2:16" x14ac:dyDescent="0.25">
      <c r="B35" t="s">
        <v>563</v>
      </c>
      <c r="C35" t="s">
        <v>390</v>
      </c>
      <c r="D35" s="18">
        <v>42236.439930555556</v>
      </c>
      <c r="E35" t="s">
        <v>156</v>
      </c>
      <c r="F35" s="19">
        <v>0.95636156232313885</v>
      </c>
      <c r="G35" s="19">
        <v>0.93362682099000838</v>
      </c>
      <c r="H35" s="19">
        <v>0.92351432046638982</v>
      </c>
      <c r="I35" s="19">
        <v>3.5431951951338407E-2</v>
      </c>
      <c r="J35" s="19">
        <v>0.91718571654621628</v>
      </c>
      <c r="K35" s="19">
        <v>3.8195756351782177E-2</v>
      </c>
      <c r="L35" s="19"/>
      <c r="M35" s="19"/>
      <c r="N35" s="19"/>
      <c r="O35" s="19"/>
      <c r="P35" s="19"/>
    </row>
    <row r="36" spans="2:16" x14ac:dyDescent="0.25">
      <c r="B36" t="s">
        <v>619</v>
      </c>
      <c r="C36" t="s">
        <v>395</v>
      </c>
      <c r="D36" s="18">
        <v>42236.439930555556</v>
      </c>
      <c r="E36" t="s">
        <v>179</v>
      </c>
      <c r="F36" s="19">
        <v>0.96943936004338704</v>
      </c>
      <c r="G36" s="19">
        <v>0.90851126927639381</v>
      </c>
      <c r="H36" s="19">
        <v>0.93575445826154346</v>
      </c>
      <c r="I36" s="19">
        <v>4.1454292410482624E-2</v>
      </c>
      <c r="J36" s="19">
        <v>0.96354489422323497</v>
      </c>
      <c r="K36" s="19">
        <v>3.7846513370907359E-2</v>
      </c>
      <c r="L36" s="19"/>
      <c r="M36" s="19"/>
      <c r="N36" s="19"/>
      <c r="O36" s="19"/>
      <c r="P36" s="19"/>
    </row>
    <row r="37" spans="2:16" x14ac:dyDescent="0.25">
      <c r="B37" t="s">
        <v>559</v>
      </c>
      <c r="C37" t="s">
        <v>390</v>
      </c>
      <c r="D37" s="18">
        <v>42236.439930555556</v>
      </c>
      <c r="E37" t="s">
        <v>94</v>
      </c>
      <c r="F37" s="19">
        <v>0.9630550899043272</v>
      </c>
      <c r="G37" s="19">
        <v>0.89448598130841117</v>
      </c>
      <c r="H37" s="19">
        <v>0.9212101143820004</v>
      </c>
      <c r="I37" s="19">
        <v>3.8047395070550466E-2</v>
      </c>
      <c r="J37" s="19">
        <v>0.93719667696398001</v>
      </c>
      <c r="K37" s="19">
        <v>3.7281463281277141E-2</v>
      </c>
      <c r="L37" s="19"/>
      <c r="M37" s="19"/>
      <c r="N37" s="19"/>
      <c r="O37" s="19"/>
      <c r="P37" s="19"/>
    </row>
    <row r="38" spans="2:16" x14ac:dyDescent="0.25">
      <c r="B38" t="s">
        <v>561</v>
      </c>
      <c r="C38" t="s">
        <v>395</v>
      </c>
      <c r="D38" s="18">
        <v>42236.439930555556</v>
      </c>
      <c r="E38" t="s">
        <v>155</v>
      </c>
      <c r="F38" s="19">
        <v>0.89157936439377916</v>
      </c>
      <c r="G38" s="19">
        <v>0.90286638927415619</v>
      </c>
      <c r="H38" s="19">
        <v>0.90709586800547182</v>
      </c>
      <c r="I38" s="19">
        <v>4.4185530704873133E-2</v>
      </c>
      <c r="J38" s="19">
        <v>0.94945932623024587</v>
      </c>
      <c r="K38" s="19">
        <v>3.215545200045071E-2</v>
      </c>
      <c r="L38" s="19"/>
      <c r="M38" s="19"/>
      <c r="N38" s="19"/>
      <c r="O38" s="19"/>
      <c r="P38" s="19"/>
    </row>
    <row r="39" spans="2:16" x14ac:dyDescent="0.25">
      <c r="B39" t="s">
        <v>528</v>
      </c>
      <c r="C39" t="s">
        <v>379</v>
      </c>
      <c r="D39" s="18">
        <v>42236.439930555556</v>
      </c>
      <c r="E39" t="s">
        <v>144</v>
      </c>
      <c r="F39" s="19">
        <v>0.93423904904388533</v>
      </c>
      <c r="G39" s="19">
        <v>0.9006803425887554</v>
      </c>
      <c r="H39" s="19">
        <v>0.91794230241321662</v>
      </c>
      <c r="I39" s="19">
        <v>4.2144137791640689E-2</v>
      </c>
      <c r="J39" s="19">
        <v>0.91954811804712078</v>
      </c>
      <c r="K39" s="19">
        <v>4.1016390859065978E-2</v>
      </c>
      <c r="L39" s="19"/>
      <c r="M39" s="19"/>
      <c r="N39" s="19"/>
      <c r="O39" s="19"/>
      <c r="P39" s="19"/>
    </row>
    <row r="40" spans="2:16" x14ac:dyDescent="0.25">
      <c r="B40" t="s">
        <v>534</v>
      </c>
      <c r="C40" t="s">
        <v>379</v>
      </c>
      <c r="D40" s="18">
        <v>42236.439930555556</v>
      </c>
      <c r="E40" t="s">
        <v>147</v>
      </c>
      <c r="F40" s="19">
        <v>0.97154805988111059</v>
      </c>
      <c r="G40" s="19">
        <v>0.94127507988894132</v>
      </c>
      <c r="H40" s="19">
        <v>0.88824193018242081</v>
      </c>
      <c r="I40" s="19">
        <v>4.1997036812878787E-2</v>
      </c>
      <c r="J40" s="19">
        <v>0.86306732432248312</v>
      </c>
      <c r="K40" s="19">
        <v>4.3553770663386046E-2</v>
      </c>
      <c r="L40" s="19"/>
      <c r="M40" s="19"/>
      <c r="N40" s="19"/>
      <c r="O40" s="19"/>
      <c r="P40" s="19"/>
    </row>
    <row r="41" spans="2:16" x14ac:dyDescent="0.25">
      <c r="B41" t="s">
        <v>379</v>
      </c>
      <c r="C41" t="s">
        <v>379</v>
      </c>
      <c r="D41" s="18">
        <v>42236.439930555556</v>
      </c>
      <c r="E41" t="s">
        <v>671</v>
      </c>
      <c r="F41" s="19">
        <v>0.94597826908231442</v>
      </c>
      <c r="G41" s="19">
        <v>0.85144189919359403</v>
      </c>
      <c r="H41" s="19">
        <v>0.87743686597802939</v>
      </c>
      <c r="I41" s="19">
        <v>1.6154775009585832E-2</v>
      </c>
      <c r="J41" s="19">
        <v>0.89301294319795976</v>
      </c>
      <c r="K41" s="19">
        <v>1.635252208046559E-2</v>
      </c>
      <c r="L41" s="19"/>
      <c r="M41" s="19"/>
      <c r="N41" s="19"/>
      <c r="O41" s="19"/>
      <c r="P41" s="19"/>
    </row>
    <row r="42" spans="2:16" x14ac:dyDescent="0.25">
      <c r="B42" t="s">
        <v>601</v>
      </c>
      <c r="C42" t="s">
        <v>414</v>
      </c>
      <c r="D42" s="18">
        <v>42236.439930555556</v>
      </c>
      <c r="E42" t="s">
        <v>171</v>
      </c>
      <c r="F42" s="19">
        <v>0.94465196152118314</v>
      </c>
      <c r="G42" s="19">
        <v>0.87716796566774302</v>
      </c>
      <c r="H42" s="19">
        <v>0.92461033534635617</v>
      </c>
      <c r="I42" s="19">
        <v>3.6919835521341468E-2</v>
      </c>
      <c r="J42" s="19">
        <v>0.89773668189843536</v>
      </c>
      <c r="K42" s="19">
        <v>5.0934304699975994E-2</v>
      </c>
      <c r="L42" s="19"/>
      <c r="M42" s="19"/>
      <c r="N42" s="19"/>
      <c r="O42" s="19"/>
      <c r="P42" s="19"/>
    </row>
    <row r="43" spans="2:16" x14ac:dyDescent="0.25">
      <c r="B43" t="s">
        <v>8</v>
      </c>
      <c r="D43" s="18"/>
      <c r="F43" s="19"/>
      <c r="G43" s="19"/>
      <c r="H43" s="19"/>
      <c r="I43" s="19"/>
      <c r="J43" s="19"/>
      <c r="K43" s="19"/>
      <c r="L43" s="19"/>
      <c r="M43" s="19"/>
      <c r="N43" s="19"/>
      <c r="O43" s="19"/>
      <c r="P43" s="19"/>
    </row>
    <row r="44" spans="2:16" x14ac:dyDescent="0.25">
      <c r="B44" t="s">
        <v>414</v>
      </c>
      <c r="C44" t="s">
        <v>414</v>
      </c>
      <c r="D44" s="18">
        <v>42236.439930555556</v>
      </c>
      <c r="E44" t="s">
        <v>676</v>
      </c>
      <c r="F44" s="19">
        <v>0.96128616185035332</v>
      </c>
      <c r="G44" s="19">
        <v>0.88230082654561215</v>
      </c>
      <c r="H44" s="19">
        <v>0.90977850899328283</v>
      </c>
      <c r="I44" s="19">
        <v>1.535240175594808E-2</v>
      </c>
      <c r="J44" s="19">
        <v>0.93277740088526218</v>
      </c>
      <c r="K44" s="19">
        <v>1.5093053117149964E-2</v>
      </c>
      <c r="L44" s="19"/>
      <c r="M44" s="19"/>
      <c r="N44" s="19"/>
      <c r="O44" s="19"/>
      <c r="P44" s="19"/>
    </row>
    <row r="45" spans="2:16" x14ac:dyDescent="0.25">
      <c r="B45" t="s">
        <v>218</v>
      </c>
      <c r="C45" t="s">
        <v>379</v>
      </c>
      <c r="D45" s="18">
        <v>42236.439930555556</v>
      </c>
      <c r="E45" t="s">
        <v>102</v>
      </c>
      <c r="F45" s="19">
        <v>0.95339916421216919</v>
      </c>
      <c r="G45" s="19">
        <v>0.91084966635223419</v>
      </c>
      <c r="H45" s="19">
        <v>0.87681282287685147</v>
      </c>
      <c r="I45" s="19">
        <v>4.7229135821489902E-2</v>
      </c>
      <c r="J45" s="19">
        <v>0.9132764718463211</v>
      </c>
      <c r="K45" s="19">
        <v>4.5010074060673588E-2</v>
      </c>
      <c r="L45" s="19">
        <v>0.87499687398404491</v>
      </c>
      <c r="M45" s="19">
        <v>0.95330987426214653</v>
      </c>
      <c r="N45" s="19">
        <v>3.6007169912451217E-2</v>
      </c>
      <c r="O45" s="19">
        <v>0.94151817235213831</v>
      </c>
      <c r="P45" s="19">
        <v>4.2929305125536388E-2</v>
      </c>
    </row>
    <row r="46" spans="2:16" x14ac:dyDescent="0.25">
      <c r="B46" t="s">
        <v>536</v>
      </c>
      <c r="C46" t="s">
        <v>379</v>
      </c>
      <c r="D46" s="18">
        <v>42236.439930555556</v>
      </c>
      <c r="E46" t="s">
        <v>102</v>
      </c>
      <c r="F46" s="19">
        <v>0.95339916421216919</v>
      </c>
      <c r="G46" s="19">
        <v>0.91084966635223419</v>
      </c>
      <c r="H46" s="19">
        <v>0.87681282287685147</v>
      </c>
      <c r="I46" s="19">
        <v>4.7229135821489902E-2</v>
      </c>
      <c r="J46" s="19">
        <v>0.9132764718463211</v>
      </c>
      <c r="K46" s="19">
        <v>4.5010074060673588E-2</v>
      </c>
      <c r="L46" s="19">
        <v>0.87499687398404491</v>
      </c>
      <c r="M46" s="19">
        <v>0.95330987426214653</v>
      </c>
      <c r="N46" s="19">
        <v>3.6007169912451217E-2</v>
      </c>
      <c r="O46" s="19">
        <v>0.94151817235213831</v>
      </c>
      <c r="P46" s="19">
        <v>4.2929305125536388E-2</v>
      </c>
    </row>
    <row r="47" spans="2:16" x14ac:dyDescent="0.25">
      <c r="B47" t="s">
        <v>605</v>
      </c>
      <c r="C47" t="s">
        <v>414</v>
      </c>
      <c r="D47" s="18">
        <v>42236.439930555556</v>
      </c>
      <c r="E47" t="s">
        <v>173</v>
      </c>
      <c r="F47" s="19">
        <v>0.93645829686764603</v>
      </c>
      <c r="G47" s="19">
        <v>0.8564995852589169</v>
      </c>
      <c r="H47" s="19">
        <v>0.91833504785308151</v>
      </c>
      <c r="I47" s="19">
        <v>4.3822622311840718E-2</v>
      </c>
      <c r="J47" s="19">
        <v>0.92387524491722384</v>
      </c>
      <c r="K47" s="19">
        <v>3.9311450569866506E-2</v>
      </c>
      <c r="L47" s="19"/>
      <c r="M47" s="19"/>
      <c r="N47" s="19"/>
      <c r="O47" s="19"/>
      <c r="P47" s="19"/>
    </row>
    <row r="48" spans="2:16" x14ac:dyDescent="0.25">
      <c r="B48" t="s">
        <v>539</v>
      </c>
      <c r="C48" t="s">
        <v>379</v>
      </c>
      <c r="D48" s="18">
        <v>42236.439930555556</v>
      </c>
      <c r="E48" t="s">
        <v>148</v>
      </c>
      <c r="F48" s="19">
        <v>0.95914265536095789</v>
      </c>
      <c r="G48" s="19">
        <v>0.90262857142857145</v>
      </c>
      <c r="H48" s="19">
        <v>0.90275422375535852</v>
      </c>
      <c r="I48" s="19">
        <v>4.4725363827753599E-2</v>
      </c>
      <c r="J48" s="19">
        <v>0.93275407278698108</v>
      </c>
      <c r="K48" s="19">
        <v>4.0793681728530796E-2</v>
      </c>
      <c r="L48" s="19"/>
      <c r="M48" s="19"/>
      <c r="N48" s="19"/>
      <c r="O48" s="19"/>
      <c r="P48" s="19"/>
    </row>
    <row r="49" spans="2:16" x14ac:dyDescent="0.25">
      <c r="B49" t="s">
        <v>613</v>
      </c>
      <c r="C49" t="s">
        <v>414</v>
      </c>
      <c r="D49" s="18">
        <v>42236.439930555556</v>
      </c>
      <c r="E49" t="s">
        <v>176</v>
      </c>
      <c r="F49" s="19">
        <v>0.94647696154681671</v>
      </c>
      <c r="G49" s="19">
        <v>0.91334952968292527</v>
      </c>
      <c r="H49" s="19">
        <v>0.94603948770283042</v>
      </c>
      <c r="I49" s="19">
        <v>3.381726093704053E-2</v>
      </c>
      <c r="J49" s="19">
        <v>0.96277811646351363</v>
      </c>
      <c r="K49" s="19">
        <v>2.8924520290879913E-2</v>
      </c>
      <c r="L49" s="19"/>
      <c r="M49" s="19"/>
      <c r="N49" s="19"/>
      <c r="O49" s="19"/>
      <c r="P49" s="19"/>
    </row>
    <row r="50" spans="2:16" x14ac:dyDescent="0.25">
      <c r="B50" t="s">
        <v>524</v>
      </c>
      <c r="C50" t="s">
        <v>379</v>
      </c>
      <c r="D50" s="18">
        <v>42236.439930555556</v>
      </c>
      <c r="E50" t="s">
        <v>143</v>
      </c>
      <c r="F50" s="19">
        <v>0.96170220080560609</v>
      </c>
      <c r="G50" s="19">
        <v>0.83831604636973767</v>
      </c>
      <c r="H50" s="19">
        <v>0.87284225371367308</v>
      </c>
      <c r="I50" s="19">
        <v>5.5146907500185804E-2</v>
      </c>
      <c r="J50" s="19">
        <v>0.95333317161131736</v>
      </c>
      <c r="K50" s="19">
        <v>3.776793994045647E-2</v>
      </c>
      <c r="L50" s="19"/>
      <c r="M50" s="19"/>
      <c r="N50" s="19"/>
      <c r="O50" s="19"/>
      <c r="P50" s="19"/>
    </row>
    <row r="51" spans="2:16" x14ac:dyDescent="0.25">
      <c r="B51" t="s">
        <v>621</v>
      </c>
      <c r="C51" t="s">
        <v>414</v>
      </c>
      <c r="D51" s="18">
        <v>42236.439930555556</v>
      </c>
      <c r="E51" t="s">
        <v>180</v>
      </c>
      <c r="F51" s="19">
        <v>0.95106743248977943</v>
      </c>
      <c r="G51" s="19">
        <v>0.87967058823529409</v>
      </c>
      <c r="H51" s="19">
        <v>0.90516585147113604</v>
      </c>
      <c r="I51" s="19">
        <v>4.702385810274521E-2</v>
      </c>
      <c r="J51" s="19">
        <v>0.93974126210099218</v>
      </c>
      <c r="K51" s="19">
        <v>3.395546240958211E-2</v>
      </c>
      <c r="L51" s="19"/>
      <c r="M51" s="19"/>
      <c r="N51" s="19"/>
      <c r="O51" s="19"/>
      <c r="P51" s="19"/>
    </row>
    <row r="52" spans="2:16" x14ac:dyDescent="0.25">
      <c r="B52" t="s">
        <v>545</v>
      </c>
      <c r="C52" t="s">
        <v>379</v>
      </c>
      <c r="D52" s="18">
        <v>42236.439930555556</v>
      </c>
      <c r="E52" t="s">
        <v>108</v>
      </c>
      <c r="F52" s="19">
        <v>0.97028414686982167</v>
      </c>
      <c r="G52" s="19">
        <v>0.89088285688520163</v>
      </c>
      <c r="H52" s="19">
        <v>0.9108343084831767</v>
      </c>
      <c r="I52" s="19">
        <v>4.6327199228885195E-2</v>
      </c>
      <c r="J52" s="19">
        <v>0.93104003136573199</v>
      </c>
      <c r="K52" s="19">
        <v>4.1393317421084104E-2</v>
      </c>
      <c r="L52" s="19"/>
      <c r="M52" s="19"/>
      <c r="N52" s="19"/>
      <c r="O52" s="19"/>
      <c r="P52" s="19"/>
    </row>
    <row r="53" spans="2:16" x14ac:dyDescent="0.25">
      <c r="B53" t="s">
        <v>598</v>
      </c>
      <c r="C53" t="s">
        <v>395</v>
      </c>
      <c r="D53" s="18">
        <v>42236.439930555556</v>
      </c>
      <c r="E53" t="s">
        <v>170</v>
      </c>
      <c r="F53" s="19">
        <v>0.95695829629595164</v>
      </c>
      <c r="G53" s="19">
        <v>0.88098898283371763</v>
      </c>
      <c r="H53" s="19">
        <v>0.88999972373341085</v>
      </c>
      <c r="I53" s="19">
        <v>4.2877521016260897E-2</v>
      </c>
      <c r="J53" s="19">
        <v>0.92970238050550191</v>
      </c>
      <c r="K53" s="19">
        <v>4.0825206716353507E-2</v>
      </c>
      <c r="L53" s="255"/>
      <c r="M53" s="255"/>
      <c r="N53" s="255"/>
      <c r="O53" s="255"/>
      <c r="P53" s="255"/>
    </row>
    <row r="54" spans="2:16" x14ac:dyDescent="0.25">
      <c r="B54" t="s">
        <v>634</v>
      </c>
      <c r="C54" t="s">
        <v>414</v>
      </c>
      <c r="D54" s="18">
        <v>42236.439930555556</v>
      </c>
      <c r="E54" t="s">
        <v>185</v>
      </c>
      <c r="F54" s="19">
        <v>0.98189447199374691</v>
      </c>
      <c r="G54" s="19">
        <v>0.89953582142028921</v>
      </c>
      <c r="H54" s="19">
        <v>0.89057977326500548</v>
      </c>
      <c r="I54" s="19">
        <v>4.1086121480492184E-2</v>
      </c>
      <c r="J54" s="19">
        <v>0.92234505907004982</v>
      </c>
      <c r="K54" s="19">
        <v>4.6173598552222687E-2</v>
      </c>
      <c r="L54" s="19"/>
      <c r="M54" s="19"/>
      <c r="N54" s="19"/>
      <c r="O54" s="19"/>
      <c r="P54" s="19"/>
    </row>
    <row r="55" spans="2:16" x14ac:dyDescent="0.25">
      <c r="B55" t="s">
        <v>623</v>
      </c>
      <c r="C55" t="s">
        <v>390</v>
      </c>
      <c r="D55" s="18">
        <v>42236.439930555556</v>
      </c>
      <c r="E55" t="s">
        <v>181</v>
      </c>
      <c r="F55" s="19">
        <v>0.92744354910864091</v>
      </c>
      <c r="G55" s="19">
        <v>0.72890855826009404</v>
      </c>
      <c r="H55" s="19">
        <v>0.85937314868835268</v>
      </c>
      <c r="I55" s="19">
        <v>4.9732923016521081E-2</v>
      </c>
      <c r="J55" s="19">
        <v>0.88928882167507173</v>
      </c>
      <c r="K55" s="19">
        <v>4.9552843728646608E-2</v>
      </c>
      <c r="L55" s="19"/>
      <c r="M55" s="19"/>
      <c r="N55" s="19"/>
      <c r="O55" s="19"/>
      <c r="P55" s="19"/>
    </row>
    <row r="56" spans="2:16" x14ac:dyDescent="0.25">
      <c r="B56" t="s">
        <v>607</v>
      </c>
      <c r="C56" t="s">
        <v>414</v>
      </c>
      <c r="D56" s="18">
        <v>42236.439930555556</v>
      </c>
      <c r="E56" t="s">
        <v>174</v>
      </c>
      <c r="F56" s="19">
        <v>0.97186788652620892</v>
      </c>
      <c r="G56" s="19">
        <v>0.89250796646978825</v>
      </c>
      <c r="H56" s="19">
        <v>0.91445568644994524</v>
      </c>
      <c r="I56" s="19">
        <v>3.8849089135071679E-2</v>
      </c>
      <c r="J56" s="19">
        <v>0.94584493133597436</v>
      </c>
      <c r="K56" s="19">
        <v>3.7027901256434605E-2</v>
      </c>
      <c r="L56" s="19"/>
      <c r="M56" s="19"/>
      <c r="N56" s="19"/>
      <c r="O56" s="19"/>
      <c r="P56" s="19"/>
    </row>
    <row r="57" spans="2:16" x14ac:dyDescent="0.25">
      <c r="B57" t="s">
        <v>645</v>
      </c>
      <c r="C57" t="s">
        <v>400</v>
      </c>
      <c r="D57" s="18">
        <v>42236.439930555556</v>
      </c>
      <c r="E57" t="s">
        <v>190</v>
      </c>
      <c r="F57" s="19">
        <v>0.9463038767156271</v>
      </c>
      <c r="G57" s="19">
        <v>0.88618387262455078</v>
      </c>
      <c r="H57" s="19">
        <v>0.96180171357436395</v>
      </c>
      <c r="I57" s="19">
        <v>3.3406467424565565E-2</v>
      </c>
      <c r="J57" s="19">
        <v>0.94241254223153403</v>
      </c>
      <c r="K57" s="19">
        <v>3.4335366874441747E-2</v>
      </c>
      <c r="L57" s="19"/>
      <c r="M57" s="19"/>
      <c r="N57" s="19"/>
      <c r="O57" s="19"/>
      <c r="P57" s="19"/>
    </row>
    <row r="58" spans="2:16" x14ac:dyDescent="0.25">
      <c r="B58" t="s">
        <v>390</v>
      </c>
      <c r="C58" t="s">
        <v>390</v>
      </c>
      <c r="D58" s="18">
        <v>42236.439930555556</v>
      </c>
      <c r="E58" t="s">
        <v>673</v>
      </c>
      <c r="F58" s="19">
        <v>0.94806095365153453</v>
      </c>
      <c r="G58" s="19">
        <v>0.88003719649489232</v>
      </c>
      <c r="H58" s="19">
        <v>0.90473898621836357</v>
      </c>
      <c r="I58" s="19">
        <v>1.91365933726955E-2</v>
      </c>
      <c r="J58" s="19">
        <v>0.89908019781864856</v>
      </c>
      <c r="K58" s="19">
        <v>2.5498313928897502E-2</v>
      </c>
      <c r="L58" s="19"/>
      <c r="M58" s="19"/>
      <c r="N58" s="19"/>
      <c r="O58" s="19"/>
      <c r="P58" s="19"/>
    </row>
    <row r="59" spans="2:16" x14ac:dyDescent="0.25">
      <c r="B59" t="s">
        <v>584</v>
      </c>
      <c r="C59" t="s">
        <v>400</v>
      </c>
      <c r="D59" s="18">
        <v>42236.439930555556</v>
      </c>
      <c r="E59" t="s">
        <v>164</v>
      </c>
      <c r="F59" s="19">
        <v>0.95213001229463223</v>
      </c>
      <c r="G59" s="19">
        <v>0.84655635613443569</v>
      </c>
      <c r="H59" s="19">
        <v>0.8966502969299619</v>
      </c>
      <c r="I59" s="19">
        <v>4.3423179040779303E-2</v>
      </c>
      <c r="J59" s="19">
        <v>0.87942946175387515</v>
      </c>
      <c r="K59" s="19">
        <v>4.7570497744007484E-2</v>
      </c>
      <c r="L59" s="19"/>
      <c r="M59" s="19"/>
      <c r="N59" s="19"/>
      <c r="O59" s="19"/>
      <c r="P59" s="19"/>
    </row>
    <row r="60" spans="2:16" x14ac:dyDescent="0.25">
      <c r="B60" t="s">
        <v>220</v>
      </c>
      <c r="C60" t="s">
        <v>400</v>
      </c>
      <c r="D60" s="18">
        <v>42236.439930555556</v>
      </c>
      <c r="E60" t="s">
        <v>167</v>
      </c>
      <c r="F60" s="19">
        <v>0.97493921544937345</v>
      </c>
      <c r="G60" s="19">
        <v>0.9455318214610583</v>
      </c>
      <c r="H60" s="19">
        <v>0.93092357448136875</v>
      </c>
      <c r="I60" s="19">
        <v>3.5151715705994846E-2</v>
      </c>
      <c r="J60" s="19">
        <v>0.86126119780755306</v>
      </c>
      <c r="K60" s="19">
        <v>6.8340141599622303E-2</v>
      </c>
      <c r="L60" s="19">
        <v>1</v>
      </c>
      <c r="M60" s="19">
        <v>0.9920093664438947</v>
      </c>
      <c r="N60" s="19">
        <v>9.5752801700201215E-3</v>
      </c>
      <c r="O60" s="19">
        <v>0.96349001134633128</v>
      </c>
      <c r="P60" s="19">
        <v>3.6496758070326651E-2</v>
      </c>
    </row>
    <row r="61" spans="2:16" x14ac:dyDescent="0.25">
      <c r="B61" t="s">
        <v>590</v>
      </c>
      <c r="C61" t="s">
        <v>400</v>
      </c>
      <c r="D61" s="18">
        <v>42236.439930555556</v>
      </c>
      <c r="E61" t="s">
        <v>167</v>
      </c>
      <c r="F61" s="19">
        <v>0.97493921544937345</v>
      </c>
      <c r="G61" s="19">
        <v>0.9455318214610583</v>
      </c>
      <c r="H61" s="19">
        <v>0.93092357448136875</v>
      </c>
      <c r="I61" s="19">
        <v>3.5151715705994846E-2</v>
      </c>
      <c r="J61" s="19">
        <v>0.86126119780755306</v>
      </c>
      <c r="K61" s="19">
        <v>6.8340141599622303E-2</v>
      </c>
      <c r="L61" s="19">
        <v>1</v>
      </c>
      <c r="M61" s="19">
        <v>0.9920093664438947</v>
      </c>
      <c r="N61" s="19">
        <v>9.5752801700201215E-3</v>
      </c>
      <c r="O61" s="19">
        <v>0.96349001134633128</v>
      </c>
      <c r="P61" s="19">
        <v>3.6496758070326651E-2</v>
      </c>
    </row>
    <row r="62" spans="2:16" x14ac:dyDescent="0.25">
      <c r="B62" t="s">
        <v>551</v>
      </c>
      <c r="C62" t="s">
        <v>390</v>
      </c>
      <c r="D62" s="18">
        <v>42236.439930555556</v>
      </c>
      <c r="E62" t="s">
        <v>152</v>
      </c>
      <c r="F62" s="19">
        <v>0.88686748203820354</v>
      </c>
      <c r="G62" s="19">
        <v>0.86138890954611935</v>
      </c>
      <c r="H62" s="19">
        <v>0.88463904349618627</v>
      </c>
      <c r="I62" s="19">
        <v>5.0573171548125941E-2</v>
      </c>
      <c r="J62" s="19">
        <v>0.89564386830711396</v>
      </c>
      <c r="K62" s="19">
        <v>5.6413685804879349E-2</v>
      </c>
      <c r="L62" s="19"/>
      <c r="M62" s="19"/>
      <c r="N62" s="19"/>
      <c r="O62" s="19"/>
      <c r="P62" s="19"/>
    </row>
    <row r="63" spans="2:16" x14ac:dyDescent="0.25">
      <c r="B63" t="s">
        <v>637</v>
      </c>
      <c r="C63" t="s">
        <v>379</v>
      </c>
      <c r="D63" s="18">
        <v>42236.439930555556</v>
      </c>
      <c r="E63" t="s">
        <v>186</v>
      </c>
      <c r="F63" s="19">
        <v>0.97216825069015667</v>
      </c>
      <c r="G63" s="19">
        <v>0.87072751809593907</v>
      </c>
      <c r="H63" s="19">
        <v>0.88527238196198121</v>
      </c>
      <c r="I63" s="19">
        <v>5.3904934598517758E-2</v>
      </c>
      <c r="J63" s="19">
        <v>0.95207134517653547</v>
      </c>
      <c r="K63" s="19">
        <v>3.7256718307833621E-2</v>
      </c>
      <c r="L63" s="19"/>
      <c r="M63" s="19"/>
      <c r="N63" s="19"/>
      <c r="O63" s="19"/>
      <c r="P63" s="19"/>
    </row>
    <row r="64" spans="2:16" x14ac:dyDescent="0.25">
      <c r="B64" t="s">
        <v>706</v>
      </c>
      <c r="C64" t="s">
        <v>6</v>
      </c>
      <c r="D64" s="18">
        <v>42236.439930555556</v>
      </c>
      <c r="E64" t="s">
        <v>447</v>
      </c>
      <c r="F64" s="19"/>
      <c r="G64" s="19"/>
      <c r="H64" s="19"/>
      <c r="I64" s="19"/>
      <c r="J64" s="19"/>
      <c r="K64" s="19"/>
      <c r="L64" s="19">
        <v>0.94246964737261441</v>
      </c>
      <c r="M64" s="19">
        <v>0.96812348377268675</v>
      </c>
      <c r="N64" s="19">
        <v>1.5248741409886577E-2</v>
      </c>
      <c r="O64" s="19">
        <v>0.96389630432598183</v>
      </c>
      <c r="P64" s="19">
        <v>1.9891014158988439E-2</v>
      </c>
    </row>
    <row r="65" spans="2:16" x14ac:dyDescent="0.25">
      <c r="B65" t="s">
        <v>708</v>
      </c>
      <c r="C65" t="s">
        <v>6</v>
      </c>
      <c r="D65" s="18">
        <v>42236.439930555556</v>
      </c>
      <c r="E65" t="s">
        <v>447</v>
      </c>
      <c r="F65" s="19">
        <v>0.95451048793219162</v>
      </c>
      <c r="G65" s="19">
        <v>0.88046570682525982</v>
      </c>
      <c r="H65" s="19">
        <v>0.90459023216668721</v>
      </c>
      <c r="I65" s="19">
        <v>7.1397644292206762E-3</v>
      </c>
      <c r="J65" s="19">
        <v>0.91036932806301474</v>
      </c>
      <c r="K65" s="19">
        <v>8.71643264680543E-3</v>
      </c>
      <c r="L65" s="19">
        <v>0.94246964737261441</v>
      </c>
      <c r="M65" s="19">
        <v>0.96812348377268675</v>
      </c>
      <c r="N65" s="19">
        <v>1.5248741409886577E-2</v>
      </c>
      <c r="O65" s="19">
        <v>0.96389630432598183</v>
      </c>
      <c r="P65" s="19">
        <v>1.9891014158988439E-2</v>
      </c>
    </row>
    <row r="66" spans="2:16" x14ac:dyDescent="0.25">
      <c r="B66" t="s">
        <v>615</v>
      </c>
      <c r="C66" t="s">
        <v>395</v>
      </c>
      <c r="D66" s="18">
        <v>42236.439930555556</v>
      </c>
      <c r="E66" t="s">
        <v>177</v>
      </c>
      <c r="F66" s="19">
        <v>0.97041872132816165</v>
      </c>
      <c r="G66" s="19">
        <v>0.91776779351326421</v>
      </c>
      <c r="H66" s="19">
        <v>0.93074188798415913</v>
      </c>
      <c r="I66" s="19">
        <v>3.7039613401455895E-2</v>
      </c>
      <c r="J66" s="19">
        <v>0.90743276542888074</v>
      </c>
      <c r="K66" s="19">
        <v>4.5782091761133119E-2</v>
      </c>
      <c r="L66" s="19"/>
      <c r="M66" s="19"/>
      <c r="N66" s="19"/>
      <c r="O66" s="19"/>
      <c r="P66" s="19"/>
    </row>
    <row r="67" spans="2:16" x14ac:dyDescent="0.25">
      <c r="B67" t="s">
        <v>680</v>
      </c>
      <c r="C67" t="s">
        <v>379</v>
      </c>
      <c r="D67" s="18">
        <v>42236.439930555556</v>
      </c>
      <c r="E67" t="s">
        <v>679</v>
      </c>
      <c r="F67" s="153">
        <v>0.96301687246163492</v>
      </c>
      <c r="G67" s="153">
        <v>0.90224196607175311</v>
      </c>
      <c r="H67" s="153">
        <v>0.91022521232942066</v>
      </c>
      <c r="I67" s="153">
        <v>0.11607218406135225</v>
      </c>
      <c r="J67" s="153">
        <v>0.81038017894609171</v>
      </c>
      <c r="K67" s="153">
        <v>4.4855548022503487E-2</v>
      </c>
      <c r="L67" s="153"/>
      <c r="M67" s="153"/>
      <c r="N67" s="153"/>
      <c r="O67" s="153"/>
      <c r="P67" s="153"/>
    </row>
    <row r="68" spans="2:16" x14ac:dyDescent="0.25">
      <c r="B68" t="s">
        <v>639</v>
      </c>
      <c r="C68" t="s">
        <v>379</v>
      </c>
      <c r="D68" s="18">
        <v>42236.439930555556</v>
      </c>
      <c r="E68" t="s">
        <v>92</v>
      </c>
      <c r="F68" s="153">
        <v>0.93122995629450489</v>
      </c>
      <c r="G68" s="153">
        <v>0.86016865079365079</v>
      </c>
      <c r="H68" s="153">
        <v>0.83642540469528082</v>
      </c>
      <c r="I68" s="153">
        <v>5.1250249650439839E-2</v>
      </c>
      <c r="J68" s="153">
        <v>0.89578717977998545</v>
      </c>
      <c r="K68" s="153">
        <v>3.1792449818775097E-2</v>
      </c>
      <c r="L68" s="153"/>
      <c r="M68" s="153"/>
      <c r="N68" s="153"/>
      <c r="O68" s="153"/>
      <c r="P68" s="153"/>
    </row>
    <row r="69" spans="2:16" x14ac:dyDescent="0.25">
      <c r="B69" t="s">
        <v>649</v>
      </c>
      <c r="C69" t="s">
        <v>400</v>
      </c>
      <c r="D69" s="18">
        <v>42236.439930555556</v>
      </c>
      <c r="E69" t="s">
        <v>191</v>
      </c>
      <c r="F69" s="153">
        <v>0.9180127922041228</v>
      </c>
      <c r="G69" s="153">
        <v>0.83210571584955828</v>
      </c>
      <c r="H69" s="153">
        <v>0.93547950839900618</v>
      </c>
      <c r="I69" s="153">
        <v>3.6902663034210331E-2</v>
      </c>
      <c r="J69" s="153">
        <v>0.94252766933077969</v>
      </c>
      <c r="K69" s="153">
        <v>4.2405723986213673E-2</v>
      </c>
      <c r="L69" s="153"/>
      <c r="M69" s="153"/>
      <c r="N69" s="153"/>
      <c r="O69" s="153"/>
      <c r="P69" s="153"/>
    </row>
    <row r="70" spans="2:16" x14ac:dyDescent="0.25">
      <c r="B70" t="s">
        <v>653</v>
      </c>
      <c r="C70" t="s">
        <v>379</v>
      </c>
      <c r="D70" s="18">
        <v>42236.439930555556</v>
      </c>
      <c r="E70" t="s">
        <v>193</v>
      </c>
      <c r="F70" s="153">
        <v>0.90053841612252272</v>
      </c>
      <c r="G70" s="153">
        <v>0.82313105326876523</v>
      </c>
      <c r="H70" s="153">
        <v>0.8658925122439125</v>
      </c>
      <c r="I70" s="153">
        <v>4.3207438523814402E-2</v>
      </c>
      <c r="J70" s="153">
        <v>0.90125622698722097</v>
      </c>
      <c r="K70" s="153">
        <v>4.6341368632415648E-2</v>
      </c>
      <c r="L70" s="153"/>
      <c r="M70" s="153"/>
      <c r="N70" s="153"/>
      <c r="O70" s="153"/>
      <c r="P70" s="153"/>
    </row>
    <row r="71" spans="2:16" x14ac:dyDescent="0.25">
      <c r="B71" t="s">
        <v>553</v>
      </c>
      <c r="C71" t="s">
        <v>379</v>
      </c>
      <c r="D71" s="18">
        <v>42236.439930555556</v>
      </c>
      <c r="E71" t="s">
        <v>153</v>
      </c>
      <c r="F71" s="153">
        <v>0.94515933903599847</v>
      </c>
      <c r="G71" s="153">
        <v>0.79584413289349665</v>
      </c>
      <c r="H71" s="153">
        <v>0.83248171547567706</v>
      </c>
      <c r="I71" s="153">
        <v>5.2326796219906983E-2</v>
      </c>
      <c r="J71" s="153">
        <v>0.92127833283277349</v>
      </c>
      <c r="K71" s="153">
        <v>4.2473187310051161E-2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3.2" x14ac:dyDescent="0.25"/>
  <cols>
    <col min="2" max="2" width="63.77734375" customWidth="1"/>
    <col min="3" max="3" width="14.6640625" customWidth="1"/>
    <col min="4" max="4" width="12.44140625" customWidth="1"/>
    <col min="6" max="6" width="20.109375" bestFit="1" customWidth="1"/>
    <col min="7" max="7" width="27" bestFit="1" customWidth="1"/>
    <col min="8" max="8" width="20.88671875" bestFit="1" customWidth="1"/>
    <col min="9" max="9" width="12.6640625" bestFit="1" customWidth="1"/>
    <col min="10" max="10" width="20.6640625" bestFit="1" customWidth="1"/>
    <col min="11" max="11" width="12.44140625" bestFit="1" customWidth="1"/>
    <col min="12" max="12" width="24.109375" bestFit="1" customWidth="1"/>
    <col min="13" max="13" width="15.88671875" bestFit="1" customWidth="1"/>
    <col min="14" max="14" width="32.21875" bestFit="1" customWidth="1"/>
    <col min="15" max="15" width="24" bestFit="1" customWidth="1"/>
    <col min="16" max="16" width="34.21875" bestFit="1" customWidth="1"/>
    <col min="17" max="17" width="26" bestFit="1" customWidth="1"/>
    <col min="18" max="18" width="36.88671875" bestFit="1" customWidth="1"/>
    <col min="19" max="19" width="28.5546875" bestFit="1" customWidth="1"/>
    <col min="20" max="20" width="11.33203125" bestFit="1" customWidth="1"/>
    <col min="22" max="22" width="32.88671875" customWidth="1"/>
    <col min="23" max="23" width="27" customWidth="1"/>
    <col min="24" max="24" width="20.88671875" customWidth="1"/>
    <col min="25" max="25" width="12.6640625" customWidth="1"/>
    <col min="26" max="26" width="20.6640625" customWidth="1"/>
    <col min="27" max="27" width="12.44140625" customWidth="1"/>
    <col min="28" max="28" width="24.109375" customWidth="1"/>
    <col min="29" max="29" width="15.88671875" customWidth="1"/>
    <col min="30" max="30" width="32.21875" customWidth="1"/>
    <col min="31" max="31" width="24" customWidth="1"/>
    <col min="32" max="32" width="34.21875" customWidth="1"/>
    <col min="33" max="33" width="26" customWidth="1"/>
    <col min="34" max="34" width="36.88671875" customWidth="1"/>
    <col min="35" max="35" width="28.5546875" customWidth="1"/>
    <col min="36" max="37" width="11.33203125" customWidth="1"/>
    <col min="38" max="38" width="30.44140625" customWidth="1"/>
    <col min="39" max="39" width="27" customWidth="1"/>
    <col min="40" max="40" width="20.88671875" customWidth="1"/>
    <col min="41" max="41" width="12.6640625" customWidth="1"/>
    <col min="42" max="42" width="20.6640625" customWidth="1"/>
    <col min="43" max="43" width="12.44140625" customWidth="1"/>
    <col min="44" max="44" width="24.109375" customWidth="1"/>
    <col min="45" max="45" width="15.88671875" customWidth="1"/>
    <col min="46" max="46" width="32.21875" customWidth="1"/>
    <col min="47" max="47" width="24" customWidth="1"/>
    <col min="48" max="48" width="34.21875" customWidth="1"/>
    <col min="49" max="49" width="26" customWidth="1"/>
    <col min="50" max="50" width="36.88671875" customWidth="1"/>
    <col min="51" max="51" width="28.5546875" customWidth="1"/>
  </cols>
  <sheetData>
    <row r="2" spans="2:51" x14ac:dyDescent="0.25">
      <c r="B2" t="s">
        <v>962</v>
      </c>
      <c r="C2" t="s">
        <v>963</v>
      </c>
      <c r="D2" t="s">
        <v>139</v>
      </c>
      <c r="F2" t="s">
        <v>957</v>
      </c>
      <c r="G2" t="s">
        <v>944</v>
      </c>
      <c r="H2" t="s">
        <v>945</v>
      </c>
      <c r="I2" t="s">
        <v>946</v>
      </c>
      <c r="J2" t="s">
        <v>947</v>
      </c>
      <c r="K2" t="s">
        <v>948</v>
      </c>
      <c r="L2" t="s">
        <v>949</v>
      </c>
      <c r="M2" t="s">
        <v>950</v>
      </c>
      <c r="N2" t="s">
        <v>951</v>
      </c>
      <c r="O2" t="s">
        <v>952</v>
      </c>
      <c r="P2" t="s">
        <v>953</v>
      </c>
      <c r="Q2" t="s">
        <v>954</v>
      </c>
      <c r="R2" t="s">
        <v>955</v>
      </c>
      <c r="S2" t="s">
        <v>956</v>
      </c>
      <c r="V2" t="s">
        <v>958</v>
      </c>
      <c r="W2" t="s">
        <v>944</v>
      </c>
      <c r="X2" t="s">
        <v>945</v>
      </c>
      <c r="Y2" t="s">
        <v>946</v>
      </c>
      <c r="Z2" t="s">
        <v>947</v>
      </c>
      <c r="AA2" t="s">
        <v>948</v>
      </c>
      <c r="AB2" t="s">
        <v>949</v>
      </c>
      <c r="AC2" t="s">
        <v>950</v>
      </c>
      <c r="AD2" t="s">
        <v>951</v>
      </c>
      <c r="AE2" t="s">
        <v>952</v>
      </c>
      <c r="AF2" t="s">
        <v>953</v>
      </c>
      <c r="AG2" t="s">
        <v>954</v>
      </c>
      <c r="AH2" t="s">
        <v>955</v>
      </c>
      <c r="AI2" t="s">
        <v>956</v>
      </c>
      <c r="AL2" t="s">
        <v>959</v>
      </c>
      <c r="AM2" t="s">
        <v>944</v>
      </c>
      <c r="AN2" t="s">
        <v>945</v>
      </c>
      <c r="AO2" t="s">
        <v>946</v>
      </c>
      <c r="AP2" t="s">
        <v>947</v>
      </c>
      <c r="AQ2" t="s">
        <v>948</v>
      </c>
      <c r="AR2" t="s">
        <v>949</v>
      </c>
      <c r="AS2" t="s">
        <v>950</v>
      </c>
      <c r="AT2" t="s">
        <v>951</v>
      </c>
      <c r="AU2" t="s">
        <v>952</v>
      </c>
      <c r="AV2" t="s">
        <v>953</v>
      </c>
      <c r="AW2" t="s">
        <v>954</v>
      </c>
      <c r="AX2" t="s">
        <v>955</v>
      </c>
      <c r="AY2" t="s">
        <v>956</v>
      </c>
    </row>
    <row r="3" spans="2:51" x14ac:dyDescent="0.25">
      <c r="B3" t="s">
        <v>965</v>
      </c>
      <c r="C3">
        <v>379435</v>
      </c>
      <c r="D3">
        <v>406.75345647300003</v>
      </c>
      <c r="F3" t="s">
        <v>8</v>
      </c>
      <c r="G3">
        <v>12503</v>
      </c>
      <c r="P3">
        <v>12503</v>
      </c>
      <c r="Q3">
        <v>185.6176117732</v>
      </c>
      <c r="V3" t="s">
        <v>318</v>
      </c>
      <c r="W3">
        <v>389</v>
      </c>
      <c r="X3">
        <v>248</v>
      </c>
      <c r="Y3">
        <v>377.81451612900003</v>
      </c>
      <c r="Z3">
        <v>28</v>
      </c>
      <c r="AA3">
        <v>549.96428571429999</v>
      </c>
      <c r="AB3">
        <v>80</v>
      </c>
      <c r="AC3">
        <v>506</v>
      </c>
      <c r="AD3">
        <v>34</v>
      </c>
      <c r="AE3">
        <v>671.79411764710005</v>
      </c>
      <c r="AF3">
        <v>26</v>
      </c>
      <c r="AG3">
        <v>218.69230769230001</v>
      </c>
      <c r="AH3">
        <v>1</v>
      </c>
      <c r="AI3">
        <v>47</v>
      </c>
      <c r="AL3" t="s">
        <v>318</v>
      </c>
      <c r="AM3">
        <v>4</v>
      </c>
      <c r="AN3">
        <v>1</v>
      </c>
      <c r="AO3">
        <v>142</v>
      </c>
      <c r="AP3">
        <v>2</v>
      </c>
      <c r="AQ3">
        <v>454</v>
      </c>
      <c r="AR3">
        <v>1</v>
      </c>
      <c r="AS3">
        <v>142</v>
      </c>
      <c r="AT3">
        <v>1</v>
      </c>
      <c r="AU3">
        <v>85</v>
      </c>
      <c r="AV3">
        <v>1</v>
      </c>
      <c r="AW3">
        <v>10</v>
      </c>
    </row>
    <row r="4" spans="2:51" x14ac:dyDescent="0.25">
      <c r="B4" t="s">
        <v>964</v>
      </c>
      <c r="C4">
        <v>36598</v>
      </c>
      <c r="D4">
        <v>406.75345647300003</v>
      </c>
      <c r="F4" t="s">
        <v>8</v>
      </c>
      <c r="G4">
        <v>12503</v>
      </c>
      <c r="P4">
        <v>12503</v>
      </c>
      <c r="Q4">
        <v>185.6176117732</v>
      </c>
      <c r="V4" t="s">
        <v>8</v>
      </c>
      <c r="W4">
        <v>5075</v>
      </c>
      <c r="X4">
        <v>3747</v>
      </c>
      <c r="Y4">
        <v>400.71390445690002</v>
      </c>
      <c r="Z4">
        <v>425</v>
      </c>
      <c r="AA4">
        <v>470.5011764706</v>
      </c>
      <c r="AB4">
        <v>568</v>
      </c>
      <c r="AC4">
        <v>518.47183098590006</v>
      </c>
      <c r="AD4">
        <v>701</v>
      </c>
      <c r="AE4">
        <v>820.03994293870005</v>
      </c>
      <c r="AF4">
        <v>57</v>
      </c>
      <c r="AG4">
        <v>210.649122807</v>
      </c>
      <c r="AH4">
        <v>2</v>
      </c>
      <c r="AI4">
        <v>689</v>
      </c>
      <c r="AL4" t="s">
        <v>8</v>
      </c>
      <c r="AM4">
        <v>37</v>
      </c>
      <c r="AN4">
        <v>28</v>
      </c>
      <c r="AO4">
        <v>232.32142857139999</v>
      </c>
      <c r="AP4">
        <v>12</v>
      </c>
      <c r="AQ4">
        <v>351.5</v>
      </c>
      <c r="AR4">
        <v>9</v>
      </c>
      <c r="AS4">
        <v>142</v>
      </c>
    </row>
    <row r="5" spans="2:51" x14ac:dyDescent="0.25">
      <c r="B5" t="s">
        <v>976</v>
      </c>
      <c r="C5">
        <v>22955</v>
      </c>
      <c r="D5">
        <v>577.70263559140005</v>
      </c>
      <c r="F5" t="s">
        <v>46</v>
      </c>
      <c r="G5">
        <v>512</v>
      </c>
      <c r="H5">
        <v>400</v>
      </c>
      <c r="I5">
        <v>215.9025</v>
      </c>
      <c r="J5">
        <v>40</v>
      </c>
      <c r="K5">
        <v>486.625</v>
      </c>
      <c r="L5">
        <v>86</v>
      </c>
      <c r="M5">
        <v>146.08139534879999</v>
      </c>
      <c r="N5">
        <v>26</v>
      </c>
      <c r="O5">
        <v>217.69230769230001</v>
      </c>
      <c r="V5" t="s">
        <v>8</v>
      </c>
      <c r="W5">
        <v>5464</v>
      </c>
      <c r="X5">
        <v>3995</v>
      </c>
      <c r="Y5">
        <v>399.29236545679998</v>
      </c>
      <c r="Z5">
        <v>453</v>
      </c>
      <c r="AA5">
        <v>475.412803532</v>
      </c>
      <c r="AB5">
        <v>648</v>
      </c>
      <c r="AC5">
        <v>516.93209876540004</v>
      </c>
      <c r="AD5">
        <v>735</v>
      </c>
      <c r="AE5">
        <v>813.18231292519999</v>
      </c>
      <c r="AF5">
        <v>83</v>
      </c>
      <c r="AG5">
        <v>213.1686746988</v>
      </c>
      <c r="AH5">
        <v>3</v>
      </c>
      <c r="AI5">
        <v>475</v>
      </c>
      <c r="AL5" t="s">
        <v>8</v>
      </c>
      <c r="AM5">
        <v>41</v>
      </c>
      <c r="AN5">
        <v>29</v>
      </c>
      <c r="AO5">
        <v>229.2068965517</v>
      </c>
      <c r="AP5">
        <v>14</v>
      </c>
      <c r="AQ5">
        <v>366.14285714290003</v>
      </c>
      <c r="AR5">
        <v>10</v>
      </c>
      <c r="AS5">
        <v>142</v>
      </c>
      <c r="AT5">
        <v>1</v>
      </c>
      <c r="AU5">
        <v>85</v>
      </c>
      <c r="AV5">
        <v>1</v>
      </c>
      <c r="AW5">
        <v>10</v>
      </c>
    </row>
    <row r="6" spans="2:51" x14ac:dyDescent="0.25">
      <c r="B6" t="s">
        <v>249</v>
      </c>
      <c r="C6">
        <v>56502</v>
      </c>
      <c r="D6">
        <v>615.80313971190003</v>
      </c>
      <c r="F6" t="s">
        <v>40</v>
      </c>
      <c r="G6">
        <v>7532</v>
      </c>
      <c r="H6">
        <v>5543</v>
      </c>
      <c r="I6">
        <v>454.43748872449999</v>
      </c>
      <c r="J6">
        <v>304</v>
      </c>
      <c r="K6">
        <v>1062.4901315789</v>
      </c>
      <c r="L6">
        <v>1418</v>
      </c>
      <c r="M6">
        <v>555.37376586740004</v>
      </c>
      <c r="N6">
        <v>546</v>
      </c>
      <c r="O6">
        <v>669.54945054949997</v>
      </c>
      <c r="R6">
        <v>25</v>
      </c>
      <c r="S6">
        <v>510.96</v>
      </c>
      <c r="V6" t="s">
        <v>409</v>
      </c>
      <c r="W6">
        <v>1219</v>
      </c>
      <c r="X6">
        <v>611</v>
      </c>
      <c r="Y6">
        <v>168.21440261870001</v>
      </c>
      <c r="Z6">
        <v>252</v>
      </c>
      <c r="AA6">
        <v>280.72619047619997</v>
      </c>
      <c r="AB6">
        <v>386</v>
      </c>
      <c r="AC6">
        <v>263.15025906739999</v>
      </c>
      <c r="AD6">
        <v>117</v>
      </c>
      <c r="AE6">
        <v>246.74358974360001</v>
      </c>
      <c r="AF6">
        <v>101</v>
      </c>
      <c r="AG6">
        <v>188.78217821780001</v>
      </c>
      <c r="AH6">
        <v>4</v>
      </c>
      <c r="AI6">
        <v>137</v>
      </c>
      <c r="AL6" t="s">
        <v>409</v>
      </c>
      <c r="AM6">
        <v>32</v>
      </c>
      <c r="AN6">
        <v>17</v>
      </c>
      <c r="AO6">
        <v>82.470588235299999</v>
      </c>
      <c r="AP6">
        <v>18</v>
      </c>
      <c r="AQ6">
        <v>248</v>
      </c>
      <c r="AR6">
        <v>13</v>
      </c>
      <c r="AS6">
        <v>242.8461538462</v>
      </c>
      <c r="AT6">
        <v>2</v>
      </c>
      <c r="AU6">
        <v>94.5</v>
      </c>
    </row>
    <row r="7" spans="2:51" x14ac:dyDescent="0.25">
      <c r="B7" t="s">
        <v>248</v>
      </c>
      <c r="C7">
        <v>220675</v>
      </c>
      <c r="D7">
        <v>396.17319587629999</v>
      </c>
      <c r="F7" t="s">
        <v>45</v>
      </c>
      <c r="G7">
        <v>6082</v>
      </c>
      <c r="H7">
        <v>4285</v>
      </c>
      <c r="I7">
        <v>390.26907817969999</v>
      </c>
      <c r="J7">
        <v>585</v>
      </c>
      <c r="K7">
        <v>496.09743589739998</v>
      </c>
      <c r="L7">
        <v>1232</v>
      </c>
      <c r="M7">
        <v>601.58603896099999</v>
      </c>
      <c r="N7">
        <v>561</v>
      </c>
      <c r="O7">
        <v>455.60071301250002</v>
      </c>
      <c r="R7">
        <v>4</v>
      </c>
      <c r="S7">
        <v>750.25</v>
      </c>
      <c r="V7" t="s">
        <v>401</v>
      </c>
      <c r="W7">
        <v>13971</v>
      </c>
      <c r="X7">
        <v>10143</v>
      </c>
      <c r="Y7">
        <v>625.20181405899996</v>
      </c>
      <c r="Z7">
        <v>237</v>
      </c>
      <c r="AA7">
        <v>901.21518987340005</v>
      </c>
      <c r="AB7">
        <v>2730</v>
      </c>
      <c r="AC7">
        <v>1303.0457875458001</v>
      </c>
      <c r="AD7">
        <v>860</v>
      </c>
      <c r="AE7">
        <v>803.20232558140003</v>
      </c>
      <c r="AF7">
        <v>231</v>
      </c>
      <c r="AG7">
        <v>261.56277056279998</v>
      </c>
      <c r="AH7">
        <v>7</v>
      </c>
      <c r="AI7">
        <v>582.71428571429999</v>
      </c>
      <c r="AL7" t="s">
        <v>401</v>
      </c>
      <c r="AM7">
        <v>211</v>
      </c>
      <c r="AN7">
        <v>182</v>
      </c>
      <c r="AO7">
        <v>316.17582417580002</v>
      </c>
      <c r="AP7">
        <v>36</v>
      </c>
      <c r="AQ7">
        <v>758.19444444440001</v>
      </c>
      <c r="AR7">
        <v>27</v>
      </c>
      <c r="AS7">
        <v>105.4074074074</v>
      </c>
      <c r="AT7">
        <v>1</v>
      </c>
      <c r="AU7">
        <v>135</v>
      </c>
      <c r="AV7">
        <v>1</v>
      </c>
      <c r="AW7">
        <v>72</v>
      </c>
    </row>
    <row r="8" spans="2:51" x14ac:dyDescent="0.25">
      <c r="B8" t="s">
        <v>250</v>
      </c>
      <c r="C8">
        <v>23669</v>
      </c>
      <c r="D8">
        <v>523.01989944649995</v>
      </c>
      <c r="F8" t="s">
        <v>53</v>
      </c>
      <c r="G8">
        <v>1394</v>
      </c>
      <c r="H8">
        <v>474</v>
      </c>
      <c r="I8">
        <v>96.462025316500004</v>
      </c>
      <c r="J8">
        <v>332</v>
      </c>
      <c r="K8">
        <v>225.4759036145</v>
      </c>
      <c r="L8">
        <v>677</v>
      </c>
      <c r="M8">
        <v>256.67355982269999</v>
      </c>
      <c r="N8">
        <v>236</v>
      </c>
      <c r="O8">
        <v>229.08898305080001</v>
      </c>
      <c r="R8">
        <v>7</v>
      </c>
      <c r="S8">
        <v>163</v>
      </c>
      <c r="V8" t="s">
        <v>432</v>
      </c>
      <c r="W8">
        <v>1395</v>
      </c>
      <c r="X8">
        <v>944</v>
      </c>
      <c r="Y8">
        <v>242.33262711859999</v>
      </c>
      <c r="Z8">
        <v>260</v>
      </c>
      <c r="AA8">
        <v>428.11923076919999</v>
      </c>
      <c r="AB8">
        <v>147</v>
      </c>
      <c r="AC8">
        <v>269.08163265309997</v>
      </c>
      <c r="AD8">
        <v>190</v>
      </c>
      <c r="AE8">
        <v>372.97894736839999</v>
      </c>
      <c r="AF8">
        <v>113</v>
      </c>
      <c r="AG8">
        <v>164.74336283189999</v>
      </c>
      <c r="AH8">
        <v>1</v>
      </c>
      <c r="AI8">
        <v>31</v>
      </c>
      <c r="AL8" t="s">
        <v>432</v>
      </c>
      <c r="AM8">
        <v>18</v>
      </c>
      <c r="AN8">
        <v>14</v>
      </c>
      <c r="AO8">
        <v>112.7142857143</v>
      </c>
      <c r="AP8">
        <v>18</v>
      </c>
      <c r="AQ8">
        <v>277.7777777778</v>
      </c>
      <c r="AR8">
        <v>3</v>
      </c>
      <c r="AS8">
        <v>400.3333333333</v>
      </c>
      <c r="AT8">
        <v>1</v>
      </c>
      <c r="AU8">
        <v>100</v>
      </c>
    </row>
    <row r="9" spans="2:51" x14ac:dyDescent="0.25">
      <c r="B9" t="s">
        <v>251</v>
      </c>
      <c r="C9">
        <v>12503</v>
      </c>
      <c r="D9">
        <v>185.6176117732</v>
      </c>
      <c r="F9" t="s">
        <v>84</v>
      </c>
      <c r="G9">
        <v>1294</v>
      </c>
      <c r="H9">
        <v>950</v>
      </c>
      <c r="I9">
        <v>237.43894736839999</v>
      </c>
      <c r="J9">
        <v>275</v>
      </c>
      <c r="K9">
        <v>442.61090909090001</v>
      </c>
      <c r="L9">
        <v>142</v>
      </c>
      <c r="M9">
        <v>227.42957746479999</v>
      </c>
      <c r="N9">
        <v>200</v>
      </c>
      <c r="O9">
        <v>358.98500000000001</v>
      </c>
      <c r="R9">
        <v>2</v>
      </c>
      <c r="S9">
        <v>256</v>
      </c>
      <c r="V9" t="s">
        <v>402</v>
      </c>
      <c r="W9">
        <v>8030</v>
      </c>
      <c r="X9">
        <v>6012</v>
      </c>
      <c r="Y9">
        <v>485.30871590150002</v>
      </c>
      <c r="Z9">
        <v>201</v>
      </c>
      <c r="AA9">
        <v>787.27363184080002</v>
      </c>
      <c r="AB9">
        <v>1453</v>
      </c>
      <c r="AC9">
        <v>916.73778389539996</v>
      </c>
      <c r="AD9">
        <v>411</v>
      </c>
      <c r="AE9">
        <v>626.64963503649994</v>
      </c>
      <c r="AF9">
        <v>152</v>
      </c>
      <c r="AG9">
        <v>190.28289473679999</v>
      </c>
      <c r="AH9">
        <v>2</v>
      </c>
      <c r="AI9">
        <v>169.5</v>
      </c>
      <c r="AL9" t="s">
        <v>402</v>
      </c>
      <c r="AM9">
        <v>116</v>
      </c>
      <c r="AN9">
        <v>101</v>
      </c>
      <c r="AO9">
        <v>292.37623762380002</v>
      </c>
      <c r="AP9">
        <v>16</v>
      </c>
      <c r="AQ9">
        <v>403.0625</v>
      </c>
      <c r="AR9">
        <v>14</v>
      </c>
      <c r="AS9">
        <v>325.42857142859998</v>
      </c>
      <c r="AT9">
        <v>1</v>
      </c>
      <c r="AU9">
        <v>79</v>
      </c>
    </row>
    <row r="10" spans="2:51" x14ac:dyDescent="0.25">
      <c r="B10" t="s">
        <v>960</v>
      </c>
      <c r="C10">
        <v>426</v>
      </c>
      <c r="D10">
        <v>437.15492957750001</v>
      </c>
      <c r="F10" t="s">
        <v>79</v>
      </c>
      <c r="G10">
        <v>1721</v>
      </c>
      <c r="H10">
        <v>815</v>
      </c>
      <c r="I10">
        <v>125.28220858900001</v>
      </c>
      <c r="J10">
        <v>520</v>
      </c>
      <c r="K10">
        <v>221.64230769229999</v>
      </c>
      <c r="L10">
        <v>831</v>
      </c>
      <c r="M10">
        <v>306.88567990370001</v>
      </c>
      <c r="N10">
        <v>74</v>
      </c>
      <c r="O10">
        <v>122.43243243240001</v>
      </c>
      <c r="R10">
        <v>1</v>
      </c>
      <c r="S10">
        <v>39</v>
      </c>
      <c r="V10" t="s">
        <v>404</v>
      </c>
      <c r="W10">
        <v>7737</v>
      </c>
      <c r="X10">
        <v>5460</v>
      </c>
      <c r="Y10">
        <v>450.06446886449999</v>
      </c>
      <c r="Z10">
        <v>308</v>
      </c>
      <c r="AA10">
        <v>1032.4870129870001</v>
      </c>
      <c r="AB10">
        <v>1415</v>
      </c>
      <c r="AC10">
        <v>560.26713780919999</v>
      </c>
      <c r="AD10">
        <v>543</v>
      </c>
      <c r="AE10">
        <v>662.71454880290003</v>
      </c>
      <c r="AF10">
        <v>294</v>
      </c>
      <c r="AG10">
        <v>217.45238095240001</v>
      </c>
      <c r="AH10">
        <v>25</v>
      </c>
      <c r="AI10">
        <v>510.96</v>
      </c>
      <c r="AL10" t="s">
        <v>404</v>
      </c>
      <c r="AM10">
        <v>301</v>
      </c>
      <c r="AN10">
        <v>222</v>
      </c>
      <c r="AO10">
        <v>315.80630630629997</v>
      </c>
      <c r="AP10">
        <v>40</v>
      </c>
      <c r="AQ10">
        <v>604.77499999999998</v>
      </c>
      <c r="AR10">
        <v>70</v>
      </c>
      <c r="AS10">
        <v>439.32857142860001</v>
      </c>
      <c r="AT10">
        <v>7</v>
      </c>
      <c r="AU10">
        <v>78</v>
      </c>
      <c r="AV10">
        <v>2</v>
      </c>
      <c r="AW10">
        <v>262</v>
      </c>
    </row>
    <row r="11" spans="2:51" x14ac:dyDescent="0.25">
      <c r="F11" t="s">
        <v>41</v>
      </c>
      <c r="G11">
        <v>13887</v>
      </c>
      <c r="H11">
        <v>10261</v>
      </c>
      <c r="I11">
        <v>630.42179124840004</v>
      </c>
      <c r="J11">
        <v>227</v>
      </c>
      <c r="K11">
        <v>972.68281938329994</v>
      </c>
      <c r="L11">
        <v>2775</v>
      </c>
      <c r="M11">
        <v>1314.3596396395999</v>
      </c>
      <c r="N11">
        <v>845</v>
      </c>
      <c r="O11">
        <v>819.82603550299996</v>
      </c>
      <c r="R11">
        <v>6</v>
      </c>
      <c r="S11">
        <v>656.16666666670005</v>
      </c>
      <c r="V11" t="s">
        <v>405</v>
      </c>
      <c r="W11">
        <v>6379</v>
      </c>
      <c r="X11">
        <v>4222</v>
      </c>
      <c r="Y11">
        <v>393.85386072950001</v>
      </c>
      <c r="Z11">
        <v>572</v>
      </c>
      <c r="AA11">
        <v>502.61013986009999</v>
      </c>
      <c r="AB11">
        <v>1241</v>
      </c>
      <c r="AC11">
        <v>610.2248186946</v>
      </c>
      <c r="AD11">
        <v>554</v>
      </c>
      <c r="AE11">
        <v>466.77436823099998</v>
      </c>
      <c r="AF11">
        <v>357</v>
      </c>
      <c r="AG11">
        <v>173.07002801120001</v>
      </c>
      <c r="AH11">
        <v>5</v>
      </c>
      <c r="AI11">
        <v>620.79999999999995</v>
      </c>
      <c r="AL11" t="s">
        <v>405</v>
      </c>
      <c r="AM11">
        <v>209</v>
      </c>
      <c r="AN11">
        <v>186</v>
      </c>
      <c r="AO11">
        <v>271.89247311830002</v>
      </c>
      <c r="AP11">
        <v>32</v>
      </c>
      <c r="AQ11">
        <v>520.75</v>
      </c>
      <c r="AR11">
        <v>18</v>
      </c>
      <c r="AS11">
        <v>350.94444444440001</v>
      </c>
      <c r="AT11">
        <v>3</v>
      </c>
      <c r="AU11">
        <v>527</v>
      </c>
      <c r="AV11">
        <v>2</v>
      </c>
      <c r="AW11">
        <v>67.5</v>
      </c>
    </row>
    <row r="12" spans="2:51" x14ac:dyDescent="0.25">
      <c r="F12" t="s">
        <v>59</v>
      </c>
      <c r="G12">
        <v>3035</v>
      </c>
      <c r="H12">
        <v>2500</v>
      </c>
      <c r="I12">
        <v>283.64679999999998</v>
      </c>
      <c r="J12">
        <v>231</v>
      </c>
      <c r="K12">
        <v>577.60606060609996</v>
      </c>
      <c r="L12">
        <v>482</v>
      </c>
      <c r="M12">
        <v>306.70124481329998</v>
      </c>
      <c r="N12">
        <v>53</v>
      </c>
      <c r="O12">
        <v>143.54716981129999</v>
      </c>
      <c r="V12" t="s">
        <v>407</v>
      </c>
      <c r="W12">
        <v>6791</v>
      </c>
      <c r="X12">
        <v>5461</v>
      </c>
      <c r="Y12">
        <v>287.00421168280002</v>
      </c>
      <c r="Z12">
        <v>509</v>
      </c>
      <c r="AA12">
        <v>540.03143418469995</v>
      </c>
      <c r="AB12">
        <v>460</v>
      </c>
      <c r="AC12">
        <v>225.2</v>
      </c>
      <c r="AD12">
        <v>494</v>
      </c>
      <c r="AE12">
        <v>349.60728744940002</v>
      </c>
      <c r="AF12">
        <v>365</v>
      </c>
      <c r="AG12">
        <v>175.60273972600001</v>
      </c>
      <c r="AH12">
        <v>11</v>
      </c>
      <c r="AI12">
        <v>285.8181818182</v>
      </c>
      <c r="AL12" t="s">
        <v>407</v>
      </c>
      <c r="AM12">
        <v>166</v>
      </c>
      <c r="AN12">
        <v>141</v>
      </c>
      <c r="AO12">
        <v>296</v>
      </c>
      <c r="AP12">
        <v>26</v>
      </c>
      <c r="AQ12">
        <v>474.76923076920002</v>
      </c>
      <c r="AR12">
        <v>24</v>
      </c>
      <c r="AS12">
        <v>283.75</v>
      </c>
      <c r="AT12">
        <v>1</v>
      </c>
      <c r="AU12">
        <v>122</v>
      </c>
    </row>
    <row r="13" spans="2:51" x14ac:dyDescent="0.25">
      <c r="F13" t="s">
        <v>78</v>
      </c>
      <c r="G13">
        <v>6310</v>
      </c>
      <c r="H13">
        <v>5382</v>
      </c>
      <c r="I13">
        <v>282.1822742475</v>
      </c>
      <c r="J13">
        <v>486</v>
      </c>
      <c r="K13">
        <v>537.65843621399995</v>
      </c>
      <c r="L13">
        <v>437</v>
      </c>
      <c r="M13">
        <v>196.51716247140001</v>
      </c>
      <c r="N13">
        <v>483</v>
      </c>
      <c r="O13">
        <v>352.54658385089999</v>
      </c>
      <c r="R13">
        <v>8</v>
      </c>
      <c r="S13">
        <v>343.625</v>
      </c>
      <c r="V13" t="s">
        <v>410</v>
      </c>
      <c r="W13">
        <v>1570</v>
      </c>
      <c r="X13">
        <v>495</v>
      </c>
      <c r="Y13">
        <v>115.7616161616</v>
      </c>
      <c r="Z13">
        <v>324</v>
      </c>
      <c r="AA13">
        <v>224.66975308639999</v>
      </c>
      <c r="AB13">
        <v>668</v>
      </c>
      <c r="AC13">
        <v>258.07934131740001</v>
      </c>
      <c r="AD13">
        <v>232</v>
      </c>
      <c r="AE13">
        <v>231.025862069</v>
      </c>
      <c r="AF13">
        <v>169</v>
      </c>
      <c r="AG13">
        <v>196.05325443789999</v>
      </c>
      <c r="AH13">
        <v>6</v>
      </c>
      <c r="AI13">
        <v>225.8333333333</v>
      </c>
      <c r="AL13" t="s">
        <v>410</v>
      </c>
      <c r="AM13">
        <v>24</v>
      </c>
      <c r="AN13">
        <v>16</v>
      </c>
      <c r="AO13">
        <v>153.5625</v>
      </c>
      <c r="AP13">
        <v>10</v>
      </c>
      <c r="AQ13">
        <v>216.6</v>
      </c>
      <c r="AR13">
        <v>6</v>
      </c>
      <c r="AS13">
        <v>97.666666666699996</v>
      </c>
      <c r="AT13">
        <v>2</v>
      </c>
      <c r="AU13">
        <v>314</v>
      </c>
    </row>
    <row r="14" spans="2:51" x14ac:dyDescent="0.25">
      <c r="F14" t="s">
        <v>44</v>
      </c>
      <c r="G14">
        <v>1103</v>
      </c>
      <c r="H14">
        <v>595</v>
      </c>
      <c r="I14">
        <v>149.93109243699999</v>
      </c>
      <c r="J14">
        <v>256</v>
      </c>
      <c r="K14">
        <v>283.35546875</v>
      </c>
      <c r="L14">
        <v>385</v>
      </c>
      <c r="M14">
        <v>261.17402597400002</v>
      </c>
      <c r="N14">
        <v>120</v>
      </c>
      <c r="O14">
        <v>251.6833333333</v>
      </c>
      <c r="R14">
        <v>3</v>
      </c>
      <c r="S14">
        <v>130</v>
      </c>
      <c r="V14" t="s">
        <v>411</v>
      </c>
      <c r="W14">
        <v>2174</v>
      </c>
      <c r="X14">
        <v>992</v>
      </c>
      <c r="Y14">
        <v>156.97681451610001</v>
      </c>
      <c r="Z14">
        <v>546</v>
      </c>
      <c r="AA14">
        <v>238.0183150183</v>
      </c>
      <c r="AB14">
        <v>873</v>
      </c>
      <c r="AC14">
        <v>320.59106529209998</v>
      </c>
      <c r="AD14">
        <v>89</v>
      </c>
      <c r="AE14">
        <v>184.4719101124</v>
      </c>
      <c r="AF14">
        <v>220</v>
      </c>
      <c r="AG14">
        <v>169.0227272727</v>
      </c>
      <c r="AL14" t="s">
        <v>411</v>
      </c>
      <c r="AM14">
        <v>32</v>
      </c>
      <c r="AN14">
        <v>21</v>
      </c>
      <c r="AO14">
        <v>77.809523809500007</v>
      </c>
      <c r="AP14">
        <v>21</v>
      </c>
      <c r="AQ14">
        <v>210.71428571429999</v>
      </c>
      <c r="AR14">
        <v>6</v>
      </c>
      <c r="AS14">
        <v>31.833333333300001</v>
      </c>
      <c r="AT14">
        <v>5</v>
      </c>
      <c r="AU14">
        <v>143</v>
      </c>
    </row>
    <row r="15" spans="2:51" x14ac:dyDescent="0.25">
      <c r="F15" t="s">
        <v>77</v>
      </c>
      <c r="G15">
        <v>225</v>
      </c>
      <c r="H15">
        <v>94</v>
      </c>
      <c r="I15">
        <v>89.840425531899996</v>
      </c>
      <c r="J15">
        <v>103</v>
      </c>
      <c r="K15">
        <v>170.91262135919999</v>
      </c>
      <c r="L15">
        <v>78</v>
      </c>
      <c r="M15">
        <v>206.42307692310001</v>
      </c>
      <c r="N15">
        <v>52</v>
      </c>
      <c r="O15">
        <v>232.80769230769999</v>
      </c>
      <c r="R15">
        <v>1</v>
      </c>
      <c r="S15">
        <v>339</v>
      </c>
      <c r="V15" t="s">
        <v>406</v>
      </c>
      <c r="W15">
        <v>3200</v>
      </c>
      <c r="X15">
        <v>2522</v>
      </c>
      <c r="Y15">
        <v>291.57097541629997</v>
      </c>
      <c r="Z15">
        <v>237</v>
      </c>
      <c r="AA15">
        <v>562.90295358649996</v>
      </c>
      <c r="AB15">
        <v>476</v>
      </c>
      <c r="AC15">
        <v>312.10714285709997</v>
      </c>
      <c r="AD15">
        <v>71</v>
      </c>
      <c r="AE15">
        <v>201.7323943662</v>
      </c>
      <c r="AF15">
        <v>130</v>
      </c>
      <c r="AG15">
        <v>126.9307692308</v>
      </c>
      <c r="AH15">
        <v>1</v>
      </c>
      <c r="AI15">
        <v>39</v>
      </c>
      <c r="AL15" t="s">
        <v>406</v>
      </c>
      <c r="AM15">
        <v>79</v>
      </c>
      <c r="AN15">
        <v>59</v>
      </c>
      <c r="AO15">
        <v>224.186440678</v>
      </c>
      <c r="AP15">
        <v>7</v>
      </c>
      <c r="AQ15">
        <v>305</v>
      </c>
      <c r="AR15">
        <v>16</v>
      </c>
      <c r="AS15">
        <v>217.4375</v>
      </c>
      <c r="AT15">
        <v>4</v>
      </c>
      <c r="AU15">
        <v>119.25</v>
      </c>
    </row>
    <row r="16" spans="2:51" x14ac:dyDescent="0.25">
      <c r="F16" t="s">
        <v>51</v>
      </c>
      <c r="G16">
        <v>8127</v>
      </c>
      <c r="H16">
        <v>6249</v>
      </c>
      <c r="I16">
        <v>485.58185309650003</v>
      </c>
      <c r="J16">
        <v>196</v>
      </c>
      <c r="K16">
        <v>796.10714285710003</v>
      </c>
      <c r="L16">
        <v>1479</v>
      </c>
      <c r="M16">
        <v>919.81541582149998</v>
      </c>
      <c r="N16">
        <v>397</v>
      </c>
      <c r="O16">
        <v>639.70277078089998</v>
      </c>
      <c r="R16">
        <v>2</v>
      </c>
      <c r="S16">
        <v>169.5</v>
      </c>
      <c r="V16" t="s">
        <v>429</v>
      </c>
      <c r="W16">
        <v>400</v>
      </c>
      <c r="X16">
        <v>292</v>
      </c>
      <c r="Y16">
        <v>230.1061643836</v>
      </c>
      <c r="Z16">
        <v>26</v>
      </c>
      <c r="AA16">
        <v>483.15384615379998</v>
      </c>
      <c r="AB16">
        <v>67</v>
      </c>
      <c r="AC16">
        <v>201.20895522390001</v>
      </c>
      <c r="AD16">
        <v>15</v>
      </c>
      <c r="AE16">
        <v>205.8</v>
      </c>
      <c r="AF16">
        <v>26</v>
      </c>
      <c r="AG16">
        <v>142.42307692310001</v>
      </c>
      <c r="AL16" t="s">
        <v>429</v>
      </c>
      <c r="AM16">
        <v>5</v>
      </c>
      <c r="AN16">
        <v>3</v>
      </c>
      <c r="AO16">
        <v>46</v>
      </c>
      <c r="AP16">
        <v>3</v>
      </c>
      <c r="AQ16">
        <v>322.6666666667</v>
      </c>
      <c r="AR16">
        <v>1</v>
      </c>
      <c r="AS16">
        <v>25</v>
      </c>
      <c r="AT16">
        <v>1</v>
      </c>
      <c r="AU16">
        <v>114</v>
      </c>
    </row>
    <row r="17" spans="6:49" x14ac:dyDescent="0.25">
      <c r="F17" t="s">
        <v>400</v>
      </c>
      <c r="G17">
        <v>51222</v>
      </c>
      <c r="H17">
        <v>37548</v>
      </c>
      <c r="I17">
        <v>438.8953073399</v>
      </c>
      <c r="J17">
        <v>3555</v>
      </c>
      <c r="K17">
        <v>508.07791842479998</v>
      </c>
      <c r="L17">
        <v>10022</v>
      </c>
      <c r="M17">
        <v>734.42805827179996</v>
      </c>
      <c r="N17">
        <v>3593</v>
      </c>
      <c r="O17">
        <v>536.78235457829999</v>
      </c>
      <c r="R17">
        <v>59</v>
      </c>
      <c r="S17">
        <v>427.47457627120002</v>
      </c>
      <c r="V17" t="s">
        <v>430</v>
      </c>
      <c r="W17">
        <v>194</v>
      </c>
      <c r="X17">
        <v>43</v>
      </c>
      <c r="Y17">
        <v>316.37209302330001</v>
      </c>
      <c r="Z17">
        <v>20</v>
      </c>
      <c r="AA17">
        <v>289.05</v>
      </c>
      <c r="AB17">
        <v>49</v>
      </c>
      <c r="AC17">
        <v>347.55102040819997</v>
      </c>
      <c r="AD17">
        <v>48</v>
      </c>
      <c r="AE17">
        <v>234.4791666667</v>
      </c>
      <c r="AF17">
        <v>53</v>
      </c>
      <c r="AG17">
        <v>181.83018867920001</v>
      </c>
      <c r="AH17">
        <v>1</v>
      </c>
      <c r="AI17">
        <v>339</v>
      </c>
      <c r="AL17" t="s">
        <v>430</v>
      </c>
      <c r="AM17">
        <v>7</v>
      </c>
      <c r="AN17">
        <v>5</v>
      </c>
      <c r="AO17">
        <v>137.19999999999999</v>
      </c>
      <c r="AP17">
        <v>8</v>
      </c>
      <c r="AQ17">
        <v>193.375</v>
      </c>
      <c r="AR17">
        <v>2</v>
      </c>
      <c r="AS17">
        <v>116</v>
      </c>
    </row>
    <row r="18" spans="6:49" x14ac:dyDescent="0.25">
      <c r="F18" t="s">
        <v>71</v>
      </c>
      <c r="G18">
        <v>2751</v>
      </c>
      <c r="H18">
        <v>2203</v>
      </c>
      <c r="I18">
        <v>259.90603722200001</v>
      </c>
      <c r="J18">
        <v>173</v>
      </c>
      <c r="K18">
        <v>650.96531791910002</v>
      </c>
      <c r="L18">
        <v>325</v>
      </c>
      <c r="M18">
        <v>272.49230769230002</v>
      </c>
      <c r="N18">
        <v>220</v>
      </c>
      <c r="O18">
        <v>494.55</v>
      </c>
      <c r="R18">
        <v>3</v>
      </c>
      <c r="S18">
        <v>859.66666666670005</v>
      </c>
      <c r="V18" t="s">
        <v>400</v>
      </c>
      <c r="W18">
        <v>53060</v>
      </c>
      <c r="X18">
        <v>37197</v>
      </c>
      <c r="Y18">
        <v>438.40449498620001</v>
      </c>
      <c r="Z18">
        <v>3492</v>
      </c>
      <c r="AA18">
        <v>512.24541809849995</v>
      </c>
      <c r="AB18">
        <v>9965</v>
      </c>
      <c r="AC18">
        <v>734.1166081284</v>
      </c>
      <c r="AD18">
        <v>3624</v>
      </c>
      <c r="AE18">
        <v>534.733995585</v>
      </c>
      <c r="AF18">
        <v>2211</v>
      </c>
      <c r="AG18">
        <v>188.60153776569999</v>
      </c>
      <c r="AH18">
        <v>63</v>
      </c>
      <c r="AI18">
        <v>408.76190476189998</v>
      </c>
      <c r="AL18" t="s">
        <v>400</v>
      </c>
      <c r="AM18">
        <v>1200</v>
      </c>
      <c r="AN18">
        <v>967</v>
      </c>
      <c r="AO18">
        <v>279.84798345399997</v>
      </c>
      <c r="AP18">
        <v>235</v>
      </c>
      <c r="AQ18">
        <v>458.0765957447</v>
      </c>
      <c r="AR18">
        <v>200</v>
      </c>
      <c r="AS18">
        <v>300.76499999999999</v>
      </c>
      <c r="AT18">
        <v>28</v>
      </c>
      <c r="AU18">
        <v>167.3571428571</v>
      </c>
      <c r="AV18">
        <v>5</v>
      </c>
      <c r="AW18">
        <v>146.19999999999999</v>
      </c>
    </row>
    <row r="19" spans="6:49" x14ac:dyDescent="0.25">
      <c r="F19" t="s">
        <v>37</v>
      </c>
      <c r="G19">
        <v>934</v>
      </c>
      <c r="H19">
        <v>561</v>
      </c>
      <c r="I19">
        <v>247.62923351160001</v>
      </c>
      <c r="J19">
        <v>99</v>
      </c>
      <c r="K19">
        <v>461.74747474750001</v>
      </c>
      <c r="L19">
        <v>194</v>
      </c>
      <c r="M19">
        <v>217.1804123711</v>
      </c>
      <c r="N19">
        <v>175</v>
      </c>
      <c r="O19">
        <v>535.16</v>
      </c>
      <c r="R19">
        <v>4</v>
      </c>
      <c r="S19">
        <v>331</v>
      </c>
      <c r="V19" t="s">
        <v>418</v>
      </c>
      <c r="W19">
        <v>1010</v>
      </c>
      <c r="X19">
        <v>585</v>
      </c>
      <c r="Y19">
        <v>263.22051282050001</v>
      </c>
      <c r="Z19">
        <v>105</v>
      </c>
      <c r="AA19">
        <v>475.55238095239997</v>
      </c>
      <c r="AB19">
        <v>193</v>
      </c>
      <c r="AC19">
        <v>227.17616580309999</v>
      </c>
      <c r="AD19">
        <v>164</v>
      </c>
      <c r="AE19">
        <v>533.53658536590001</v>
      </c>
      <c r="AF19">
        <v>65</v>
      </c>
      <c r="AG19">
        <v>197.90769230769999</v>
      </c>
      <c r="AH19">
        <v>3</v>
      </c>
      <c r="AI19">
        <v>398.6666666667</v>
      </c>
      <c r="AL19" t="s">
        <v>418</v>
      </c>
      <c r="AM19">
        <v>7</v>
      </c>
      <c r="AN19">
        <v>5</v>
      </c>
      <c r="AO19">
        <v>135.6</v>
      </c>
      <c r="AP19">
        <v>11</v>
      </c>
      <c r="AQ19">
        <v>202.1818181818</v>
      </c>
      <c r="AR19">
        <v>2</v>
      </c>
      <c r="AS19">
        <v>62.5</v>
      </c>
    </row>
    <row r="20" spans="6:49" x14ac:dyDescent="0.25">
      <c r="F20" t="s">
        <v>58</v>
      </c>
      <c r="G20">
        <v>1060</v>
      </c>
      <c r="H20">
        <v>452</v>
      </c>
      <c r="I20">
        <v>177.5442477876</v>
      </c>
      <c r="J20">
        <v>175</v>
      </c>
      <c r="K20">
        <v>339.70285714289997</v>
      </c>
      <c r="L20">
        <v>254</v>
      </c>
      <c r="M20">
        <v>316.07086614169998</v>
      </c>
      <c r="N20">
        <v>351</v>
      </c>
      <c r="O20">
        <v>541.41025641030001</v>
      </c>
      <c r="R20">
        <v>3</v>
      </c>
      <c r="S20">
        <v>470</v>
      </c>
      <c r="V20" t="s">
        <v>434</v>
      </c>
      <c r="W20">
        <v>312</v>
      </c>
      <c r="X20">
        <v>181</v>
      </c>
      <c r="Y20">
        <v>199.81767955800001</v>
      </c>
      <c r="Z20">
        <v>126</v>
      </c>
      <c r="AA20">
        <v>283.84920634920002</v>
      </c>
      <c r="AB20">
        <v>41</v>
      </c>
      <c r="AC20">
        <v>303.0487804878</v>
      </c>
      <c r="AD20">
        <v>51</v>
      </c>
      <c r="AE20">
        <v>553.1960784314</v>
      </c>
      <c r="AF20">
        <v>37</v>
      </c>
      <c r="AG20">
        <v>115.1081081081</v>
      </c>
      <c r="AH20">
        <v>2</v>
      </c>
      <c r="AI20">
        <v>397</v>
      </c>
      <c r="AL20" t="s">
        <v>434</v>
      </c>
      <c r="AM20">
        <v>5</v>
      </c>
      <c r="AN20">
        <v>5</v>
      </c>
      <c r="AO20">
        <v>161.80000000000001</v>
      </c>
      <c r="AP20">
        <v>1</v>
      </c>
      <c r="AQ20">
        <v>323</v>
      </c>
    </row>
    <row r="21" spans="6:49" x14ac:dyDescent="0.25">
      <c r="F21" t="s">
        <v>65</v>
      </c>
      <c r="G21">
        <v>8755</v>
      </c>
      <c r="H21">
        <v>6957</v>
      </c>
      <c r="I21">
        <v>389.18973695559998</v>
      </c>
      <c r="J21">
        <v>548</v>
      </c>
      <c r="K21">
        <v>735.2354014599</v>
      </c>
      <c r="L21">
        <v>1394</v>
      </c>
      <c r="M21">
        <v>709.34361549499999</v>
      </c>
      <c r="N21">
        <v>392</v>
      </c>
      <c r="O21">
        <v>640.42346938779997</v>
      </c>
      <c r="R21">
        <v>12</v>
      </c>
      <c r="S21">
        <v>550.83333333329995</v>
      </c>
      <c r="V21" t="s">
        <v>438</v>
      </c>
      <c r="W21">
        <v>1034</v>
      </c>
      <c r="X21">
        <v>786</v>
      </c>
      <c r="Y21">
        <v>294.71119592880001</v>
      </c>
      <c r="Z21">
        <v>75</v>
      </c>
      <c r="AA21">
        <v>588.26666666669996</v>
      </c>
      <c r="AB21">
        <v>141</v>
      </c>
      <c r="AC21">
        <v>350.70212765960002</v>
      </c>
      <c r="AD21">
        <v>52</v>
      </c>
      <c r="AE21">
        <v>501.67307692309998</v>
      </c>
      <c r="AF21">
        <v>52</v>
      </c>
      <c r="AG21">
        <v>154.07692307689999</v>
      </c>
      <c r="AH21">
        <v>3</v>
      </c>
      <c r="AI21">
        <v>230.6666666667</v>
      </c>
      <c r="AL21" t="s">
        <v>438</v>
      </c>
      <c r="AM21">
        <v>12</v>
      </c>
      <c r="AN21">
        <v>9</v>
      </c>
      <c r="AO21">
        <v>117.55555555559999</v>
      </c>
      <c r="AP21">
        <v>2</v>
      </c>
      <c r="AQ21">
        <v>270.5</v>
      </c>
      <c r="AR21">
        <v>2</v>
      </c>
      <c r="AS21">
        <v>279.5</v>
      </c>
      <c r="AT21">
        <v>1</v>
      </c>
      <c r="AU21">
        <v>116</v>
      </c>
    </row>
    <row r="22" spans="6:49" x14ac:dyDescent="0.25">
      <c r="F22" t="s">
        <v>67</v>
      </c>
      <c r="G22">
        <v>7052</v>
      </c>
      <c r="H22">
        <v>5009</v>
      </c>
      <c r="I22">
        <v>341.62208025550001</v>
      </c>
      <c r="J22">
        <v>425</v>
      </c>
      <c r="K22">
        <v>700.77176470589995</v>
      </c>
      <c r="L22">
        <v>1701</v>
      </c>
      <c r="M22">
        <v>712.67372134039999</v>
      </c>
      <c r="N22">
        <v>323</v>
      </c>
      <c r="O22">
        <v>610.06191950460004</v>
      </c>
      <c r="R22">
        <v>19</v>
      </c>
      <c r="S22">
        <v>528.89473684209997</v>
      </c>
      <c r="V22" t="s">
        <v>423</v>
      </c>
      <c r="W22">
        <v>2850</v>
      </c>
      <c r="X22">
        <v>2167</v>
      </c>
      <c r="Y22">
        <v>265.16151361329997</v>
      </c>
      <c r="Z22">
        <v>167</v>
      </c>
      <c r="AA22">
        <v>622.78443113770004</v>
      </c>
      <c r="AB22">
        <v>334</v>
      </c>
      <c r="AC22">
        <v>306.00598802399998</v>
      </c>
      <c r="AD22">
        <v>222</v>
      </c>
      <c r="AE22">
        <v>477.13963963959998</v>
      </c>
      <c r="AF22">
        <v>124</v>
      </c>
      <c r="AG22">
        <v>220.45967741940001</v>
      </c>
      <c r="AH22">
        <v>3</v>
      </c>
      <c r="AI22">
        <v>859.66666666670005</v>
      </c>
      <c r="AL22" t="s">
        <v>423</v>
      </c>
      <c r="AM22">
        <v>40</v>
      </c>
      <c r="AN22">
        <v>24</v>
      </c>
      <c r="AO22">
        <v>146</v>
      </c>
      <c r="AP22">
        <v>24</v>
      </c>
      <c r="AQ22">
        <v>277.75</v>
      </c>
      <c r="AR22">
        <v>10</v>
      </c>
      <c r="AS22">
        <v>213.4</v>
      </c>
      <c r="AT22">
        <v>5</v>
      </c>
      <c r="AU22">
        <v>154.19999999999999</v>
      </c>
      <c r="AV22">
        <v>1</v>
      </c>
      <c r="AW22">
        <v>38</v>
      </c>
    </row>
    <row r="23" spans="6:49" x14ac:dyDescent="0.25">
      <c r="F23" t="s">
        <v>76</v>
      </c>
      <c r="G23">
        <v>4683</v>
      </c>
      <c r="H23">
        <v>3665</v>
      </c>
      <c r="I23">
        <v>265.93860845839998</v>
      </c>
      <c r="J23">
        <v>372</v>
      </c>
      <c r="K23">
        <v>571.29032258059999</v>
      </c>
      <c r="L23">
        <v>768</v>
      </c>
      <c r="M23">
        <v>419.9947916667</v>
      </c>
      <c r="N23">
        <v>244</v>
      </c>
      <c r="O23">
        <v>527.13934426230003</v>
      </c>
      <c r="R23">
        <v>6</v>
      </c>
      <c r="S23">
        <v>389</v>
      </c>
      <c r="V23" t="s">
        <v>419</v>
      </c>
      <c r="W23">
        <v>5491</v>
      </c>
      <c r="X23">
        <v>3600</v>
      </c>
      <c r="Y23">
        <v>365.97611111110001</v>
      </c>
      <c r="Z23">
        <v>284</v>
      </c>
      <c r="AA23">
        <v>629.01760563380003</v>
      </c>
      <c r="AB23">
        <v>1532</v>
      </c>
      <c r="AC23">
        <v>530.21605744129999</v>
      </c>
      <c r="AD23">
        <v>208</v>
      </c>
      <c r="AE23">
        <v>480.26923076920002</v>
      </c>
      <c r="AF23">
        <v>145</v>
      </c>
      <c r="AG23">
        <v>173.53793103449999</v>
      </c>
      <c r="AH23">
        <v>6</v>
      </c>
      <c r="AI23">
        <v>304</v>
      </c>
      <c r="AL23" t="s">
        <v>419</v>
      </c>
      <c r="AM23">
        <v>38</v>
      </c>
      <c r="AN23">
        <v>23</v>
      </c>
      <c r="AO23">
        <v>97.260869565199997</v>
      </c>
      <c r="AP23">
        <v>28</v>
      </c>
      <c r="AQ23">
        <v>283.21428571429999</v>
      </c>
      <c r="AR23">
        <v>14</v>
      </c>
      <c r="AS23">
        <v>201.78571428570001</v>
      </c>
      <c r="AV23">
        <v>1</v>
      </c>
      <c r="AW23">
        <v>4</v>
      </c>
    </row>
    <row r="24" spans="6:49" x14ac:dyDescent="0.25">
      <c r="F24" t="s">
        <v>48</v>
      </c>
      <c r="G24">
        <v>1244</v>
      </c>
      <c r="H24">
        <v>973</v>
      </c>
      <c r="I24">
        <v>292.9979445015</v>
      </c>
      <c r="J24">
        <v>94</v>
      </c>
      <c r="K24">
        <v>585.6595744681</v>
      </c>
      <c r="L24">
        <v>203</v>
      </c>
      <c r="M24">
        <v>412.28571428570001</v>
      </c>
      <c r="N24">
        <v>64</v>
      </c>
      <c r="O24">
        <v>522.609375</v>
      </c>
      <c r="R24">
        <v>4</v>
      </c>
      <c r="S24">
        <v>184.75</v>
      </c>
      <c r="V24" t="s">
        <v>436</v>
      </c>
      <c r="W24">
        <v>7127</v>
      </c>
      <c r="X24">
        <v>4985</v>
      </c>
      <c r="Y24">
        <v>343.33681043130002</v>
      </c>
      <c r="Z24">
        <v>419</v>
      </c>
      <c r="AA24">
        <v>688.66109785200001</v>
      </c>
      <c r="AB24">
        <v>1642</v>
      </c>
      <c r="AC24">
        <v>690.84104750300003</v>
      </c>
      <c r="AD24">
        <v>326</v>
      </c>
      <c r="AE24">
        <v>597.14417177910002</v>
      </c>
      <c r="AF24">
        <v>154</v>
      </c>
      <c r="AG24">
        <v>232.2337662338</v>
      </c>
      <c r="AH24">
        <v>20</v>
      </c>
      <c r="AI24">
        <v>533.35</v>
      </c>
      <c r="AL24" t="s">
        <v>436</v>
      </c>
      <c r="AM24">
        <v>58</v>
      </c>
      <c r="AN24">
        <v>44</v>
      </c>
      <c r="AO24">
        <v>127.6818181818</v>
      </c>
      <c r="AP24">
        <v>39</v>
      </c>
      <c r="AQ24">
        <v>226.1794871795</v>
      </c>
      <c r="AR24">
        <v>11</v>
      </c>
      <c r="AS24">
        <v>220.2727272727</v>
      </c>
      <c r="AT24">
        <v>2</v>
      </c>
      <c r="AU24">
        <v>77</v>
      </c>
      <c r="AV24">
        <v>1</v>
      </c>
      <c r="AW24">
        <v>33</v>
      </c>
    </row>
    <row r="25" spans="6:49" x14ac:dyDescent="0.25">
      <c r="F25" t="s">
        <v>69</v>
      </c>
      <c r="G25">
        <v>5424</v>
      </c>
      <c r="H25">
        <v>3642</v>
      </c>
      <c r="I25">
        <v>369.40691927509999</v>
      </c>
      <c r="J25">
        <v>287</v>
      </c>
      <c r="K25">
        <v>630.41114982579995</v>
      </c>
      <c r="L25">
        <v>1573</v>
      </c>
      <c r="M25">
        <v>538.22695486329997</v>
      </c>
      <c r="N25">
        <v>202</v>
      </c>
      <c r="O25">
        <v>486.14851485150001</v>
      </c>
      <c r="R25">
        <v>7</v>
      </c>
      <c r="S25">
        <v>311.28571428570001</v>
      </c>
      <c r="V25" t="s">
        <v>417</v>
      </c>
      <c r="W25">
        <v>18113</v>
      </c>
      <c r="X25">
        <v>13812</v>
      </c>
      <c r="Y25">
        <v>332.41268462210002</v>
      </c>
      <c r="Z25">
        <v>1902</v>
      </c>
      <c r="AA25">
        <v>533.68086225030004</v>
      </c>
      <c r="AB25">
        <v>2743</v>
      </c>
      <c r="AC25">
        <v>487.73933649290001</v>
      </c>
      <c r="AD25">
        <v>849</v>
      </c>
      <c r="AE25">
        <v>481.08598351000001</v>
      </c>
      <c r="AF25">
        <v>680</v>
      </c>
      <c r="AG25">
        <v>180.3088235294</v>
      </c>
      <c r="AH25">
        <v>29</v>
      </c>
      <c r="AI25">
        <v>411.06896551720001</v>
      </c>
      <c r="AL25" t="s">
        <v>417</v>
      </c>
      <c r="AM25">
        <v>258</v>
      </c>
      <c r="AN25">
        <v>179</v>
      </c>
      <c r="AO25">
        <v>156.51955307259999</v>
      </c>
      <c r="AP25">
        <v>194</v>
      </c>
      <c r="AQ25">
        <v>264.17010309279999</v>
      </c>
      <c r="AR25">
        <v>58</v>
      </c>
      <c r="AS25">
        <v>173.7413793103</v>
      </c>
      <c r="AT25">
        <v>15</v>
      </c>
      <c r="AU25">
        <v>186.3333333333</v>
      </c>
      <c r="AV25">
        <v>6</v>
      </c>
      <c r="AW25">
        <v>37</v>
      </c>
    </row>
    <row r="26" spans="6:49" x14ac:dyDescent="0.25">
      <c r="F26" t="s">
        <v>35</v>
      </c>
      <c r="G26">
        <v>236</v>
      </c>
      <c r="H26">
        <v>142</v>
      </c>
      <c r="I26">
        <v>139.323943662</v>
      </c>
      <c r="J26">
        <v>125</v>
      </c>
      <c r="K26">
        <v>261.37599999999998</v>
      </c>
      <c r="L26">
        <v>36</v>
      </c>
      <c r="M26">
        <v>196.75</v>
      </c>
      <c r="N26">
        <v>56</v>
      </c>
      <c r="O26">
        <v>531.23214285710003</v>
      </c>
      <c r="R26">
        <v>2</v>
      </c>
      <c r="S26">
        <v>397</v>
      </c>
      <c r="V26" t="s">
        <v>415</v>
      </c>
      <c r="W26">
        <v>1982</v>
      </c>
      <c r="X26">
        <v>1469</v>
      </c>
      <c r="Y26">
        <v>308.66916269569998</v>
      </c>
      <c r="Z26">
        <v>235</v>
      </c>
      <c r="AA26">
        <v>513.8978723404</v>
      </c>
      <c r="AB26">
        <v>308</v>
      </c>
      <c r="AC26">
        <v>248.61038961040001</v>
      </c>
      <c r="AD26">
        <v>113</v>
      </c>
      <c r="AE26">
        <v>388.07964601769999</v>
      </c>
      <c r="AF26">
        <v>91</v>
      </c>
      <c r="AG26">
        <v>143.07692307689999</v>
      </c>
      <c r="AH26">
        <v>1</v>
      </c>
      <c r="AI26">
        <v>548</v>
      </c>
      <c r="AL26" t="s">
        <v>415</v>
      </c>
      <c r="AM26">
        <v>23</v>
      </c>
      <c r="AN26">
        <v>16</v>
      </c>
      <c r="AO26">
        <v>180.4375</v>
      </c>
      <c r="AP26">
        <v>20</v>
      </c>
      <c r="AQ26">
        <v>198.2</v>
      </c>
      <c r="AR26">
        <v>7</v>
      </c>
      <c r="AS26">
        <v>152.57142857139999</v>
      </c>
    </row>
    <row r="27" spans="6:49" x14ac:dyDescent="0.25">
      <c r="F27" t="s">
        <v>74</v>
      </c>
      <c r="G27">
        <v>4139</v>
      </c>
      <c r="H27">
        <v>3370</v>
      </c>
      <c r="I27">
        <v>197.9762611276</v>
      </c>
      <c r="J27">
        <v>730</v>
      </c>
      <c r="K27">
        <v>341.4054794521</v>
      </c>
      <c r="L27">
        <v>582</v>
      </c>
      <c r="M27">
        <v>144.3762886598</v>
      </c>
      <c r="N27">
        <v>176</v>
      </c>
      <c r="O27">
        <v>182.5568181818</v>
      </c>
      <c r="R27">
        <v>11</v>
      </c>
      <c r="S27">
        <v>243</v>
      </c>
      <c r="V27" t="s">
        <v>83</v>
      </c>
      <c r="W27">
        <v>4911</v>
      </c>
      <c r="X27">
        <v>3685</v>
      </c>
      <c r="Y27">
        <v>272.2762550882</v>
      </c>
      <c r="Z27">
        <v>369</v>
      </c>
      <c r="AA27">
        <v>562.75609756100005</v>
      </c>
      <c r="AB27">
        <v>795</v>
      </c>
      <c r="AC27">
        <v>452.4389937107</v>
      </c>
      <c r="AD27">
        <v>249</v>
      </c>
      <c r="AE27">
        <v>510.52610441770003</v>
      </c>
      <c r="AF27">
        <v>177</v>
      </c>
      <c r="AG27">
        <v>157.41242937850001</v>
      </c>
      <c r="AH27">
        <v>5</v>
      </c>
      <c r="AI27">
        <v>343.2</v>
      </c>
      <c r="AL27" t="s">
        <v>83</v>
      </c>
      <c r="AM27">
        <v>79</v>
      </c>
      <c r="AN27">
        <v>55</v>
      </c>
      <c r="AO27">
        <v>100.3818181818</v>
      </c>
      <c r="AP27">
        <v>35</v>
      </c>
      <c r="AQ27">
        <v>229.08571428569999</v>
      </c>
      <c r="AR27">
        <v>21</v>
      </c>
      <c r="AS27">
        <v>177.6666666667</v>
      </c>
      <c r="AT27">
        <v>1</v>
      </c>
      <c r="AU27">
        <v>165</v>
      </c>
      <c r="AV27">
        <v>2</v>
      </c>
      <c r="AW27">
        <v>171</v>
      </c>
    </row>
    <row r="28" spans="6:49" x14ac:dyDescent="0.25">
      <c r="F28" t="s">
        <v>34</v>
      </c>
      <c r="G28">
        <v>1845</v>
      </c>
      <c r="H28">
        <v>1417</v>
      </c>
      <c r="I28">
        <v>312.47141848979999</v>
      </c>
      <c r="J28">
        <v>238</v>
      </c>
      <c r="K28">
        <v>515.55462184869998</v>
      </c>
      <c r="L28">
        <v>316</v>
      </c>
      <c r="M28">
        <v>250.27531645569999</v>
      </c>
      <c r="N28">
        <v>111</v>
      </c>
      <c r="O28">
        <v>358.03603603599998</v>
      </c>
      <c r="R28">
        <v>1</v>
      </c>
      <c r="S28">
        <v>548</v>
      </c>
      <c r="V28" t="s">
        <v>414</v>
      </c>
      <c r="W28">
        <v>42830</v>
      </c>
      <c r="X28">
        <v>31270</v>
      </c>
      <c r="Y28">
        <v>322.14595458909997</v>
      </c>
      <c r="Z28">
        <v>3682</v>
      </c>
      <c r="AA28">
        <v>555.26806083650001</v>
      </c>
      <c r="AB28">
        <v>7729</v>
      </c>
      <c r="AC28">
        <v>508.30728425410001</v>
      </c>
      <c r="AD28">
        <v>2234</v>
      </c>
      <c r="AE28">
        <v>502.10653536260003</v>
      </c>
      <c r="AF28">
        <v>1525</v>
      </c>
      <c r="AG28">
        <v>181.5678688525</v>
      </c>
      <c r="AH28">
        <v>72</v>
      </c>
      <c r="AI28">
        <v>443.56944444440001</v>
      </c>
      <c r="AL28" t="s">
        <v>414</v>
      </c>
      <c r="AM28">
        <v>520</v>
      </c>
      <c r="AN28">
        <v>360</v>
      </c>
      <c r="AO28">
        <v>139.8027777778</v>
      </c>
      <c r="AP28">
        <v>354</v>
      </c>
      <c r="AQ28">
        <v>253.49152542370001</v>
      </c>
      <c r="AR28">
        <v>125</v>
      </c>
      <c r="AS28">
        <v>183.536</v>
      </c>
      <c r="AT28">
        <v>24</v>
      </c>
      <c r="AU28">
        <v>166.7083333333</v>
      </c>
      <c r="AV28">
        <v>11</v>
      </c>
      <c r="AW28">
        <v>58.090909090899999</v>
      </c>
    </row>
    <row r="29" spans="6:49" x14ac:dyDescent="0.25">
      <c r="F29" t="s">
        <v>55</v>
      </c>
      <c r="G29">
        <v>4532</v>
      </c>
      <c r="H29">
        <v>3578</v>
      </c>
      <c r="I29">
        <v>335.39686975960001</v>
      </c>
      <c r="J29">
        <v>625</v>
      </c>
      <c r="K29">
        <v>571.74080000000004</v>
      </c>
      <c r="L29">
        <v>743</v>
      </c>
      <c r="M29">
        <v>335.83445491250001</v>
      </c>
      <c r="N29">
        <v>206</v>
      </c>
      <c r="O29">
        <v>379.4951456311</v>
      </c>
      <c r="R29">
        <v>5</v>
      </c>
      <c r="S29">
        <v>481.8</v>
      </c>
      <c r="V29" t="s">
        <v>398</v>
      </c>
      <c r="W29">
        <v>10725</v>
      </c>
      <c r="X29">
        <v>5502</v>
      </c>
      <c r="Y29">
        <v>304.21628498730001</v>
      </c>
      <c r="Z29">
        <v>728</v>
      </c>
      <c r="AA29">
        <v>662.9217032967</v>
      </c>
      <c r="AB29">
        <v>3596</v>
      </c>
      <c r="AC29">
        <v>864.59288097889998</v>
      </c>
      <c r="AD29">
        <v>1121</v>
      </c>
      <c r="AE29">
        <v>531.84388938450002</v>
      </c>
      <c r="AF29">
        <v>483</v>
      </c>
      <c r="AG29">
        <v>216.1242236025</v>
      </c>
      <c r="AH29">
        <v>23</v>
      </c>
      <c r="AI29">
        <v>530.65217391299996</v>
      </c>
      <c r="AL29" t="s">
        <v>398</v>
      </c>
      <c r="AM29">
        <v>178</v>
      </c>
      <c r="AN29">
        <v>136</v>
      </c>
      <c r="AO29">
        <v>259.5661764706</v>
      </c>
      <c r="AP29">
        <v>23</v>
      </c>
      <c r="AQ29">
        <v>375.47826086959998</v>
      </c>
      <c r="AR29">
        <v>35</v>
      </c>
      <c r="AS29">
        <v>386.08571428570002</v>
      </c>
      <c r="AT29">
        <v>7</v>
      </c>
      <c r="AU29">
        <v>63.857142857100001</v>
      </c>
    </row>
    <row r="30" spans="6:49" x14ac:dyDescent="0.25">
      <c r="F30" t="s">
        <v>414</v>
      </c>
      <c r="G30">
        <v>42655</v>
      </c>
      <c r="H30">
        <v>31969</v>
      </c>
      <c r="I30">
        <v>317.35240389130001</v>
      </c>
      <c r="J30">
        <v>3891</v>
      </c>
      <c r="K30">
        <v>547.14803392440001</v>
      </c>
      <c r="L30">
        <v>8089</v>
      </c>
      <c r="M30">
        <v>504.96489059219999</v>
      </c>
      <c r="N30">
        <v>2520</v>
      </c>
      <c r="O30">
        <v>508.19563492060001</v>
      </c>
      <c r="R30">
        <v>77</v>
      </c>
      <c r="S30">
        <v>436.98701298700001</v>
      </c>
      <c r="V30" t="s">
        <v>435</v>
      </c>
      <c r="W30">
        <v>28571</v>
      </c>
      <c r="X30">
        <v>24149</v>
      </c>
      <c r="Y30">
        <v>449.94683009649998</v>
      </c>
      <c r="Z30">
        <v>1649</v>
      </c>
      <c r="AA30">
        <v>786.30442692539998</v>
      </c>
      <c r="AB30">
        <v>1441</v>
      </c>
      <c r="AC30">
        <v>341.11866759200001</v>
      </c>
      <c r="AD30">
        <v>1863</v>
      </c>
      <c r="AE30">
        <v>339.49382716050002</v>
      </c>
      <c r="AF30">
        <v>1109</v>
      </c>
      <c r="AG30">
        <v>167.4824165915</v>
      </c>
      <c r="AH30">
        <v>9</v>
      </c>
      <c r="AI30">
        <v>299.55555555559999</v>
      </c>
      <c r="AL30" t="s">
        <v>435</v>
      </c>
      <c r="AM30">
        <v>479</v>
      </c>
      <c r="AN30">
        <v>408</v>
      </c>
      <c r="AO30">
        <v>271.79411764709999</v>
      </c>
      <c r="AP30">
        <v>91</v>
      </c>
      <c r="AQ30">
        <v>401.4065934066</v>
      </c>
      <c r="AR30">
        <v>58</v>
      </c>
      <c r="AS30">
        <v>249.82758620690001</v>
      </c>
      <c r="AT30">
        <v>12</v>
      </c>
      <c r="AU30">
        <v>231.0833333333</v>
      </c>
      <c r="AV30">
        <v>1</v>
      </c>
      <c r="AW30">
        <v>141</v>
      </c>
    </row>
    <row r="31" spans="6:49" x14ac:dyDescent="0.25">
      <c r="F31" t="s">
        <v>25</v>
      </c>
      <c r="G31">
        <v>16003</v>
      </c>
      <c r="H31">
        <v>13397</v>
      </c>
      <c r="I31">
        <v>566.28864671199995</v>
      </c>
      <c r="J31">
        <v>580</v>
      </c>
      <c r="K31">
        <v>922.86724137930003</v>
      </c>
      <c r="L31">
        <v>1798</v>
      </c>
      <c r="M31">
        <v>537.87096774190002</v>
      </c>
      <c r="N31">
        <v>797</v>
      </c>
      <c r="O31">
        <v>368.70639899619999</v>
      </c>
      <c r="R31">
        <v>11</v>
      </c>
      <c r="S31">
        <v>550.81818181819995</v>
      </c>
      <c r="V31" t="s">
        <v>391</v>
      </c>
      <c r="W31">
        <v>16559</v>
      </c>
      <c r="X31">
        <v>13309</v>
      </c>
      <c r="Y31">
        <v>562.85723946200005</v>
      </c>
      <c r="Z31">
        <v>601</v>
      </c>
      <c r="AA31">
        <v>894.96173044930003</v>
      </c>
      <c r="AB31">
        <v>1876</v>
      </c>
      <c r="AC31">
        <v>555.85181236669996</v>
      </c>
      <c r="AD31">
        <v>830</v>
      </c>
      <c r="AE31">
        <v>375.713253012</v>
      </c>
      <c r="AF31">
        <v>533</v>
      </c>
      <c r="AG31">
        <v>168.17073170730001</v>
      </c>
      <c r="AH31">
        <v>11</v>
      </c>
      <c r="AI31">
        <v>550.81818181819995</v>
      </c>
      <c r="AL31" t="s">
        <v>391</v>
      </c>
      <c r="AM31">
        <v>316</v>
      </c>
      <c r="AN31">
        <v>265</v>
      </c>
      <c r="AO31">
        <v>300.10943396229999</v>
      </c>
      <c r="AP31">
        <v>78</v>
      </c>
      <c r="AQ31">
        <v>395.47435897439999</v>
      </c>
      <c r="AR31">
        <v>36</v>
      </c>
      <c r="AS31">
        <v>273.1111111111</v>
      </c>
      <c r="AT31">
        <v>13</v>
      </c>
      <c r="AU31">
        <v>172.8461538462</v>
      </c>
      <c r="AV31">
        <v>2</v>
      </c>
      <c r="AW31">
        <v>38.5</v>
      </c>
    </row>
    <row r="32" spans="6:49" x14ac:dyDescent="0.25">
      <c r="F32" t="s">
        <v>42</v>
      </c>
      <c r="G32">
        <v>11931</v>
      </c>
      <c r="H32">
        <v>9123</v>
      </c>
      <c r="I32">
        <v>321.44360407760001</v>
      </c>
      <c r="J32">
        <v>374</v>
      </c>
      <c r="K32">
        <v>741.23529411760001</v>
      </c>
      <c r="L32">
        <v>1955</v>
      </c>
      <c r="M32">
        <v>541.65268542199999</v>
      </c>
      <c r="N32">
        <v>829</v>
      </c>
      <c r="O32">
        <v>569.51628468030003</v>
      </c>
      <c r="R32">
        <v>24</v>
      </c>
      <c r="S32">
        <v>567.33333333329995</v>
      </c>
      <c r="V32" t="s">
        <v>403</v>
      </c>
      <c r="W32">
        <v>3300</v>
      </c>
      <c r="X32">
        <v>2173</v>
      </c>
      <c r="Y32">
        <v>479.25816843069998</v>
      </c>
      <c r="Z32">
        <v>345</v>
      </c>
      <c r="AA32">
        <v>454.1710144928</v>
      </c>
      <c r="AB32">
        <v>495</v>
      </c>
      <c r="AC32">
        <v>657.08282828280005</v>
      </c>
      <c r="AD32">
        <v>462</v>
      </c>
      <c r="AE32">
        <v>537.12770562770004</v>
      </c>
      <c r="AF32">
        <v>165</v>
      </c>
      <c r="AG32">
        <v>192.9090909091</v>
      </c>
      <c r="AH32">
        <v>5</v>
      </c>
      <c r="AI32">
        <v>594.6</v>
      </c>
      <c r="AL32" t="s">
        <v>403</v>
      </c>
      <c r="AM32">
        <v>107</v>
      </c>
      <c r="AN32">
        <v>91</v>
      </c>
      <c r="AO32">
        <v>421.43956043959997</v>
      </c>
      <c r="AP32">
        <v>12</v>
      </c>
      <c r="AQ32">
        <v>481.3333333333</v>
      </c>
      <c r="AR32">
        <v>13</v>
      </c>
      <c r="AS32">
        <v>331.92307692309998</v>
      </c>
      <c r="AT32">
        <v>2</v>
      </c>
      <c r="AU32">
        <v>110</v>
      </c>
      <c r="AV32">
        <v>1</v>
      </c>
      <c r="AW32">
        <v>493</v>
      </c>
    </row>
    <row r="33" spans="6:49" x14ac:dyDescent="0.25">
      <c r="F33" t="s">
        <v>75</v>
      </c>
      <c r="G33">
        <v>6083</v>
      </c>
      <c r="H33">
        <v>2801</v>
      </c>
      <c r="I33">
        <v>383.79900035700001</v>
      </c>
      <c r="J33">
        <v>278</v>
      </c>
      <c r="K33">
        <v>542.38129496399995</v>
      </c>
      <c r="L33">
        <v>2286</v>
      </c>
      <c r="M33">
        <v>684.40944881890005</v>
      </c>
      <c r="N33">
        <v>995</v>
      </c>
      <c r="O33">
        <v>945.65326633170002</v>
      </c>
      <c r="R33">
        <v>1</v>
      </c>
      <c r="S33">
        <v>1433</v>
      </c>
      <c r="V33" t="s">
        <v>394</v>
      </c>
      <c r="W33">
        <v>7059</v>
      </c>
      <c r="X33">
        <v>4247</v>
      </c>
      <c r="Y33">
        <v>269.44478455379999</v>
      </c>
      <c r="Z33">
        <v>689</v>
      </c>
      <c r="AA33">
        <v>563.75616835990002</v>
      </c>
      <c r="AB33">
        <v>1527</v>
      </c>
      <c r="AC33">
        <v>392.8362802881</v>
      </c>
      <c r="AD33">
        <v>804</v>
      </c>
      <c r="AE33">
        <v>465.85696517410003</v>
      </c>
      <c r="AF33">
        <v>467</v>
      </c>
      <c r="AG33">
        <v>186.2162740899</v>
      </c>
      <c r="AH33">
        <v>14</v>
      </c>
      <c r="AI33">
        <v>435.85714285709997</v>
      </c>
      <c r="AL33" t="s">
        <v>394</v>
      </c>
      <c r="AM33">
        <v>214</v>
      </c>
      <c r="AN33">
        <v>178</v>
      </c>
      <c r="AO33">
        <v>236.67415730339999</v>
      </c>
      <c r="AP33">
        <v>27</v>
      </c>
      <c r="AQ33">
        <v>433.85185185189999</v>
      </c>
      <c r="AR33">
        <v>32</v>
      </c>
      <c r="AS33">
        <v>358.8125</v>
      </c>
      <c r="AT33">
        <v>3</v>
      </c>
      <c r="AU33">
        <v>252.3333333333</v>
      </c>
      <c r="AV33">
        <v>1</v>
      </c>
      <c r="AW33">
        <v>37</v>
      </c>
    </row>
    <row r="34" spans="6:49" x14ac:dyDescent="0.25">
      <c r="F34" t="s">
        <v>61</v>
      </c>
      <c r="G34">
        <v>6433</v>
      </c>
      <c r="H34">
        <v>4133</v>
      </c>
      <c r="I34">
        <v>250.3631744496</v>
      </c>
      <c r="J34">
        <v>677</v>
      </c>
      <c r="K34">
        <v>543.53471196450005</v>
      </c>
      <c r="L34">
        <v>1476</v>
      </c>
      <c r="M34">
        <v>365.2920054201</v>
      </c>
      <c r="N34">
        <v>810</v>
      </c>
      <c r="O34">
        <v>456.54814814809998</v>
      </c>
      <c r="R34">
        <v>14</v>
      </c>
      <c r="S34">
        <v>435.35714285709997</v>
      </c>
      <c r="V34" t="s">
        <v>437</v>
      </c>
      <c r="W34">
        <v>6167</v>
      </c>
      <c r="X34">
        <v>2715</v>
      </c>
      <c r="Y34">
        <v>384.07108655619999</v>
      </c>
      <c r="Z34">
        <v>269</v>
      </c>
      <c r="AA34">
        <v>525.85130111520004</v>
      </c>
      <c r="AB34">
        <v>2220</v>
      </c>
      <c r="AC34">
        <v>683.71261261259997</v>
      </c>
      <c r="AD34">
        <v>969</v>
      </c>
      <c r="AE34">
        <v>942.35087719299997</v>
      </c>
      <c r="AF34">
        <v>262</v>
      </c>
      <c r="AG34">
        <v>200.0190839695</v>
      </c>
      <c r="AH34">
        <v>1</v>
      </c>
      <c r="AI34">
        <v>1433</v>
      </c>
      <c r="AL34" t="s">
        <v>437</v>
      </c>
      <c r="AM34">
        <v>119</v>
      </c>
      <c r="AN34">
        <v>90</v>
      </c>
      <c r="AO34">
        <v>227.14444444439999</v>
      </c>
      <c r="AP34">
        <v>15</v>
      </c>
      <c r="AQ34">
        <v>356.93333333330003</v>
      </c>
      <c r="AR34">
        <v>18</v>
      </c>
      <c r="AS34">
        <v>267.1111111111</v>
      </c>
      <c r="AT34">
        <v>10</v>
      </c>
      <c r="AU34">
        <v>122.7</v>
      </c>
      <c r="AV34">
        <v>1</v>
      </c>
      <c r="AW34">
        <v>129</v>
      </c>
    </row>
    <row r="35" spans="6:49" x14ac:dyDescent="0.25">
      <c r="F35" t="s">
        <v>56</v>
      </c>
      <c r="G35">
        <v>4548</v>
      </c>
      <c r="H35">
        <v>3135</v>
      </c>
      <c r="I35">
        <v>498.69856459329998</v>
      </c>
      <c r="J35">
        <v>527</v>
      </c>
      <c r="K35">
        <v>448.32068311199998</v>
      </c>
      <c r="L35">
        <v>761</v>
      </c>
      <c r="M35">
        <v>638.83574244420004</v>
      </c>
      <c r="N35">
        <v>643</v>
      </c>
      <c r="O35">
        <v>574.75894245719996</v>
      </c>
      <c r="R35">
        <v>9</v>
      </c>
      <c r="S35">
        <v>500.55555555559999</v>
      </c>
      <c r="V35" t="s">
        <v>393</v>
      </c>
      <c r="W35">
        <v>12242</v>
      </c>
      <c r="X35">
        <v>9040</v>
      </c>
      <c r="Y35">
        <v>326.63584070799999</v>
      </c>
      <c r="Z35">
        <v>382</v>
      </c>
      <c r="AA35">
        <v>729.71465968589996</v>
      </c>
      <c r="AB35">
        <v>1950</v>
      </c>
      <c r="AC35">
        <v>542.03589743589998</v>
      </c>
      <c r="AD35">
        <v>822</v>
      </c>
      <c r="AE35">
        <v>566.97566909980003</v>
      </c>
      <c r="AF35">
        <v>405</v>
      </c>
      <c r="AG35">
        <v>181.23950617279999</v>
      </c>
      <c r="AH35">
        <v>25</v>
      </c>
      <c r="AI35">
        <v>591.24</v>
      </c>
      <c r="AL35" t="s">
        <v>393</v>
      </c>
      <c r="AM35">
        <v>142</v>
      </c>
      <c r="AN35">
        <v>120</v>
      </c>
      <c r="AO35">
        <v>247.7083333333</v>
      </c>
      <c r="AP35">
        <v>39</v>
      </c>
      <c r="AQ35">
        <v>330.15384615379998</v>
      </c>
      <c r="AR35">
        <v>16</v>
      </c>
      <c r="AS35">
        <v>268.625</v>
      </c>
      <c r="AT35">
        <v>4</v>
      </c>
      <c r="AU35">
        <v>142.5</v>
      </c>
      <c r="AV35">
        <v>2</v>
      </c>
      <c r="AW35">
        <v>470</v>
      </c>
    </row>
    <row r="36" spans="6:49" x14ac:dyDescent="0.25">
      <c r="F36" t="s">
        <v>60</v>
      </c>
      <c r="G36">
        <v>10312</v>
      </c>
      <c r="H36">
        <v>5492</v>
      </c>
      <c r="I36">
        <v>296.6338310269</v>
      </c>
      <c r="J36">
        <v>758</v>
      </c>
      <c r="K36">
        <v>660.24670184700005</v>
      </c>
      <c r="L36">
        <v>3670</v>
      </c>
      <c r="M36">
        <v>868.36267029969997</v>
      </c>
      <c r="N36">
        <v>1127</v>
      </c>
      <c r="O36">
        <v>526.36557231589995</v>
      </c>
      <c r="R36">
        <v>23</v>
      </c>
      <c r="S36">
        <v>530.65217391299996</v>
      </c>
      <c r="V36" t="s">
        <v>390</v>
      </c>
      <c r="W36">
        <v>84623</v>
      </c>
      <c r="X36">
        <v>61135</v>
      </c>
      <c r="Y36">
        <v>428.75491944060002</v>
      </c>
      <c r="Z36">
        <v>4663</v>
      </c>
      <c r="AA36">
        <v>703.92815783829997</v>
      </c>
      <c r="AB36">
        <v>13105</v>
      </c>
      <c r="AC36">
        <v>621.39145364360002</v>
      </c>
      <c r="AD36">
        <v>6871</v>
      </c>
      <c r="AE36">
        <v>515.55959831170003</v>
      </c>
      <c r="AF36">
        <v>3424</v>
      </c>
      <c r="AG36">
        <v>182.34842289720001</v>
      </c>
      <c r="AH36">
        <v>88</v>
      </c>
      <c r="AI36">
        <v>525.55681818180005</v>
      </c>
      <c r="AL36" t="s">
        <v>390</v>
      </c>
      <c r="AM36">
        <v>1555</v>
      </c>
      <c r="AN36">
        <v>1288</v>
      </c>
      <c r="AO36">
        <v>276.68400621120003</v>
      </c>
      <c r="AP36">
        <v>285</v>
      </c>
      <c r="AQ36">
        <v>392.0385964912</v>
      </c>
      <c r="AR36">
        <v>208</v>
      </c>
      <c r="AS36">
        <v>301.625</v>
      </c>
      <c r="AT36">
        <v>51</v>
      </c>
      <c r="AU36">
        <v>161.5882352941</v>
      </c>
      <c r="AV36">
        <v>8</v>
      </c>
      <c r="AW36">
        <v>227.125</v>
      </c>
    </row>
    <row r="37" spans="6:49" x14ac:dyDescent="0.25">
      <c r="F37" t="s">
        <v>80</v>
      </c>
      <c r="G37">
        <v>27621</v>
      </c>
      <c r="H37">
        <v>24544</v>
      </c>
      <c r="I37">
        <v>449.4082464146</v>
      </c>
      <c r="J37">
        <v>1612</v>
      </c>
      <c r="K37">
        <v>782.84243176179996</v>
      </c>
      <c r="L37">
        <v>1280</v>
      </c>
      <c r="M37">
        <v>277.19375000000002</v>
      </c>
      <c r="N37">
        <v>1791</v>
      </c>
      <c r="O37">
        <v>315.49413735339999</v>
      </c>
      <c r="R37">
        <v>6</v>
      </c>
      <c r="S37">
        <v>310.3333333333</v>
      </c>
      <c r="V37" t="s">
        <v>416</v>
      </c>
      <c r="W37">
        <v>509</v>
      </c>
      <c r="X37">
        <v>261</v>
      </c>
      <c r="Y37">
        <v>151.45593869730001</v>
      </c>
      <c r="Z37">
        <v>237</v>
      </c>
      <c r="AA37">
        <v>251.35443037970001</v>
      </c>
      <c r="AB37">
        <v>86</v>
      </c>
      <c r="AC37">
        <v>235.44186046510001</v>
      </c>
      <c r="AD37">
        <v>98</v>
      </c>
      <c r="AE37">
        <v>234.45918367350001</v>
      </c>
      <c r="AF37">
        <v>58</v>
      </c>
      <c r="AG37">
        <v>192.4137931034</v>
      </c>
      <c r="AH37">
        <v>6</v>
      </c>
      <c r="AI37">
        <v>182.8333333333</v>
      </c>
      <c r="AL37" t="s">
        <v>416</v>
      </c>
      <c r="AM37">
        <v>18</v>
      </c>
      <c r="AN37">
        <v>13</v>
      </c>
      <c r="AO37">
        <v>69.153846153800004</v>
      </c>
      <c r="AP37">
        <v>15</v>
      </c>
      <c r="AQ37">
        <v>258.93333333330003</v>
      </c>
      <c r="AR37">
        <v>4</v>
      </c>
      <c r="AS37">
        <v>102.5</v>
      </c>
      <c r="AT37">
        <v>1</v>
      </c>
      <c r="AU37">
        <v>109</v>
      </c>
    </row>
    <row r="38" spans="6:49" x14ac:dyDescent="0.25">
      <c r="F38" t="s">
        <v>390</v>
      </c>
      <c r="G38">
        <v>82931</v>
      </c>
      <c r="H38">
        <v>62625</v>
      </c>
      <c r="I38">
        <v>428.76934131740001</v>
      </c>
      <c r="J38">
        <v>4806</v>
      </c>
      <c r="K38">
        <v>692.86600083229996</v>
      </c>
      <c r="L38">
        <v>13226</v>
      </c>
      <c r="M38">
        <v>616.7856494783</v>
      </c>
      <c r="N38">
        <v>6992</v>
      </c>
      <c r="O38">
        <v>515.52502860410004</v>
      </c>
      <c r="R38">
        <v>88</v>
      </c>
      <c r="S38">
        <v>520.17045454549998</v>
      </c>
      <c r="V38" t="s">
        <v>420</v>
      </c>
      <c r="W38">
        <v>39606</v>
      </c>
      <c r="X38">
        <v>27792</v>
      </c>
      <c r="Y38">
        <v>458.28788860100002</v>
      </c>
      <c r="Z38">
        <v>2173</v>
      </c>
      <c r="AA38">
        <v>706.74735388859995</v>
      </c>
      <c r="AB38">
        <v>8095</v>
      </c>
      <c r="AC38">
        <v>751.06411365040003</v>
      </c>
      <c r="AD38">
        <v>2378</v>
      </c>
      <c r="AE38">
        <v>578.75651808240002</v>
      </c>
      <c r="AF38">
        <v>1289</v>
      </c>
      <c r="AG38">
        <v>203.7990690458</v>
      </c>
      <c r="AH38">
        <v>52</v>
      </c>
      <c r="AI38">
        <v>430.07692307690002</v>
      </c>
      <c r="AL38" t="s">
        <v>420</v>
      </c>
      <c r="AM38">
        <v>284</v>
      </c>
      <c r="AN38">
        <v>189</v>
      </c>
      <c r="AO38">
        <v>180.74074074070001</v>
      </c>
      <c r="AP38">
        <v>216</v>
      </c>
      <c r="AQ38">
        <v>263.4259259259</v>
      </c>
      <c r="AR38">
        <v>79</v>
      </c>
      <c r="AS38">
        <v>223.68354430380001</v>
      </c>
      <c r="AT38">
        <v>15</v>
      </c>
      <c r="AU38">
        <v>283.06666666669997</v>
      </c>
      <c r="AV38">
        <v>1</v>
      </c>
      <c r="AW38">
        <v>2145</v>
      </c>
    </row>
    <row r="39" spans="6:49" x14ac:dyDescent="0.25">
      <c r="F39" t="s">
        <v>82</v>
      </c>
      <c r="G39">
        <v>19208</v>
      </c>
      <c r="H39">
        <v>14177</v>
      </c>
      <c r="I39">
        <v>400.37969951330001</v>
      </c>
      <c r="J39">
        <v>1171</v>
      </c>
      <c r="K39">
        <v>697.70964987189996</v>
      </c>
      <c r="L39">
        <v>3761</v>
      </c>
      <c r="M39">
        <v>811.92236107420001</v>
      </c>
      <c r="N39">
        <v>1236</v>
      </c>
      <c r="O39">
        <v>609.31472491909994</v>
      </c>
      <c r="R39">
        <v>34</v>
      </c>
      <c r="S39">
        <v>530.6176470588</v>
      </c>
      <c r="V39" t="s">
        <v>428</v>
      </c>
      <c r="W39">
        <v>316</v>
      </c>
      <c r="X39">
        <v>120</v>
      </c>
      <c r="Y39">
        <v>205.42500000000001</v>
      </c>
      <c r="Z39">
        <v>141</v>
      </c>
      <c r="AA39">
        <v>264.30496453900003</v>
      </c>
      <c r="AB39">
        <v>103</v>
      </c>
      <c r="AC39">
        <v>301.96116504849999</v>
      </c>
      <c r="AD39">
        <v>63</v>
      </c>
      <c r="AE39">
        <v>379.36507936509997</v>
      </c>
      <c r="AF39">
        <v>30</v>
      </c>
      <c r="AG39">
        <v>212.73333333330001</v>
      </c>
      <c r="AL39" t="s">
        <v>428</v>
      </c>
      <c r="AM39">
        <v>3</v>
      </c>
      <c r="AN39">
        <v>3</v>
      </c>
      <c r="AO39">
        <v>220</v>
      </c>
      <c r="AP39">
        <v>5</v>
      </c>
      <c r="AQ39">
        <v>216.6</v>
      </c>
    </row>
    <row r="40" spans="6:49" x14ac:dyDescent="0.25">
      <c r="F40" t="s">
        <v>43</v>
      </c>
      <c r="G40">
        <v>5729</v>
      </c>
      <c r="H40">
        <v>2985</v>
      </c>
      <c r="I40">
        <v>236.43819095480001</v>
      </c>
      <c r="J40">
        <v>298</v>
      </c>
      <c r="K40">
        <v>564.21140939600002</v>
      </c>
      <c r="L40">
        <v>2370</v>
      </c>
      <c r="M40">
        <v>682.2683544304</v>
      </c>
      <c r="N40">
        <v>365</v>
      </c>
      <c r="O40">
        <v>402.6438356164</v>
      </c>
      <c r="R40">
        <v>9</v>
      </c>
      <c r="S40">
        <v>190.6666666667</v>
      </c>
      <c r="V40" t="s">
        <v>431</v>
      </c>
      <c r="W40">
        <v>359</v>
      </c>
      <c r="X40">
        <v>254</v>
      </c>
      <c r="Y40">
        <v>284.61417322829999</v>
      </c>
      <c r="Z40">
        <v>27</v>
      </c>
      <c r="AA40">
        <v>552</v>
      </c>
      <c r="AB40">
        <v>25</v>
      </c>
      <c r="AC40">
        <v>518.64</v>
      </c>
      <c r="AD40">
        <v>43</v>
      </c>
      <c r="AE40">
        <v>351.37209302330001</v>
      </c>
      <c r="AF40">
        <v>36</v>
      </c>
      <c r="AG40">
        <v>208.9722222222</v>
      </c>
      <c r="AH40">
        <v>1</v>
      </c>
      <c r="AI40">
        <v>325</v>
      </c>
      <c r="AL40" t="s">
        <v>431</v>
      </c>
      <c r="AM40">
        <v>5</v>
      </c>
      <c r="AN40">
        <v>4</v>
      </c>
      <c r="AO40">
        <v>214.75</v>
      </c>
      <c r="AP40">
        <v>2</v>
      </c>
      <c r="AQ40">
        <v>312.5</v>
      </c>
      <c r="AR40">
        <v>1</v>
      </c>
      <c r="AS40">
        <v>103</v>
      </c>
    </row>
    <row r="41" spans="6:49" x14ac:dyDescent="0.25">
      <c r="F41" t="s">
        <v>49</v>
      </c>
      <c r="G41">
        <v>19322</v>
      </c>
      <c r="H41">
        <v>13820</v>
      </c>
      <c r="I41">
        <v>520.13986975399996</v>
      </c>
      <c r="J41">
        <v>1002</v>
      </c>
      <c r="K41">
        <v>721.04890219560002</v>
      </c>
      <c r="L41">
        <v>4358</v>
      </c>
      <c r="M41">
        <v>702.7510325838</v>
      </c>
      <c r="N41">
        <v>1124</v>
      </c>
      <c r="O41">
        <v>558.96886121</v>
      </c>
      <c r="R41">
        <v>20</v>
      </c>
      <c r="S41">
        <v>323.45</v>
      </c>
      <c r="V41" t="s">
        <v>421</v>
      </c>
      <c r="W41">
        <v>5323</v>
      </c>
      <c r="X41">
        <v>4059</v>
      </c>
      <c r="Y41">
        <v>479.74328652380001</v>
      </c>
      <c r="Z41">
        <v>199</v>
      </c>
      <c r="AA41">
        <v>923.25628140699996</v>
      </c>
      <c r="AB41">
        <v>547</v>
      </c>
      <c r="AC41">
        <v>332.70566727609997</v>
      </c>
      <c r="AD41">
        <v>441</v>
      </c>
      <c r="AE41">
        <v>620.51473922900004</v>
      </c>
      <c r="AF41">
        <v>271</v>
      </c>
      <c r="AG41">
        <v>179.05166051660001</v>
      </c>
      <c r="AH41">
        <v>5</v>
      </c>
      <c r="AI41">
        <v>570.4</v>
      </c>
      <c r="AL41" t="s">
        <v>421</v>
      </c>
      <c r="AM41">
        <v>116</v>
      </c>
      <c r="AN41">
        <v>98</v>
      </c>
      <c r="AO41">
        <v>255.30612244899999</v>
      </c>
      <c r="AP41">
        <v>18</v>
      </c>
      <c r="AQ41">
        <v>530.5</v>
      </c>
      <c r="AR41">
        <v>17</v>
      </c>
      <c r="AS41">
        <v>277.1176470588</v>
      </c>
      <c r="AT41">
        <v>1</v>
      </c>
      <c r="AU41">
        <v>68</v>
      </c>
    </row>
    <row r="42" spans="6:49" x14ac:dyDescent="0.25">
      <c r="F42" t="s">
        <v>52</v>
      </c>
      <c r="G42">
        <v>4256</v>
      </c>
      <c r="H42">
        <v>2706</v>
      </c>
      <c r="I42">
        <v>317.85587583149999</v>
      </c>
      <c r="J42">
        <v>315</v>
      </c>
      <c r="K42">
        <v>605.12063492059997</v>
      </c>
      <c r="L42">
        <v>995</v>
      </c>
      <c r="M42">
        <v>406.3778894472</v>
      </c>
      <c r="N42">
        <v>546</v>
      </c>
      <c r="O42">
        <v>616.12454212449995</v>
      </c>
      <c r="R42">
        <v>9</v>
      </c>
      <c r="S42">
        <v>742.66666666670005</v>
      </c>
      <c r="V42" t="s">
        <v>413</v>
      </c>
      <c r="W42">
        <v>5972</v>
      </c>
      <c r="X42">
        <v>3012</v>
      </c>
      <c r="Y42">
        <v>246.36454183270001</v>
      </c>
      <c r="Z42">
        <v>286</v>
      </c>
      <c r="AA42">
        <v>580.22377622379997</v>
      </c>
      <c r="AB42">
        <v>2281</v>
      </c>
      <c r="AC42">
        <v>675.35203857960005</v>
      </c>
      <c r="AD42">
        <v>368</v>
      </c>
      <c r="AE42">
        <v>416.04347826089997</v>
      </c>
      <c r="AF42">
        <v>302</v>
      </c>
      <c r="AG42">
        <v>176.8741721854</v>
      </c>
      <c r="AH42">
        <v>9</v>
      </c>
      <c r="AI42">
        <v>190.6666666667</v>
      </c>
      <c r="AL42" t="s">
        <v>413</v>
      </c>
      <c r="AM42">
        <v>47</v>
      </c>
      <c r="AN42">
        <v>37</v>
      </c>
      <c r="AO42">
        <v>88.324324324299994</v>
      </c>
      <c r="AP42">
        <v>24</v>
      </c>
      <c r="AQ42">
        <v>253.4166666667</v>
      </c>
      <c r="AR42">
        <v>8</v>
      </c>
      <c r="AS42">
        <v>191.875</v>
      </c>
      <c r="AT42">
        <v>2</v>
      </c>
      <c r="AU42">
        <v>111</v>
      </c>
    </row>
    <row r="43" spans="6:49" x14ac:dyDescent="0.25">
      <c r="F43" t="s">
        <v>39</v>
      </c>
      <c r="G43">
        <v>321</v>
      </c>
      <c r="H43">
        <v>258</v>
      </c>
      <c r="I43">
        <v>285.38759689919999</v>
      </c>
      <c r="J43">
        <v>26</v>
      </c>
      <c r="K43">
        <v>555.69230769230001</v>
      </c>
      <c r="L43">
        <v>19</v>
      </c>
      <c r="M43">
        <v>465.7894736842</v>
      </c>
      <c r="N43">
        <v>43</v>
      </c>
      <c r="O43">
        <v>358.81395348839999</v>
      </c>
      <c r="R43">
        <v>1</v>
      </c>
      <c r="S43">
        <v>325</v>
      </c>
      <c r="V43" t="s">
        <v>422</v>
      </c>
      <c r="W43">
        <v>4292</v>
      </c>
      <c r="X43">
        <v>2321</v>
      </c>
      <c r="Y43">
        <v>183.62688496339999</v>
      </c>
      <c r="Z43">
        <v>650</v>
      </c>
      <c r="AA43">
        <v>301.91692307689999</v>
      </c>
      <c r="AB43">
        <v>1065</v>
      </c>
      <c r="AC43">
        <v>279.83098591549998</v>
      </c>
      <c r="AD43">
        <v>553</v>
      </c>
      <c r="AE43">
        <v>279.51356238699998</v>
      </c>
      <c r="AF43">
        <v>342</v>
      </c>
      <c r="AG43">
        <v>186.67543859649999</v>
      </c>
      <c r="AH43">
        <v>11</v>
      </c>
      <c r="AI43">
        <v>226.1818181818</v>
      </c>
      <c r="AL43" t="s">
        <v>422</v>
      </c>
      <c r="AM43">
        <v>79</v>
      </c>
      <c r="AN43">
        <v>59</v>
      </c>
      <c r="AO43">
        <v>138.62711864409999</v>
      </c>
      <c r="AP43">
        <v>49</v>
      </c>
      <c r="AQ43">
        <v>224.7959183673</v>
      </c>
      <c r="AR43">
        <v>18</v>
      </c>
      <c r="AS43">
        <v>105.6111111111</v>
      </c>
      <c r="AT43">
        <v>1</v>
      </c>
      <c r="AU43">
        <v>228</v>
      </c>
      <c r="AV43">
        <v>1</v>
      </c>
      <c r="AW43">
        <v>24</v>
      </c>
    </row>
    <row r="44" spans="6:49" x14ac:dyDescent="0.25">
      <c r="F44" t="s">
        <v>27</v>
      </c>
      <c r="G44">
        <v>3887</v>
      </c>
      <c r="H44">
        <v>2257</v>
      </c>
      <c r="I44">
        <v>171.7013735047</v>
      </c>
      <c r="J44">
        <v>658</v>
      </c>
      <c r="K44">
        <v>293.59878419450001</v>
      </c>
      <c r="L44">
        <v>1060</v>
      </c>
      <c r="M44">
        <v>277.38490566040002</v>
      </c>
      <c r="N44">
        <v>559</v>
      </c>
      <c r="O44">
        <v>268.57960644010001</v>
      </c>
      <c r="R44">
        <v>11</v>
      </c>
      <c r="S44">
        <v>226.1818181818</v>
      </c>
      <c r="V44" t="s">
        <v>397</v>
      </c>
      <c r="W44">
        <v>5982</v>
      </c>
      <c r="X44">
        <v>4814</v>
      </c>
      <c r="Y44">
        <v>423.53095139179999</v>
      </c>
      <c r="Z44">
        <v>371</v>
      </c>
      <c r="AA44">
        <v>805.03773584910005</v>
      </c>
      <c r="AB44">
        <v>576</v>
      </c>
      <c r="AC44">
        <v>488.9079861111</v>
      </c>
      <c r="AD44">
        <v>348</v>
      </c>
      <c r="AE44">
        <v>422.17528735629998</v>
      </c>
      <c r="AF44">
        <v>230</v>
      </c>
      <c r="AG44">
        <v>177.16521739129999</v>
      </c>
      <c r="AH44">
        <v>14</v>
      </c>
      <c r="AI44">
        <v>400.5</v>
      </c>
      <c r="AL44" t="s">
        <v>397</v>
      </c>
      <c r="AM44">
        <v>138</v>
      </c>
      <c r="AN44">
        <v>118</v>
      </c>
      <c r="AO44">
        <v>336.77118644069998</v>
      </c>
      <c r="AP44">
        <v>30</v>
      </c>
      <c r="AQ44">
        <v>663.23333333330004</v>
      </c>
      <c r="AR44">
        <v>20</v>
      </c>
      <c r="AS44">
        <v>212.35</v>
      </c>
    </row>
    <row r="45" spans="6:49" x14ac:dyDescent="0.25">
      <c r="F45" t="s">
        <v>54</v>
      </c>
      <c r="G45">
        <v>5208</v>
      </c>
      <c r="H45">
        <v>4199</v>
      </c>
      <c r="I45">
        <v>479.78566325320003</v>
      </c>
      <c r="J45">
        <v>190</v>
      </c>
      <c r="K45">
        <v>948.29473684209995</v>
      </c>
      <c r="L45">
        <v>548</v>
      </c>
      <c r="M45">
        <v>317.73175182480003</v>
      </c>
      <c r="N45">
        <v>456</v>
      </c>
      <c r="O45">
        <v>634.65789473680002</v>
      </c>
      <c r="R45">
        <v>5</v>
      </c>
      <c r="S45">
        <v>570.4</v>
      </c>
      <c r="V45" t="s">
        <v>399</v>
      </c>
      <c r="W45">
        <v>4539</v>
      </c>
      <c r="X45">
        <v>2771</v>
      </c>
      <c r="Y45">
        <v>326.93215445689998</v>
      </c>
      <c r="Z45">
        <v>316</v>
      </c>
      <c r="AA45">
        <v>604.64873417720003</v>
      </c>
      <c r="AB45">
        <v>999</v>
      </c>
      <c r="AC45">
        <v>418.28028028030002</v>
      </c>
      <c r="AD45">
        <v>551</v>
      </c>
      <c r="AE45">
        <v>618.65154264969999</v>
      </c>
      <c r="AF45">
        <v>209</v>
      </c>
      <c r="AG45">
        <v>198.7033492823</v>
      </c>
      <c r="AH45">
        <v>9</v>
      </c>
      <c r="AI45">
        <v>742.66666666670005</v>
      </c>
      <c r="AL45" t="s">
        <v>399</v>
      </c>
      <c r="AM45">
        <v>113</v>
      </c>
      <c r="AN45">
        <v>93</v>
      </c>
      <c r="AO45">
        <v>256.3333333333</v>
      </c>
      <c r="AP45">
        <v>19</v>
      </c>
      <c r="AQ45">
        <v>474.26315789469999</v>
      </c>
      <c r="AR45">
        <v>19</v>
      </c>
      <c r="AS45">
        <v>372.52631578950002</v>
      </c>
      <c r="AT45">
        <v>1</v>
      </c>
      <c r="AU45">
        <v>386</v>
      </c>
    </row>
    <row r="46" spans="6:49" x14ac:dyDescent="0.25">
      <c r="F46" t="s">
        <v>62</v>
      </c>
      <c r="G46">
        <v>5782</v>
      </c>
      <c r="H46">
        <v>4843</v>
      </c>
      <c r="I46">
        <v>423.85876522820001</v>
      </c>
      <c r="J46">
        <v>371</v>
      </c>
      <c r="K46">
        <v>815.00269541780006</v>
      </c>
      <c r="L46">
        <v>571</v>
      </c>
      <c r="M46">
        <v>472.49737302979997</v>
      </c>
      <c r="N46">
        <v>356</v>
      </c>
      <c r="O46">
        <v>424.02528089890001</v>
      </c>
      <c r="R46">
        <v>12</v>
      </c>
      <c r="S46">
        <v>288.4166666667</v>
      </c>
      <c r="V46" t="s">
        <v>395</v>
      </c>
      <c r="W46">
        <v>66898</v>
      </c>
      <c r="X46">
        <v>45404</v>
      </c>
      <c r="Y46">
        <v>417.00165183680002</v>
      </c>
      <c r="Z46">
        <v>4400</v>
      </c>
      <c r="AA46">
        <v>609.80909090909995</v>
      </c>
      <c r="AB46">
        <v>13777</v>
      </c>
      <c r="AC46">
        <v>643.40139362709999</v>
      </c>
      <c r="AD46">
        <v>4843</v>
      </c>
      <c r="AE46">
        <v>517.73384265950006</v>
      </c>
      <c r="AF46">
        <v>2767</v>
      </c>
      <c r="AG46">
        <v>193.64691001080001</v>
      </c>
      <c r="AH46">
        <v>107</v>
      </c>
      <c r="AI46">
        <v>403.11214953270002</v>
      </c>
      <c r="AL46" t="s">
        <v>395</v>
      </c>
      <c r="AM46">
        <v>803</v>
      </c>
      <c r="AN46">
        <v>614</v>
      </c>
      <c r="AO46">
        <v>222.513029316</v>
      </c>
      <c r="AP46">
        <v>378</v>
      </c>
      <c r="AQ46">
        <v>312.29100529099998</v>
      </c>
      <c r="AR46">
        <v>166</v>
      </c>
      <c r="AS46">
        <v>226.84337349399999</v>
      </c>
      <c r="AT46">
        <v>21</v>
      </c>
      <c r="AU46">
        <v>250.42857142860001</v>
      </c>
      <c r="AV46">
        <v>2</v>
      </c>
      <c r="AW46">
        <v>1084.5</v>
      </c>
    </row>
    <row r="47" spans="6:49" x14ac:dyDescent="0.25">
      <c r="F47" t="s">
        <v>187</v>
      </c>
      <c r="G47">
        <v>246</v>
      </c>
      <c r="H47">
        <v>92</v>
      </c>
      <c r="I47">
        <v>155.84782608699999</v>
      </c>
      <c r="J47">
        <v>134</v>
      </c>
      <c r="K47">
        <v>231.45522388059999</v>
      </c>
      <c r="L47">
        <v>95</v>
      </c>
      <c r="M47">
        <v>291.18947368419998</v>
      </c>
      <c r="N47">
        <v>59</v>
      </c>
      <c r="O47">
        <v>363.83050847459998</v>
      </c>
      <c r="V47" t="s">
        <v>426</v>
      </c>
      <c r="W47">
        <v>422</v>
      </c>
      <c r="X47">
        <v>259</v>
      </c>
      <c r="Y47">
        <v>286.22779922780001</v>
      </c>
      <c r="Z47">
        <v>55</v>
      </c>
      <c r="AA47">
        <v>436.6</v>
      </c>
      <c r="AB47">
        <v>59</v>
      </c>
      <c r="AC47">
        <v>395.54237288140001</v>
      </c>
      <c r="AD47">
        <v>70</v>
      </c>
      <c r="AE47">
        <v>291.82857142860001</v>
      </c>
      <c r="AF47">
        <v>33</v>
      </c>
      <c r="AG47">
        <v>170.36363636359999</v>
      </c>
      <c r="AH47">
        <v>1</v>
      </c>
      <c r="AI47">
        <v>199</v>
      </c>
      <c r="AL47" t="s">
        <v>426</v>
      </c>
      <c r="AM47">
        <v>24</v>
      </c>
      <c r="AN47">
        <v>21</v>
      </c>
      <c r="AO47">
        <v>223.19047619049999</v>
      </c>
      <c r="AP47">
        <v>8</v>
      </c>
      <c r="AQ47">
        <v>295.375</v>
      </c>
      <c r="AR47">
        <v>1</v>
      </c>
      <c r="AS47">
        <v>87</v>
      </c>
      <c r="AT47">
        <v>2</v>
      </c>
      <c r="AU47">
        <v>153</v>
      </c>
    </row>
    <row r="48" spans="6:49" x14ac:dyDescent="0.25">
      <c r="F48" t="s">
        <v>73</v>
      </c>
      <c r="G48">
        <v>411</v>
      </c>
      <c r="H48">
        <v>235</v>
      </c>
      <c r="I48">
        <v>107.8723404255</v>
      </c>
      <c r="J48">
        <v>237</v>
      </c>
      <c r="K48">
        <v>234.19409282699999</v>
      </c>
      <c r="L48">
        <v>76</v>
      </c>
      <c r="M48">
        <v>165.8552631579</v>
      </c>
      <c r="N48">
        <v>95</v>
      </c>
      <c r="O48">
        <v>187.8315789474</v>
      </c>
      <c r="R48">
        <v>5</v>
      </c>
      <c r="S48">
        <v>95.2</v>
      </c>
      <c r="V48" t="s">
        <v>427</v>
      </c>
      <c r="W48">
        <v>205</v>
      </c>
      <c r="X48">
        <v>123</v>
      </c>
      <c r="Y48">
        <v>209.14634146340001</v>
      </c>
      <c r="Z48">
        <v>25</v>
      </c>
      <c r="AA48">
        <v>299.2</v>
      </c>
      <c r="AB48">
        <v>28</v>
      </c>
      <c r="AC48">
        <v>313.96428571429999</v>
      </c>
      <c r="AD48">
        <v>31</v>
      </c>
      <c r="AE48">
        <v>341.32258064519999</v>
      </c>
      <c r="AF48">
        <v>23</v>
      </c>
      <c r="AG48">
        <v>147.47826086960001</v>
      </c>
      <c r="AL48" t="s">
        <v>427</v>
      </c>
      <c r="AM48">
        <v>6</v>
      </c>
      <c r="AN48">
        <v>5</v>
      </c>
      <c r="AO48">
        <v>195.4</v>
      </c>
      <c r="AT48">
        <v>1</v>
      </c>
      <c r="AU48">
        <v>450</v>
      </c>
    </row>
    <row r="49" spans="6:51" x14ac:dyDescent="0.25">
      <c r="F49" t="s">
        <v>395</v>
      </c>
      <c r="G49">
        <v>64370</v>
      </c>
      <c r="H49">
        <v>45572</v>
      </c>
      <c r="I49">
        <v>416.89234617749997</v>
      </c>
      <c r="J49">
        <v>4402</v>
      </c>
      <c r="K49">
        <v>607.66787823719994</v>
      </c>
      <c r="L49">
        <v>13853</v>
      </c>
      <c r="M49">
        <v>644.23662744529997</v>
      </c>
      <c r="N49">
        <v>4839</v>
      </c>
      <c r="O49">
        <v>518.7011779293</v>
      </c>
      <c r="R49">
        <v>106</v>
      </c>
      <c r="S49">
        <v>401.05660377359999</v>
      </c>
      <c r="V49" t="s">
        <v>433</v>
      </c>
      <c r="W49">
        <v>499</v>
      </c>
      <c r="X49">
        <v>294</v>
      </c>
      <c r="Y49">
        <v>398.36054421770001</v>
      </c>
      <c r="Z49">
        <v>58</v>
      </c>
      <c r="AA49">
        <v>608.34482758620004</v>
      </c>
      <c r="AB49">
        <v>117</v>
      </c>
      <c r="AC49">
        <v>460.01709401710002</v>
      </c>
      <c r="AD49">
        <v>61</v>
      </c>
      <c r="AE49">
        <v>573.83606557380006</v>
      </c>
      <c r="AF49">
        <v>26</v>
      </c>
      <c r="AG49">
        <v>141.6538461538</v>
      </c>
      <c r="AH49">
        <v>1</v>
      </c>
      <c r="AI49">
        <v>88</v>
      </c>
      <c r="AL49" t="s">
        <v>433</v>
      </c>
      <c r="AM49">
        <v>19</v>
      </c>
      <c r="AN49">
        <v>12</v>
      </c>
      <c r="AO49">
        <v>236.5833333333</v>
      </c>
      <c r="AP49">
        <v>6</v>
      </c>
      <c r="AQ49">
        <v>288.6666666667</v>
      </c>
      <c r="AR49">
        <v>2</v>
      </c>
      <c r="AS49">
        <v>83</v>
      </c>
      <c r="AT49">
        <v>4</v>
      </c>
      <c r="AU49">
        <v>388.75</v>
      </c>
      <c r="AX49">
        <v>1</v>
      </c>
      <c r="AY49">
        <v>264</v>
      </c>
    </row>
    <row r="50" spans="6:51" x14ac:dyDescent="0.25">
      <c r="F50" t="s">
        <v>220</v>
      </c>
      <c r="G50">
        <v>1061</v>
      </c>
      <c r="H50">
        <v>740</v>
      </c>
      <c r="I50">
        <v>138.9824324324</v>
      </c>
      <c r="J50">
        <v>764</v>
      </c>
      <c r="K50">
        <v>254.9057591623</v>
      </c>
      <c r="L50">
        <v>264</v>
      </c>
      <c r="M50">
        <v>181.82196969699999</v>
      </c>
      <c r="N50">
        <v>57</v>
      </c>
      <c r="O50">
        <v>193.31578947369999</v>
      </c>
      <c r="V50" t="s">
        <v>386</v>
      </c>
      <c r="W50">
        <v>5314</v>
      </c>
      <c r="X50">
        <v>3943</v>
      </c>
      <c r="Y50">
        <v>551.36063910730002</v>
      </c>
      <c r="Z50">
        <v>296</v>
      </c>
      <c r="AA50">
        <v>1095.5168918919001</v>
      </c>
      <c r="AB50">
        <v>1046</v>
      </c>
      <c r="AC50">
        <v>826.67782026769999</v>
      </c>
      <c r="AD50">
        <v>233</v>
      </c>
      <c r="AE50">
        <v>637.51072961370005</v>
      </c>
      <c r="AF50">
        <v>89</v>
      </c>
      <c r="AG50">
        <v>164.55056179779999</v>
      </c>
      <c r="AH50">
        <v>3</v>
      </c>
      <c r="AI50">
        <v>547</v>
      </c>
      <c r="AL50" t="s">
        <v>386</v>
      </c>
      <c r="AM50">
        <v>79</v>
      </c>
      <c r="AN50">
        <v>61</v>
      </c>
      <c r="AO50">
        <v>218.54098360660001</v>
      </c>
      <c r="AP50">
        <v>17</v>
      </c>
      <c r="AQ50">
        <v>461.3529411765</v>
      </c>
      <c r="AR50">
        <v>15</v>
      </c>
      <c r="AS50">
        <v>261.60000000000002</v>
      </c>
      <c r="AT50">
        <v>3</v>
      </c>
      <c r="AU50">
        <v>136.6666666667</v>
      </c>
    </row>
    <row r="51" spans="6:51" x14ac:dyDescent="0.25">
      <c r="F51" t="s">
        <v>217</v>
      </c>
      <c r="G51">
        <v>1948</v>
      </c>
      <c r="H51">
        <v>1603</v>
      </c>
      <c r="I51">
        <v>292.6687461011</v>
      </c>
      <c r="J51">
        <v>276</v>
      </c>
      <c r="K51">
        <v>550.75724637680003</v>
      </c>
      <c r="L51">
        <v>314</v>
      </c>
      <c r="M51">
        <v>330.32484076430001</v>
      </c>
      <c r="N51">
        <v>31</v>
      </c>
      <c r="O51">
        <v>162.064516129</v>
      </c>
      <c r="V51" t="s">
        <v>63</v>
      </c>
      <c r="W51">
        <v>5451</v>
      </c>
      <c r="X51">
        <v>3602</v>
      </c>
      <c r="Y51">
        <v>278.8453636868</v>
      </c>
      <c r="Z51">
        <v>759</v>
      </c>
      <c r="AA51">
        <v>473.78656126480001</v>
      </c>
      <c r="AB51">
        <v>938</v>
      </c>
      <c r="AC51">
        <v>301.4125799574</v>
      </c>
      <c r="AD51">
        <v>587</v>
      </c>
      <c r="AE51">
        <v>601.43441226580001</v>
      </c>
      <c r="AF51">
        <v>288</v>
      </c>
      <c r="AG51">
        <v>193.2465277778</v>
      </c>
      <c r="AH51">
        <v>36</v>
      </c>
      <c r="AI51">
        <v>581.0277777778</v>
      </c>
      <c r="AL51" t="s">
        <v>63</v>
      </c>
      <c r="AM51">
        <v>250</v>
      </c>
      <c r="AN51">
        <v>205</v>
      </c>
      <c r="AO51">
        <v>288.70243902440001</v>
      </c>
      <c r="AP51">
        <v>53</v>
      </c>
      <c r="AQ51">
        <v>342.77358490569998</v>
      </c>
      <c r="AR51">
        <v>39</v>
      </c>
      <c r="AS51">
        <v>261.58974358969999</v>
      </c>
      <c r="AT51">
        <v>5</v>
      </c>
      <c r="AU51">
        <v>171</v>
      </c>
      <c r="AV51">
        <v>1</v>
      </c>
      <c r="AW51">
        <v>1664</v>
      </c>
    </row>
    <row r="52" spans="6:51" x14ac:dyDescent="0.25">
      <c r="F52" t="s">
        <v>218</v>
      </c>
      <c r="G52">
        <v>2559</v>
      </c>
      <c r="H52">
        <v>2146</v>
      </c>
      <c r="I52">
        <v>257.7148182665</v>
      </c>
      <c r="J52">
        <v>498</v>
      </c>
      <c r="K52">
        <v>357.98795180719998</v>
      </c>
      <c r="L52">
        <v>310</v>
      </c>
      <c r="M52">
        <v>250.8580645161</v>
      </c>
      <c r="N52">
        <v>102</v>
      </c>
      <c r="O52">
        <v>196.4901960784</v>
      </c>
      <c r="R52">
        <v>1</v>
      </c>
      <c r="S52">
        <v>264</v>
      </c>
      <c r="V52" t="s">
        <v>388</v>
      </c>
      <c r="W52">
        <v>14053</v>
      </c>
      <c r="X52">
        <v>9214</v>
      </c>
      <c r="Y52">
        <v>351.68840894290003</v>
      </c>
      <c r="Z52">
        <v>487</v>
      </c>
      <c r="AA52">
        <v>757.16016427099999</v>
      </c>
      <c r="AB52">
        <v>3783</v>
      </c>
      <c r="AC52">
        <v>774.51704996030003</v>
      </c>
      <c r="AD52">
        <v>715</v>
      </c>
      <c r="AE52">
        <v>530.25174825169995</v>
      </c>
      <c r="AF52">
        <v>336</v>
      </c>
      <c r="AG52">
        <v>175.05357142860001</v>
      </c>
      <c r="AH52">
        <v>5</v>
      </c>
      <c r="AI52">
        <v>88.4</v>
      </c>
      <c r="AL52" t="s">
        <v>388</v>
      </c>
      <c r="AM52">
        <v>163</v>
      </c>
      <c r="AN52">
        <v>132</v>
      </c>
      <c r="AO52">
        <v>234.21212121209999</v>
      </c>
      <c r="AP52">
        <v>30</v>
      </c>
      <c r="AQ52">
        <v>293.10000000000002</v>
      </c>
      <c r="AR52">
        <v>23</v>
      </c>
      <c r="AS52">
        <v>251.4347826087</v>
      </c>
      <c r="AT52">
        <v>8</v>
      </c>
      <c r="AU52">
        <v>194.25</v>
      </c>
    </row>
    <row r="53" spans="6:51" x14ac:dyDescent="0.25">
      <c r="F53" t="s">
        <v>472</v>
      </c>
      <c r="G53">
        <v>5568</v>
      </c>
      <c r="H53">
        <v>4489</v>
      </c>
      <c r="I53">
        <v>250.6239697037</v>
      </c>
      <c r="J53">
        <v>1538</v>
      </c>
      <c r="K53">
        <v>341.37516254880001</v>
      </c>
      <c r="L53">
        <v>888</v>
      </c>
      <c r="M53">
        <v>258.4335585586</v>
      </c>
      <c r="N53">
        <v>190</v>
      </c>
      <c r="O53">
        <v>189.92105263159999</v>
      </c>
      <c r="R53">
        <v>1</v>
      </c>
      <c r="S53">
        <v>264</v>
      </c>
      <c r="V53" t="s">
        <v>384</v>
      </c>
      <c r="W53">
        <v>4070</v>
      </c>
      <c r="X53">
        <v>2845</v>
      </c>
      <c r="Y53">
        <v>343.8622144112</v>
      </c>
      <c r="Z53">
        <v>355</v>
      </c>
      <c r="AA53">
        <v>532.30422535210005</v>
      </c>
      <c r="AB53">
        <v>524</v>
      </c>
      <c r="AC53">
        <v>343.97519083970002</v>
      </c>
      <c r="AD53">
        <v>502</v>
      </c>
      <c r="AE53">
        <v>455.73306772910001</v>
      </c>
      <c r="AF53">
        <v>194</v>
      </c>
      <c r="AG53">
        <v>202.52061855669999</v>
      </c>
      <c r="AH53">
        <v>5</v>
      </c>
      <c r="AI53">
        <v>443.2</v>
      </c>
      <c r="AL53" t="s">
        <v>384</v>
      </c>
      <c r="AM53">
        <v>169</v>
      </c>
      <c r="AN53">
        <v>137</v>
      </c>
      <c r="AO53">
        <v>218.598540146</v>
      </c>
      <c r="AP53">
        <v>29</v>
      </c>
      <c r="AQ53">
        <v>269.27586206900003</v>
      </c>
      <c r="AR53">
        <v>23</v>
      </c>
      <c r="AS53">
        <v>201.4347826087</v>
      </c>
      <c r="AT53">
        <v>7</v>
      </c>
      <c r="AU53">
        <v>203.71428571429999</v>
      </c>
      <c r="AV53">
        <v>2</v>
      </c>
      <c r="AW53">
        <v>1000.5</v>
      </c>
    </row>
    <row r="54" spans="6:51" x14ac:dyDescent="0.25">
      <c r="F54" t="s">
        <v>81</v>
      </c>
      <c r="G54">
        <v>355</v>
      </c>
      <c r="H54">
        <v>245</v>
      </c>
      <c r="I54">
        <v>221.5387755102</v>
      </c>
      <c r="J54">
        <v>52</v>
      </c>
      <c r="K54">
        <v>397.75</v>
      </c>
      <c r="L54">
        <v>46</v>
      </c>
      <c r="M54">
        <v>324.5652173913</v>
      </c>
      <c r="N54">
        <v>63</v>
      </c>
      <c r="O54">
        <v>259.71428571429999</v>
      </c>
      <c r="R54">
        <v>1</v>
      </c>
      <c r="S54">
        <v>199</v>
      </c>
      <c r="V54" t="s">
        <v>383</v>
      </c>
      <c r="W54">
        <v>948</v>
      </c>
      <c r="X54">
        <v>487</v>
      </c>
      <c r="Y54">
        <v>193.7638603696</v>
      </c>
      <c r="Z54">
        <v>249</v>
      </c>
      <c r="AA54">
        <v>348.83935742969999</v>
      </c>
      <c r="AB54">
        <v>202</v>
      </c>
      <c r="AC54">
        <v>283.96039603960003</v>
      </c>
      <c r="AD54">
        <v>152</v>
      </c>
      <c r="AE54">
        <v>284.60526315790003</v>
      </c>
      <c r="AF54">
        <v>106</v>
      </c>
      <c r="AG54">
        <v>205.84905660379999</v>
      </c>
      <c r="AH54">
        <v>1</v>
      </c>
      <c r="AI54">
        <v>92</v>
      </c>
      <c r="AL54" t="s">
        <v>383</v>
      </c>
      <c r="AM54">
        <v>57</v>
      </c>
      <c r="AN54">
        <v>53</v>
      </c>
      <c r="AO54">
        <v>230.77358490570001</v>
      </c>
      <c r="AP54">
        <v>3</v>
      </c>
      <c r="AQ54">
        <v>281.6666666667</v>
      </c>
      <c r="AR54">
        <v>4</v>
      </c>
      <c r="AS54">
        <v>160.25</v>
      </c>
    </row>
    <row r="55" spans="6:51" x14ac:dyDescent="0.25">
      <c r="F55" t="s">
        <v>38</v>
      </c>
      <c r="G55">
        <v>3413</v>
      </c>
      <c r="H55">
        <v>2283</v>
      </c>
      <c r="I55">
        <v>471.88961892250001</v>
      </c>
      <c r="J55">
        <v>360</v>
      </c>
      <c r="K55">
        <v>805.3</v>
      </c>
      <c r="L55">
        <v>815</v>
      </c>
      <c r="M55">
        <v>675.75582822089996</v>
      </c>
      <c r="N55">
        <v>307</v>
      </c>
      <c r="O55">
        <v>687.97394136809999</v>
      </c>
      <c r="R55">
        <v>8</v>
      </c>
      <c r="S55">
        <v>92.25</v>
      </c>
      <c r="V55" t="s">
        <v>385</v>
      </c>
      <c r="W55">
        <v>6537</v>
      </c>
      <c r="X55">
        <v>4354</v>
      </c>
      <c r="Y55">
        <v>379.3272852549</v>
      </c>
      <c r="Z55">
        <v>469</v>
      </c>
      <c r="AA55">
        <v>533.83155650319998</v>
      </c>
      <c r="AB55">
        <v>943</v>
      </c>
      <c r="AC55">
        <v>540.86744432659998</v>
      </c>
      <c r="AD55">
        <v>906</v>
      </c>
      <c r="AE55">
        <v>636.88631346579996</v>
      </c>
      <c r="AF55">
        <v>327</v>
      </c>
      <c r="AG55">
        <v>176.26299694190001</v>
      </c>
      <c r="AH55">
        <v>7</v>
      </c>
      <c r="AI55">
        <v>492.42857142859998</v>
      </c>
      <c r="AL55" t="s">
        <v>385</v>
      </c>
      <c r="AM55">
        <v>279</v>
      </c>
      <c r="AN55">
        <v>235</v>
      </c>
      <c r="AO55">
        <v>253.46382978720001</v>
      </c>
      <c r="AP55">
        <v>51</v>
      </c>
      <c r="AQ55">
        <v>347.5098039216</v>
      </c>
      <c r="AR55">
        <v>28</v>
      </c>
      <c r="AS55">
        <v>308.82142857140002</v>
      </c>
      <c r="AT55">
        <v>14</v>
      </c>
      <c r="AU55">
        <v>227.1428571429</v>
      </c>
      <c r="AV55">
        <v>2</v>
      </c>
      <c r="AW55">
        <v>295</v>
      </c>
    </row>
    <row r="56" spans="6:51" x14ac:dyDescent="0.25">
      <c r="F56" t="s">
        <v>64</v>
      </c>
      <c r="G56">
        <v>2667</v>
      </c>
      <c r="H56">
        <v>2093</v>
      </c>
      <c r="I56">
        <v>364.24414715720002</v>
      </c>
      <c r="J56">
        <v>217</v>
      </c>
      <c r="K56">
        <v>608.47465437790004</v>
      </c>
      <c r="L56">
        <v>223</v>
      </c>
      <c r="M56">
        <v>102.134529148</v>
      </c>
      <c r="N56">
        <v>350</v>
      </c>
      <c r="O56">
        <v>383.91714285709998</v>
      </c>
      <c r="R56">
        <v>1</v>
      </c>
      <c r="S56">
        <v>795</v>
      </c>
      <c r="V56" t="s">
        <v>382</v>
      </c>
      <c r="W56">
        <v>319</v>
      </c>
      <c r="X56">
        <v>123</v>
      </c>
      <c r="Y56">
        <v>127.8861788618</v>
      </c>
      <c r="Z56">
        <v>87</v>
      </c>
      <c r="AA56">
        <v>259.95402298850001</v>
      </c>
      <c r="AB56">
        <v>86</v>
      </c>
      <c r="AC56">
        <v>148.53488372090001</v>
      </c>
      <c r="AD56">
        <v>42</v>
      </c>
      <c r="AE56">
        <v>205.23809523809999</v>
      </c>
      <c r="AF56">
        <v>63</v>
      </c>
      <c r="AG56">
        <v>148.07936507939999</v>
      </c>
      <c r="AH56">
        <v>5</v>
      </c>
      <c r="AI56">
        <v>136.4</v>
      </c>
      <c r="AL56" t="s">
        <v>382</v>
      </c>
      <c r="AM56">
        <v>23</v>
      </c>
      <c r="AN56">
        <v>17</v>
      </c>
      <c r="AO56">
        <v>269.8823529412</v>
      </c>
      <c r="AP56">
        <v>3</v>
      </c>
      <c r="AQ56">
        <v>232</v>
      </c>
      <c r="AR56">
        <v>4</v>
      </c>
      <c r="AS56">
        <v>283.5</v>
      </c>
      <c r="AT56">
        <v>2</v>
      </c>
      <c r="AU56">
        <v>69.5</v>
      </c>
    </row>
    <row r="57" spans="6:51" x14ac:dyDescent="0.25">
      <c r="F57" t="s">
        <v>24</v>
      </c>
      <c r="G57">
        <v>1744</v>
      </c>
      <c r="H57">
        <v>1046</v>
      </c>
      <c r="I57">
        <v>229.27629063099999</v>
      </c>
      <c r="J57">
        <v>370</v>
      </c>
      <c r="K57">
        <v>296.36216216219998</v>
      </c>
      <c r="L57">
        <v>504</v>
      </c>
      <c r="M57">
        <v>307.3333333333</v>
      </c>
      <c r="N57">
        <v>181</v>
      </c>
      <c r="O57">
        <v>508.49723756909998</v>
      </c>
      <c r="R57">
        <v>13</v>
      </c>
      <c r="S57">
        <v>555.76923076920002</v>
      </c>
      <c r="V57" t="s">
        <v>381</v>
      </c>
      <c r="W57">
        <v>3512</v>
      </c>
      <c r="X57">
        <v>2119</v>
      </c>
      <c r="Y57">
        <v>469.98442661630003</v>
      </c>
      <c r="Z57">
        <v>435</v>
      </c>
      <c r="AA57">
        <v>678.69885057470003</v>
      </c>
      <c r="AB57">
        <v>873</v>
      </c>
      <c r="AC57">
        <v>592.20160366549999</v>
      </c>
      <c r="AD57">
        <v>345</v>
      </c>
      <c r="AE57">
        <v>627.5043478261</v>
      </c>
      <c r="AF57">
        <v>167</v>
      </c>
      <c r="AG57">
        <v>193.89221556890001</v>
      </c>
      <c r="AH57">
        <v>8</v>
      </c>
      <c r="AI57">
        <v>92.25</v>
      </c>
      <c r="AL57" t="s">
        <v>381</v>
      </c>
      <c r="AM57">
        <v>117</v>
      </c>
      <c r="AN57">
        <v>98</v>
      </c>
      <c r="AO57">
        <v>282.0306122449</v>
      </c>
      <c r="AP57">
        <v>27</v>
      </c>
      <c r="AQ57">
        <v>457.8148148148</v>
      </c>
      <c r="AR57">
        <v>13</v>
      </c>
      <c r="AS57">
        <v>287.07692307690002</v>
      </c>
      <c r="AT57">
        <v>6</v>
      </c>
      <c r="AU57">
        <v>222</v>
      </c>
    </row>
    <row r="58" spans="6:51" x14ac:dyDescent="0.25">
      <c r="F58" t="s">
        <v>72</v>
      </c>
      <c r="G58">
        <v>14146</v>
      </c>
      <c r="H58">
        <v>9405</v>
      </c>
      <c r="I58">
        <v>343.61765018609998</v>
      </c>
      <c r="J58">
        <v>493</v>
      </c>
      <c r="K58">
        <v>778.14401622720004</v>
      </c>
      <c r="L58">
        <v>4020</v>
      </c>
      <c r="M58">
        <v>786.61393034829996</v>
      </c>
      <c r="N58">
        <v>716</v>
      </c>
      <c r="O58">
        <v>527.57960893849997</v>
      </c>
      <c r="R58">
        <v>5</v>
      </c>
      <c r="S58">
        <v>88.4</v>
      </c>
      <c r="V58" t="s">
        <v>425</v>
      </c>
      <c r="W58">
        <v>706</v>
      </c>
      <c r="X58">
        <v>558</v>
      </c>
      <c r="Y58">
        <v>332.05555555559999</v>
      </c>
      <c r="Z58">
        <v>112</v>
      </c>
      <c r="AA58">
        <v>715.51785714289997</v>
      </c>
      <c r="AB58">
        <v>66</v>
      </c>
      <c r="AC58">
        <v>191.3333333333</v>
      </c>
      <c r="AD58">
        <v>44</v>
      </c>
      <c r="AE58">
        <v>397.54545454549998</v>
      </c>
      <c r="AF58">
        <v>38</v>
      </c>
      <c r="AG58">
        <v>233.97368421050001</v>
      </c>
      <c r="AL58" t="s">
        <v>425</v>
      </c>
      <c r="AM58">
        <v>19</v>
      </c>
      <c r="AN58">
        <v>17</v>
      </c>
      <c r="AO58">
        <v>288.8823529412</v>
      </c>
      <c r="AP58">
        <v>4</v>
      </c>
      <c r="AQ58">
        <v>199.25</v>
      </c>
      <c r="AR58">
        <v>2</v>
      </c>
      <c r="AS58">
        <v>176.5</v>
      </c>
    </row>
    <row r="59" spans="6:51" x14ac:dyDescent="0.25">
      <c r="F59" t="s">
        <v>47</v>
      </c>
      <c r="G59">
        <v>781</v>
      </c>
      <c r="H59">
        <v>456</v>
      </c>
      <c r="I59">
        <v>165.84429824559999</v>
      </c>
      <c r="J59">
        <v>239</v>
      </c>
      <c r="K59">
        <v>337.74476987449998</v>
      </c>
      <c r="L59">
        <v>186</v>
      </c>
      <c r="M59">
        <v>245.54838709680001</v>
      </c>
      <c r="N59">
        <v>138</v>
      </c>
      <c r="O59">
        <v>259.884057971</v>
      </c>
      <c r="R59">
        <v>1</v>
      </c>
      <c r="S59">
        <v>92</v>
      </c>
      <c r="V59" t="s">
        <v>389</v>
      </c>
      <c r="W59">
        <v>2363</v>
      </c>
      <c r="X59">
        <v>1534</v>
      </c>
      <c r="Y59">
        <v>351.53129074319997</v>
      </c>
      <c r="Z59">
        <v>348</v>
      </c>
      <c r="AA59">
        <v>504.5</v>
      </c>
      <c r="AB59">
        <v>195</v>
      </c>
      <c r="AC59">
        <v>278.63076923080001</v>
      </c>
      <c r="AD59">
        <v>481</v>
      </c>
      <c r="AE59">
        <v>455.17255717260002</v>
      </c>
      <c r="AF59">
        <v>150</v>
      </c>
      <c r="AG59">
        <v>179.52</v>
      </c>
      <c r="AH59">
        <v>3</v>
      </c>
      <c r="AI59">
        <v>518.66666666670005</v>
      </c>
      <c r="AL59" t="s">
        <v>389</v>
      </c>
      <c r="AM59">
        <v>41</v>
      </c>
      <c r="AN59">
        <v>31</v>
      </c>
      <c r="AO59">
        <v>204.45161290319999</v>
      </c>
      <c r="AP59">
        <v>10</v>
      </c>
      <c r="AQ59">
        <v>453.5</v>
      </c>
      <c r="AR59">
        <v>7</v>
      </c>
      <c r="AS59">
        <v>175</v>
      </c>
      <c r="AT59">
        <v>3</v>
      </c>
      <c r="AU59">
        <v>125</v>
      </c>
    </row>
    <row r="60" spans="6:51" x14ac:dyDescent="0.25">
      <c r="F60" t="s">
        <v>63</v>
      </c>
      <c r="G60">
        <v>3350</v>
      </c>
      <c r="H60">
        <v>2490</v>
      </c>
      <c r="I60">
        <v>286.69718875500001</v>
      </c>
      <c r="J60">
        <v>400</v>
      </c>
      <c r="K60">
        <v>650.51</v>
      </c>
      <c r="L60">
        <v>410</v>
      </c>
      <c r="M60">
        <v>264.61951219510001</v>
      </c>
      <c r="N60">
        <v>425</v>
      </c>
      <c r="O60">
        <v>633.23058823530005</v>
      </c>
      <c r="R60">
        <v>25</v>
      </c>
      <c r="S60">
        <v>576.44000000000005</v>
      </c>
      <c r="V60" t="s">
        <v>392</v>
      </c>
      <c r="W60">
        <v>10334</v>
      </c>
      <c r="X60">
        <v>7385</v>
      </c>
      <c r="Y60">
        <v>265.0097494922</v>
      </c>
      <c r="Z60">
        <v>968</v>
      </c>
      <c r="AA60">
        <v>493.76652892560003</v>
      </c>
      <c r="AB60">
        <v>1359</v>
      </c>
      <c r="AC60">
        <v>232.6519499632</v>
      </c>
      <c r="AD60">
        <v>968</v>
      </c>
      <c r="AE60">
        <v>371.48553719009999</v>
      </c>
      <c r="AF60">
        <v>605</v>
      </c>
      <c r="AG60">
        <v>162.2363636364</v>
      </c>
      <c r="AH60">
        <v>17</v>
      </c>
      <c r="AI60">
        <v>320.5882352941</v>
      </c>
      <c r="AL60" t="s">
        <v>392</v>
      </c>
      <c r="AM60">
        <v>227</v>
      </c>
      <c r="AN60">
        <v>197</v>
      </c>
      <c r="AO60">
        <v>231.0659898477</v>
      </c>
      <c r="AP60">
        <v>30</v>
      </c>
      <c r="AQ60">
        <v>297.10000000000002</v>
      </c>
      <c r="AR60">
        <v>18</v>
      </c>
      <c r="AS60">
        <v>225.1666666667</v>
      </c>
      <c r="AT60">
        <v>10</v>
      </c>
      <c r="AU60">
        <v>223.1</v>
      </c>
      <c r="AV60">
        <v>2</v>
      </c>
      <c r="AW60">
        <v>223</v>
      </c>
    </row>
    <row r="61" spans="6:51" x14ac:dyDescent="0.25">
      <c r="F61" t="s">
        <v>36</v>
      </c>
      <c r="G61">
        <v>5435</v>
      </c>
      <c r="H61">
        <v>4090</v>
      </c>
      <c r="I61">
        <v>571.13105134470004</v>
      </c>
      <c r="J61">
        <v>311</v>
      </c>
      <c r="K61">
        <v>1142.2186495177</v>
      </c>
      <c r="L61">
        <v>1093</v>
      </c>
      <c r="M61">
        <v>836.15919487650001</v>
      </c>
      <c r="N61">
        <v>248</v>
      </c>
      <c r="O61">
        <v>681.66532258059999</v>
      </c>
      <c r="R61">
        <v>4</v>
      </c>
      <c r="S61">
        <v>609.75</v>
      </c>
      <c r="V61" t="s">
        <v>424</v>
      </c>
      <c r="W61">
        <v>565</v>
      </c>
      <c r="X61">
        <v>345</v>
      </c>
      <c r="Y61">
        <v>364.15652173910001</v>
      </c>
      <c r="Z61">
        <v>24</v>
      </c>
      <c r="AA61">
        <v>1034.375</v>
      </c>
      <c r="AB61">
        <v>171</v>
      </c>
      <c r="AC61">
        <v>901.01169590639995</v>
      </c>
      <c r="AD61">
        <v>35</v>
      </c>
      <c r="AE61">
        <v>551.08571428569996</v>
      </c>
      <c r="AF61">
        <v>14</v>
      </c>
      <c r="AG61">
        <v>193.07142857139999</v>
      </c>
      <c r="AL61" t="s">
        <v>424</v>
      </c>
      <c r="AM61">
        <v>10</v>
      </c>
      <c r="AN61">
        <v>10</v>
      </c>
      <c r="AO61">
        <v>179.7</v>
      </c>
      <c r="AP61">
        <v>1</v>
      </c>
      <c r="AQ61">
        <v>171</v>
      </c>
    </row>
    <row r="62" spans="6:51" x14ac:dyDescent="0.25">
      <c r="F62" t="s">
        <v>50</v>
      </c>
      <c r="G62">
        <v>2000</v>
      </c>
      <c r="H62">
        <v>1380</v>
      </c>
      <c r="I62">
        <v>330.86884057970002</v>
      </c>
      <c r="J62">
        <v>350</v>
      </c>
      <c r="K62">
        <v>500.20285714289997</v>
      </c>
      <c r="L62">
        <v>164</v>
      </c>
      <c r="M62">
        <v>170.6524390244</v>
      </c>
      <c r="N62">
        <v>453</v>
      </c>
      <c r="O62">
        <v>423.65342163359998</v>
      </c>
      <c r="R62">
        <v>3</v>
      </c>
      <c r="S62">
        <v>518.66666666670005</v>
      </c>
      <c r="V62" t="s">
        <v>379</v>
      </c>
      <c r="W62">
        <v>55298</v>
      </c>
      <c r="X62">
        <v>37185</v>
      </c>
      <c r="Y62">
        <v>354.41670028239997</v>
      </c>
      <c r="Z62">
        <v>4727</v>
      </c>
      <c r="AA62">
        <v>575.82652845359996</v>
      </c>
      <c r="AB62">
        <v>10390</v>
      </c>
      <c r="AC62">
        <v>575.36025024059995</v>
      </c>
      <c r="AD62">
        <v>5172</v>
      </c>
      <c r="AE62">
        <v>509.70746326369999</v>
      </c>
      <c r="AF62">
        <v>2459</v>
      </c>
      <c r="AG62">
        <v>178.50589670599999</v>
      </c>
      <c r="AH62">
        <v>92</v>
      </c>
      <c r="AI62">
        <v>407.26086956519998</v>
      </c>
      <c r="AL62" t="s">
        <v>379</v>
      </c>
      <c r="AM62">
        <v>1483</v>
      </c>
      <c r="AN62">
        <v>1231</v>
      </c>
      <c r="AO62">
        <v>247.33549959379999</v>
      </c>
      <c r="AP62">
        <v>272</v>
      </c>
      <c r="AQ62">
        <v>340.98529411760001</v>
      </c>
      <c r="AR62">
        <v>179</v>
      </c>
      <c r="AS62">
        <v>249.05027932959999</v>
      </c>
      <c r="AT62">
        <v>65</v>
      </c>
      <c r="AU62">
        <v>212.50769230770001</v>
      </c>
      <c r="AV62">
        <v>7</v>
      </c>
      <c r="AW62">
        <v>671.57142857140002</v>
      </c>
      <c r="AX62">
        <v>1</v>
      </c>
      <c r="AY62">
        <v>264</v>
      </c>
    </row>
    <row r="63" spans="6:51" x14ac:dyDescent="0.25">
      <c r="F63" t="s">
        <v>57</v>
      </c>
      <c r="G63">
        <v>635</v>
      </c>
      <c r="H63">
        <v>529</v>
      </c>
      <c r="I63">
        <v>323.22873345940002</v>
      </c>
      <c r="J63">
        <v>109</v>
      </c>
      <c r="K63">
        <v>736.40366972480001</v>
      </c>
      <c r="L63">
        <v>60</v>
      </c>
      <c r="M63">
        <v>80.849999999999994</v>
      </c>
      <c r="N63">
        <v>46</v>
      </c>
      <c r="O63">
        <v>365.08695652170002</v>
      </c>
      <c r="V63" t="s">
        <v>708</v>
      </c>
      <c r="W63">
        <v>308173</v>
      </c>
      <c r="X63">
        <v>216186</v>
      </c>
      <c r="Y63">
        <v>399.1954566901</v>
      </c>
      <c r="Z63">
        <v>21417</v>
      </c>
      <c r="AA63">
        <v>594.67381052430005</v>
      </c>
      <c r="AB63">
        <v>55614</v>
      </c>
      <c r="AC63">
        <v>621.50933218249997</v>
      </c>
      <c r="AD63">
        <v>23479</v>
      </c>
      <c r="AE63">
        <v>525.71544784699995</v>
      </c>
      <c r="AF63">
        <v>12469</v>
      </c>
      <c r="AG63">
        <v>185.31638463389999</v>
      </c>
      <c r="AH63">
        <v>425</v>
      </c>
      <c r="AI63">
        <v>437.5623529412</v>
      </c>
      <c r="AL63" t="s">
        <v>708</v>
      </c>
      <c r="AM63">
        <v>5602</v>
      </c>
      <c r="AN63">
        <v>4489</v>
      </c>
      <c r="AO63">
        <v>250.6239697037</v>
      </c>
      <c r="AP63">
        <v>1538</v>
      </c>
      <c r="AQ63">
        <v>341.37516254880001</v>
      </c>
      <c r="AR63">
        <v>888</v>
      </c>
      <c r="AS63">
        <v>258.4335585586</v>
      </c>
      <c r="AT63">
        <v>190</v>
      </c>
      <c r="AU63">
        <v>189.92105263159999</v>
      </c>
      <c r="AV63">
        <v>34</v>
      </c>
      <c r="AW63">
        <v>296.0882352941</v>
      </c>
      <c r="AX63">
        <v>1</v>
      </c>
      <c r="AY63">
        <v>264</v>
      </c>
    </row>
    <row r="64" spans="6:51" x14ac:dyDescent="0.25">
      <c r="F64" t="s">
        <v>68</v>
      </c>
      <c r="G64">
        <v>4819</v>
      </c>
      <c r="H64">
        <v>3676</v>
      </c>
      <c r="I64">
        <v>546.84602829159996</v>
      </c>
      <c r="J64">
        <v>129</v>
      </c>
      <c r="K64">
        <v>992.49612403100002</v>
      </c>
      <c r="L64">
        <v>266</v>
      </c>
      <c r="M64">
        <v>624.53007518799996</v>
      </c>
      <c r="N64">
        <v>875</v>
      </c>
      <c r="O64">
        <v>854.64457142859999</v>
      </c>
      <c r="R64">
        <v>2</v>
      </c>
      <c r="S64">
        <v>695.5</v>
      </c>
    </row>
    <row r="65" spans="6:19" x14ac:dyDescent="0.25">
      <c r="F65" t="s">
        <v>70</v>
      </c>
      <c r="G65">
        <v>463</v>
      </c>
      <c r="H65">
        <v>210</v>
      </c>
      <c r="I65">
        <v>110.25714285710001</v>
      </c>
      <c r="J65">
        <v>171</v>
      </c>
      <c r="K65">
        <v>219.92397660820001</v>
      </c>
      <c r="L65">
        <v>170</v>
      </c>
      <c r="M65">
        <v>113.3941176471</v>
      </c>
      <c r="N65">
        <v>78</v>
      </c>
      <c r="O65">
        <v>191.38461538460001</v>
      </c>
      <c r="R65">
        <v>5</v>
      </c>
      <c r="S65">
        <v>136.4</v>
      </c>
    </row>
    <row r="66" spans="6:19" x14ac:dyDescent="0.25">
      <c r="F66" t="s">
        <v>85</v>
      </c>
      <c r="G66">
        <v>184</v>
      </c>
      <c r="H66">
        <v>56</v>
      </c>
      <c r="I66">
        <v>1049.4107142856999</v>
      </c>
      <c r="J66">
        <v>21</v>
      </c>
      <c r="K66">
        <v>1072.9047619047999</v>
      </c>
      <c r="L66">
        <v>73</v>
      </c>
      <c r="M66">
        <v>593.87671232879995</v>
      </c>
      <c r="N66">
        <v>55</v>
      </c>
      <c r="O66">
        <v>615.76363636359997</v>
      </c>
    </row>
    <row r="67" spans="6:19" x14ac:dyDescent="0.25">
      <c r="F67" t="s">
        <v>66</v>
      </c>
      <c r="G67">
        <v>4921</v>
      </c>
      <c r="H67">
        <v>3235</v>
      </c>
      <c r="I67">
        <v>239.65533230290001</v>
      </c>
      <c r="J67">
        <v>565</v>
      </c>
      <c r="K67">
        <v>419.93982300879998</v>
      </c>
      <c r="L67">
        <v>1071</v>
      </c>
      <c r="M67">
        <v>500.05695611580001</v>
      </c>
      <c r="N67">
        <v>606</v>
      </c>
      <c r="O67">
        <v>582.31188118809996</v>
      </c>
      <c r="R67">
        <v>9</v>
      </c>
      <c r="S67">
        <v>352</v>
      </c>
    </row>
    <row r="68" spans="6:19" x14ac:dyDescent="0.25">
      <c r="F68" t="s">
        <v>440</v>
      </c>
      <c r="G68">
        <v>9</v>
      </c>
      <c r="H68">
        <v>3</v>
      </c>
      <c r="I68">
        <v>385</v>
      </c>
      <c r="J68">
        <v>1</v>
      </c>
      <c r="K68">
        <v>5435</v>
      </c>
      <c r="L68">
        <v>2</v>
      </c>
      <c r="M68">
        <v>1163.5</v>
      </c>
      <c r="N68">
        <v>3</v>
      </c>
      <c r="O68">
        <v>52.333333333299997</v>
      </c>
      <c r="R68">
        <v>1</v>
      </c>
      <c r="S68">
        <v>220</v>
      </c>
    </row>
    <row r="69" spans="6:19" x14ac:dyDescent="0.25">
      <c r="F69" t="s">
        <v>86</v>
      </c>
      <c r="G69">
        <v>9397</v>
      </c>
      <c r="H69">
        <v>7157</v>
      </c>
      <c r="I69">
        <v>253.6344837222</v>
      </c>
      <c r="J69">
        <v>949</v>
      </c>
      <c r="K69">
        <v>489.68493150680001</v>
      </c>
      <c r="L69">
        <v>1278</v>
      </c>
      <c r="M69">
        <v>190.56103286379999</v>
      </c>
      <c r="N69">
        <v>945</v>
      </c>
      <c r="O69">
        <v>354.27195767199998</v>
      </c>
      <c r="R69">
        <v>17</v>
      </c>
      <c r="S69">
        <v>320.5882352941</v>
      </c>
    </row>
    <row r="70" spans="6:19" x14ac:dyDescent="0.25">
      <c r="F70" t="s">
        <v>141</v>
      </c>
      <c r="G70">
        <v>207</v>
      </c>
      <c r="H70">
        <v>118</v>
      </c>
      <c r="I70">
        <v>192.686440678</v>
      </c>
      <c r="J70">
        <v>26</v>
      </c>
      <c r="K70">
        <v>504.07692307690002</v>
      </c>
      <c r="L70">
        <v>43</v>
      </c>
      <c r="M70">
        <v>480.62790697669999</v>
      </c>
      <c r="N70">
        <v>46</v>
      </c>
      <c r="O70">
        <v>445.78260869569999</v>
      </c>
    </row>
    <row r="71" spans="6:19" x14ac:dyDescent="0.25">
      <c r="F71" t="s">
        <v>379</v>
      </c>
      <c r="G71">
        <v>54526</v>
      </c>
      <c r="H71">
        <v>38472</v>
      </c>
      <c r="I71">
        <v>359.35462154290002</v>
      </c>
      <c r="J71">
        <v>4763</v>
      </c>
      <c r="K71">
        <v>587.04408985930002</v>
      </c>
      <c r="L71">
        <v>10424</v>
      </c>
      <c r="M71">
        <v>579.17344589410004</v>
      </c>
      <c r="N71">
        <v>5535</v>
      </c>
      <c r="O71">
        <v>545.51309846430001</v>
      </c>
      <c r="R71">
        <v>95</v>
      </c>
      <c r="S71">
        <v>408.5052631579</v>
      </c>
    </row>
    <row r="72" spans="6:19" x14ac:dyDescent="0.25">
      <c r="F72" t="s">
        <v>708</v>
      </c>
      <c r="G72">
        <v>313775</v>
      </c>
      <c r="H72">
        <v>220675</v>
      </c>
      <c r="I72">
        <v>396.17319587629999</v>
      </c>
      <c r="J72">
        <v>22955</v>
      </c>
      <c r="K72">
        <v>577.70263559140005</v>
      </c>
      <c r="L72">
        <v>56502</v>
      </c>
      <c r="M72">
        <v>615.80313971190003</v>
      </c>
      <c r="N72">
        <v>23669</v>
      </c>
      <c r="O72">
        <v>523.01989944649995</v>
      </c>
      <c r="P72">
        <v>12503</v>
      </c>
      <c r="Q72">
        <v>185.6176117732</v>
      </c>
      <c r="R72">
        <v>426</v>
      </c>
      <c r="S72">
        <v>437.15492957750001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3.2" x14ac:dyDescent="0.25"/>
  <cols>
    <col min="1" max="1" width="9" bestFit="1" customWidth="1"/>
    <col min="2" max="2" width="24.88671875" bestFit="1" customWidth="1"/>
    <col min="3" max="3" width="7.5546875" bestFit="1" customWidth="1"/>
    <col min="4" max="4" width="18.6640625" bestFit="1" customWidth="1"/>
    <col min="5" max="5" width="9.109375" bestFit="1" customWidth="1"/>
    <col min="6" max="6" width="33.44140625" bestFit="1" customWidth="1"/>
    <col min="7" max="7" width="10.21875" bestFit="1" customWidth="1"/>
    <col min="8" max="8" width="12.33203125" bestFit="1" customWidth="1"/>
    <col min="9" max="9" width="12.44140625" bestFit="1" customWidth="1"/>
    <col min="10" max="10" width="9.44140625" bestFit="1" customWidth="1"/>
    <col min="11" max="11" width="12.21875" bestFit="1" customWidth="1"/>
    <col min="12" max="12" width="10.109375" bestFit="1" customWidth="1"/>
    <col min="13" max="13" width="11.6640625" bestFit="1" customWidth="1"/>
    <col min="14" max="14" width="17.5546875" bestFit="1" customWidth="1"/>
    <col min="15" max="15" width="9.77734375" bestFit="1" customWidth="1"/>
    <col min="16" max="16" width="11.33203125" bestFit="1" customWidth="1"/>
    <col min="17" max="17" width="9.44140625" bestFit="1" customWidth="1"/>
    <col min="18" max="18" width="11.33203125" bestFit="1" customWidth="1"/>
  </cols>
  <sheetData>
    <row r="1" spans="1:18" x14ac:dyDescent="0.25">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688</v>
      </c>
    </row>
    <row r="2" spans="1:18" x14ac:dyDescent="0.25">
      <c r="A2">
        <v>1</v>
      </c>
      <c r="B2">
        <v>-99</v>
      </c>
      <c r="C2" t="s">
        <v>447</v>
      </c>
      <c r="D2" t="s">
        <v>6</v>
      </c>
      <c r="E2" t="s">
        <v>447</v>
      </c>
      <c r="F2" t="s">
        <v>708</v>
      </c>
      <c r="G2" t="s">
        <v>447</v>
      </c>
      <c r="H2" t="s">
        <v>6</v>
      </c>
      <c r="I2">
        <v>-99</v>
      </c>
      <c r="J2">
        <v>1</v>
      </c>
      <c r="K2" t="s">
        <v>6</v>
      </c>
      <c r="L2">
        <v>-99</v>
      </c>
      <c r="M2" t="s">
        <v>664</v>
      </c>
      <c r="N2" t="s">
        <v>664</v>
      </c>
      <c r="O2">
        <v>-99</v>
      </c>
      <c r="P2">
        <v>-99</v>
      </c>
      <c r="Q2">
        <v>1</v>
      </c>
      <c r="R2" t="s">
        <v>664</v>
      </c>
    </row>
    <row r="3" spans="1:18" x14ac:dyDescent="0.25">
      <c r="A3">
        <v>2</v>
      </c>
      <c r="B3">
        <v>-99</v>
      </c>
      <c r="C3" t="s">
        <v>448</v>
      </c>
      <c r="D3" t="s">
        <v>6</v>
      </c>
      <c r="E3" t="s">
        <v>448</v>
      </c>
      <c r="F3" t="s">
        <v>1048</v>
      </c>
      <c r="G3" t="s">
        <v>447</v>
      </c>
      <c r="H3" t="s">
        <v>6</v>
      </c>
      <c r="I3">
        <v>-99</v>
      </c>
      <c r="J3">
        <v>1</v>
      </c>
      <c r="K3" t="s">
        <v>6</v>
      </c>
      <c r="L3">
        <v>-99</v>
      </c>
      <c r="M3" t="s">
        <v>664</v>
      </c>
      <c r="N3" t="s">
        <v>664</v>
      </c>
      <c r="O3">
        <v>-99</v>
      </c>
      <c r="P3">
        <v>-99</v>
      </c>
      <c r="Q3">
        <v>1</v>
      </c>
      <c r="R3" t="s">
        <v>664</v>
      </c>
    </row>
    <row r="4" spans="1:18" x14ac:dyDescent="0.25">
      <c r="A4">
        <v>3</v>
      </c>
      <c r="B4">
        <v>-99</v>
      </c>
      <c r="C4" t="s">
        <v>665</v>
      </c>
      <c r="D4" t="s">
        <v>6</v>
      </c>
      <c r="E4" t="s">
        <v>665</v>
      </c>
      <c r="F4" t="s">
        <v>1050</v>
      </c>
      <c r="G4" t="s">
        <v>447</v>
      </c>
      <c r="H4" t="s">
        <v>6</v>
      </c>
      <c r="I4">
        <v>-99</v>
      </c>
      <c r="J4">
        <v>1</v>
      </c>
      <c r="K4" t="s">
        <v>6</v>
      </c>
      <c r="L4">
        <v>-99</v>
      </c>
      <c r="M4" t="s">
        <v>664</v>
      </c>
      <c r="N4" t="s">
        <v>664</v>
      </c>
      <c r="O4">
        <v>-99</v>
      </c>
      <c r="P4">
        <v>-99</v>
      </c>
      <c r="Q4">
        <v>1</v>
      </c>
      <c r="R4" t="s">
        <v>216</v>
      </c>
    </row>
    <row r="5" spans="1:18" x14ac:dyDescent="0.25">
      <c r="A5">
        <v>4</v>
      </c>
      <c r="B5">
        <v>-99</v>
      </c>
      <c r="C5" t="s">
        <v>449</v>
      </c>
      <c r="D5" t="s">
        <v>6</v>
      </c>
      <c r="E5" t="s">
        <v>449</v>
      </c>
      <c r="F5" t="s">
        <v>1056</v>
      </c>
      <c r="G5" t="s">
        <v>447</v>
      </c>
      <c r="H5" t="s">
        <v>6</v>
      </c>
      <c r="I5">
        <v>-99</v>
      </c>
      <c r="J5">
        <v>1</v>
      </c>
      <c r="K5" t="s">
        <v>6</v>
      </c>
      <c r="L5">
        <v>-99</v>
      </c>
      <c r="M5" t="s">
        <v>664</v>
      </c>
      <c r="N5" t="s">
        <v>664</v>
      </c>
      <c r="O5">
        <v>-99</v>
      </c>
      <c r="P5">
        <v>-99</v>
      </c>
      <c r="Q5">
        <v>1</v>
      </c>
      <c r="R5" t="s">
        <v>693</v>
      </c>
    </row>
    <row r="6" spans="1:18" x14ac:dyDescent="0.25">
      <c r="A6">
        <v>5</v>
      </c>
      <c r="B6">
        <v>-99</v>
      </c>
      <c r="C6" t="s">
        <v>450</v>
      </c>
      <c r="D6" t="s">
        <v>6</v>
      </c>
      <c r="E6" t="s">
        <v>450</v>
      </c>
      <c r="F6" t="s">
        <v>705</v>
      </c>
      <c r="G6" t="s">
        <v>447</v>
      </c>
      <c r="H6" t="s">
        <v>6</v>
      </c>
      <c r="I6">
        <v>-99</v>
      </c>
      <c r="J6">
        <v>1</v>
      </c>
      <c r="K6" t="s">
        <v>6</v>
      </c>
      <c r="L6">
        <v>-99</v>
      </c>
      <c r="M6" t="s">
        <v>664</v>
      </c>
      <c r="N6" t="s">
        <v>664</v>
      </c>
      <c r="O6">
        <v>-99</v>
      </c>
      <c r="P6">
        <v>-99</v>
      </c>
      <c r="Q6">
        <v>1</v>
      </c>
      <c r="R6" t="s">
        <v>689</v>
      </c>
    </row>
    <row r="7" spans="1:18" x14ac:dyDescent="0.25">
      <c r="A7">
        <v>6</v>
      </c>
      <c r="B7">
        <v>-99</v>
      </c>
      <c r="C7" t="s">
        <v>451</v>
      </c>
      <c r="D7" t="s">
        <v>6</v>
      </c>
      <c r="E7" t="s">
        <v>451</v>
      </c>
      <c r="F7" t="s">
        <v>1051</v>
      </c>
      <c r="G7" t="s">
        <v>447</v>
      </c>
      <c r="H7" t="s">
        <v>6</v>
      </c>
      <c r="I7">
        <v>-99</v>
      </c>
      <c r="J7">
        <v>1</v>
      </c>
      <c r="K7" t="s">
        <v>6</v>
      </c>
      <c r="L7">
        <v>-99</v>
      </c>
      <c r="M7" t="s">
        <v>664</v>
      </c>
      <c r="N7" t="s">
        <v>664</v>
      </c>
      <c r="O7">
        <v>-99</v>
      </c>
      <c r="P7">
        <v>-99</v>
      </c>
      <c r="Q7">
        <v>1</v>
      </c>
      <c r="R7" t="s">
        <v>690</v>
      </c>
    </row>
    <row r="8" spans="1:18" x14ac:dyDescent="0.25">
      <c r="A8">
        <v>7</v>
      </c>
      <c r="B8">
        <v>-99</v>
      </c>
      <c r="C8" t="s">
        <v>452</v>
      </c>
      <c r="D8" t="s">
        <v>6</v>
      </c>
      <c r="E8" t="s">
        <v>452</v>
      </c>
      <c r="F8" t="s">
        <v>1057</v>
      </c>
      <c r="G8" t="s">
        <v>447</v>
      </c>
      <c r="H8" t="s">
        <v>6</v>
      </c>
      <c r="I8">
        <v>-99</v>
      </c>
      <c r="J8">
        <v>1</v>
      </c>
      <c r="K8" t="s">
        <v>6</v>
      </c>
      <c r="L8">
        <v>-99</v>
      </c>
      <c r="M8" t="s">
        <v>664</v>
      </c>
      <c r="N8" t="s">
        <v>664</v>
      </c>
      <c r="O8">
        <v>-99</v>
      </c>
      <c r="P8">
        <v>-99</v>
      </c>
      <c r="Q8">
        <v>1</v>
      </c>
      <c r="R8" t="s">
        <v>691</v>
      </c>
    </row>
    <row r="9" spans="1:18" x14ac:dyDescent="0.25">
      <c r="A9">
        <v>8</v>
      </c>
      <c r="B9">
        <v>-99</v>
      </c>
      <c r="C9" t="s">
        <v>453</v>
      </c>
      <c r="D9" t="s">
        <v>6</v>
      </c>
      <c r="E9" t="s">
        <v>453</v>
      </c>
      <c r="F9" t="s">
        <v>1058</v>
      </c>
      <c r="G9" t="s">
        <v>447</v>
      </c>
      <c r="H9" t="s">
        <v>6</v>
      </c>
      <c r="I9">
        <v>-99</v>
      </c>
      <c r="J9">
        <v>1</v>
      </c>
      <c r="K9" t="s">
        <v>6</v>
      </c>
      <c r="L9">
        <v>-99</v>
      </c>
      <c r="M9" t="s">
        <v>664</v>
      </c>
      <c r="N9" t="s">
        <v>664</v>
      </c>
      <c r="O9">
        <v>-99</v>
      </c>
      <c r="P9">
        <v>-99</v>
      </c>
      <c r="Q9">
        <v>1</v>
      </c>
      <c r="R9" t="s">
        <v>408</v>
      </c>
    </row>
    <row r="10" spans="1:18" x14ac:dyDescent="0.25">
      <c r="A10">
        <v>9</v>
      </c>
      <c r="B10">
        <v>-99</v>
      </c>
      <c r="C10" t="s">
        <v>454</v>
      </c>
      <c r="D10" t="s">
        <v>6</v>
      </c>
      <c r="E10" t="s">
        <v>454</v>
      </c>
      <c r="F10" t="s">
        <v>1059</v>
      </c>
      <c r="G10" t="s">
        <v>447</v>
      </c>
      <c r="H10" t="s">
        <v>6</v>
      </c>
      <c r="I10">
        <v>-99</v>
      </c>
      <c r="J10">
        <v>1</v>
      </c>
      <c r="K10" t="s">
        <v>6</v>
      </c>
      <c r="L10">
        <v>-99</v>
      </c>
      <c r="M10" t="s">
        <v>664</v>
      </c>
      <c r="N10" t="s">
        <v>664</v>
      </c>
      <c r="O10">
        <v>-99</v>
      </c>
      <c r="P10">
        <v>-99</v>
      </c>
      <c r="Q10">
        <v>1</v>
      </c>
      <c r="R10" t="s">
        <v>694</v>
      </c>
    </row>
    <row r="11" spans="1:18" x14ac:dyDescent="0.25">
      <c r="A11">
        <v>10</v>
      </c>
      <c r="B11">
        <v>-99</v>
      </c>
      <c r="C11" t="s">
        <v>455</v>
      </c>
      <c r="D11" t="s">
        <v>6</v>
      </c>
      <c r="E11" t="s">
        <v>455</v>
      </c>
      <c r="F11" t="s">
        <v>1060</v>
      </c>
      <c r="G11" t="s">
        <v>447</v>
      </c>
      <c r="H11" t="s">
        <v>6</v>
      </c>
      <c r="I11">
        <v>-99</v>
      </c>
      <c r="J11">
        <v>1</v>
      </c>
      <c r="K11" t="s">
        <v>6</v>
      </c>
      <c r="L11">
        <v>-99</v>
      </c>
      <c r="M11" t="s">
        <v>664</v>
      </c>
      <c r="N11" t="s">
        <v>664</v>
      </c>
      <c r="O11">
        <v>-99</v>
      </c>
      <c r="P11">
        <v>-99</v>
      </c>
      <c r="Q11">
        <v>1</v>
      </c>
      <c r="R11" t="s">
        <v>664</v>
      </c>
    </row>
    <row r="12" spans="1:18" x14ac:dyDescent="0.25">
      <c r="A12">
        <v>11</v>
      </c>
      <c r="B12">
        <v>-99</v>
      </c>
      <c r="C12" t="s">
        <v>457</v>
      </c>
      <c r="D12" t="s">
        <v>518</v>
      </c>
      <c r="E12" t="s">
        <v>666</v>
      </c>
      <c r="F12" t="s">
        <v>135</v>
      </c>
      <c r="G12" t="s">
        <v>666</v>
      </c>
      <c r="H12" t="s">
        <v>380</v>
      </c>
      <c r="I12">
        <v>-99</v>
      </c>
      <c r="J12">
        <v>-99</v>
      </c>
      <c r="K12" t="s">
        <v>664</v>
      </c>
      <c r="L12">
        <v>-99</v>
      </c>
      <c r="M12" t="s">
        <v>664</v>
      </c>
      <c r="N12" t="s">
        <v>664</v>
      </c>
      <c r="O12">
        <v>-99</v>
      </c>
      <c r="P12">
        <v>-99</v>
      </c>
      <c r="Q12">
        <v>2</v>
      </c>
      <c r="R12" t="s">
        <v>664</v>
      </c>
    </row>
    <row r="13" spans="1:18" x14ac:dyDescent="0.25">
      <c r="A13">
        <v>12</v>
      </c>
      <c r="B13">
        <v>-99</v>
      </c>
      <c r="C13" t="s">
        <v>459</v>
      </c>
      <c r="D13" t="s">
        <v>518</v>
      </c>
      <c r="E13" t="s">
        <v>667</v>
      </c>
      <c r="F13" t="s">
        <v>136</v>
      </c>
      <c r="G13" t="s">
        <v>667</v>
      </c>
      <c r="H13" t="s">
        <v>387</v>
      </c>
      <c r="I13">
        <v>-99</v>
      </c>
      <c r="J13">
        <v>-99</v>
      </c>
      <c r="K13" t="s">
        <v>664</v>
      </c>
      <c r="L13">
        <v>-99</v>
      </c>
      <c r="M13" t="s">
        <v>664</v>
      </c>
      <c r="N13" t="s">
        <v>664</v>
      </c>
      <c r="O13">
        <v>-99</v>
      </c>
      <c r="P13">
        <v>-99</v>
      </c>
      <c r="Q13">
        <v>2</v>
      </c>
      <c r="R13" t="s">
        <v>664</v>
      </c>
    </row>
    <row r="14" spans="1:18" x14ac:dyDescent="0.25">
      <c r="A14">
        <v>13</v>
      </c>
      <c r="B14">
        <v>-99</v>
      </c>
      <c r="C14" t="s">
        <v>462</v>
      </c>
      <c r="D14" t="s">
        <v>518</v>
      </c>
      <c r="E14" t="s">
        <v>668</v>
      </c>
      <c r="F14" t="s">
        <v>137</v>
      </c>
      <c r="G14" t="s">
        <v>668</v>
      </c>
      <c r="H14" t="s">
        <v>396</v>
      </c>
      <c r="I14">
        <v>-99</v>
      </c>
      <c r="J14">
        <v>-99</v>
      </c>
      <c r="K14" t="s">
        <v>664</v>
      </c>
      <c r="L14">
        <v>-99</v>
      </c>
      <c r="M14" t="s">
        <v>664</v>
      </c>
      <c r="N14" t="s">
        <v>664</v>
      </c>
      <c r="O14">
        <v>-99</v>
      </c>
      <c r="P14">
        <v>-99</v>
      </c>
      <c r="Q14">
        <v>2</v>
      </c>
      <c r="R14" t="s">
        <v>664</v>
      </c>
    </row>
    <row r="15" spans="1:18" x14ac:dyDescent="0.25">
      <c r="A15">
        <v>14</v>
      </c>
      <c r="B15">
        <v>-99</v>
      </c>
      <c r="C15" t="s">
        <v>669</v>
      </c>
      <c r="D15" t="s">
        <v>518</v>
      </c>
      <c r="E15" t="s">
        <v>670</v>
      </c>
      <c r="F15" t="s">
        <v>138</v>
      </c>
      <c r="G15" t="s">
        <v>670</v>
      </c>
      <c r="H15" t="s">
        <v>412</v>
      </c>
      <c r="I15">
        <v>-99</v>
      </c>
      <c r="J15">
        <v>-99</v>
      </c>
      <c r="K15" t="s">
        <v>664</v>
      </c>
      <c r="L15">
        <v>-99</v>
      </c>
      <c r="M15" t="s">
        <v>664</v>
      </c>
      <c r="N15" t="s">
        <v>664</v>
      </c>
      <c r="O15">
        <v>-99</v>
      </c>
      <c r="P15">
        <v>-99</v>
      </c>
      <c r="Q15">
        <v>2</v>
      </c>
      <c r="R15" t="s">
        <v>664</v>
      </c>
    </row>
    <row r="16" spans="1:18" x14ac:dyDescent="0.25">
      <c r="A16">
        <v>15</v>
      </c>
      <c r="B16">
        <v>-99</v>
      </c>
      <c r="C16" t="s">
        <v>671</v>
      </c>
      <c r="D16" t="s">
        <v>446</v>
      </c>
      <c r="E16" t="s">
        <v>672</v>
      </c>
      <c r="F16" t="s">
        <v>439</v>
      </c>
      <c r="G16" t="s">
        <v>664</v>
      </c>
      <c r="H16" t="s">
        <v>664</v>
      </c>
      <c r="I16">
        <v>-99</v>
      </c>
      <c r="J16">
        <v>30</v>
      </c>
      <c r="K16" t="s">
        <v>379</v>
      </c>
      <c r="L16">
        <v>-99</v>
      </c>
      <c r="M16" t="s">
        <v>664</v>
      </c>
      <c r="N16" t="s">
        <v>664</v>
      </c>
      <c r="O16">
        <v>-99</v>
      </c>
      <c r="P16">
        <v>-99</v>
      </c>
      <c r="Q16">
        <v>3</v>
      </c>
      <c r="R16" t="s">
        <v>664</v>
      </c>
    </row>
    <row r="17" spans="1:18" x14ac:dyDescent="0.25">
      <c r="A17">
        <v>16</v>
      </c>
      <c r="B17">
        <v>-99</v>
      </c>
      <c r="C17" t="s">
        <v>673</v>
      </c>
      <c r="D17" t="s">
        <v>446</v>
      </c>
      <c r="E17" t="s">
        <v>671</v>
      </c>
      <c r="F17" t="s">
        <v>445</v>
      </c>
      <c r="G17" t="s">
        <v>664</v>
      </c>
      <c r="H17" t="s">
        <v>664</v>
      </c>
      <c r="I17">
        <v>-99</v>
      </c>
      <c r="J17">
        <v>31</v>
      </c>
      <c r="K17" t="s">
        <v>390</v>
      </c>
      <c r="L17">
        <v>-99</v>
      </c>
      <c r="M17" t="s">
        <v>664</v>
      </c>
      <c r="N17" t="s">
        <v>664</v>
      </c>
      <c r="O17">
        <v>-99</v>
      </c>
      <c r="P17">
        <v>-99</v>
      </c>
      <c r="Q17">
        <v>3</v>
      </c>
      <c r="R17" t="s">
        <v>664</v>
      </c>
    </row>
    <row r="18" spans="1:18" x14ac:dyDescent="0.25">
      <c r="A18">
        <v>17</v>
      </c>
      <c r="B18">
        <v>-99</v>
      </c>
      <c r="C18" t="s">
        <v>674</v>
      </c>
      <c r="D18" t="s">
        <v>446</v>
      </c>
      <c r="E18" t="s">
        <v>673</v>
      </c>
      <c r="F18" t="s">
        <v>443</v>
      </c>
      <c r="G18" t="s">
        <v>664</v>
      </c>
      <c r="H18" t="s">
        <v>664</v>
      </c>
      <c r="I18">
        <v>-99</v>
      </c>
      <c r="J18">
        <v>32</v>
      </c>
      <c r="K18" t="s">
        <v>400</v>
      </c>
      <c r="L18">
        <v>-99</v>
      </c>
      <c r="M18" t="s">
        <v>664</v>
      </c>
      <c r="N18" t="s">
        <v>664</v>
      </c>
      <c r="O18">
        <v>-99</v>
      </c>
      <c r="P18">
        <v>-99</v>
      </c>
      <c r="Q18">
        <v>3</v>
      </c>
      <c r="R18" t="s">
        <v>664</v>
      </c>
    </row>
    <row r="19" spans="1:18" x14ac:dyDescent="0.25">
      <c r="A19">
        <v>18</v>
      </c>
      <c r="B19">
        <v>-99</v>
      </c>
      <c r="C19" t="s">
        <v>675</v>
      </c>
      <c r="D19" t="s">
        <v>446</v>
      </c>
      <c r="E19" t="s">
        <v>674</v>
      </c>
      <c r="F19" t="s">
        <v>442</v>
      </c>
      <c r="G19" t="s">
        <v>664</v>
      </c>
      <c r="H19" t="s">
        <v>664</v>
      </c>
      <c r="I19">
        <v>-99</v>
      </c>
      <c r="J19">
        <v>33</v>
      </c>
      <c r="K19" t="s">
        <v>395</v>
      </c>
      <c r="L19">
        <v>-99</v>
      </c>
      <c r="M19" t="s">
        <v>664</v>
      </c>
      <c r="N19" t="s">
        <v>664</v>
      </c>
      <c r="O19">
        <v>-99</v>
      </c>
      <c r="P19">
        <v>-99</v>
      </c>
      <c r="Q19">
        <v>3</v>
      </c>
      <c r="R19" t="s">
        <v>664</v>
      </c>
    </row>
    <row r="20" spans="1:18" x14ac:dyDescent="0.25">
      <c r="A20">
        <v>19</v>
      </c>
      <c r="B20">
        <v>-99</v>
      </c>
      <c r="C20" t="s">
        <v>676</v>
      </c>
      <c r="D20" t="s">
        <v>446</v>
      </c>
      <c r="E20" t="s">
        <v>675</v>
      </c>
      <c r="F20" t="s">
        <v>444</v>
      </c>
      <c r="G20" t="s">
        <v>664</v>
      </c>
      <c r="H20" t="s">
        <v>664</v>
      </c>
      <c r="I20">
        <v>-99</v>
      </c>
      <c r="J20">
        <v>34</v>
      </c>
      <c r="K20" t="s">
        <v>414</v>
      </c>
      <c r="L20">
        <v>-99</v>
      </c>
      <c r="M20" t="s">
        <v>664</v>
      </c>
      <c r="N20" t="s">
        <v>664</v>
      </c>
      <c r="O20">
        <v>-99</v>
      </c>
      <c r="P20">
        <v>-99</v>
      </c>
      <c r="Q20">
        <v>3</v>
      </c>
      <c r="R20" t="s">
        <v>664</v>
      </c>
    </row>
    <row r="21" spans="1:18" x14ac:dyDescent="0.25">
      <c r="A21">
        <v>20</v>
      </c>
      <c r="B21">
        <v>1</v>
      </c>
      <c r="C21" t="s">
        <v>677</v>
      </c>
      <c r="D21" t="s">
        <v>378</v>
      </c>
      <c r="E21" t="s">
        <v>677</v>
      </c>
      <c r="F21" t="s">
        <v>519</v>
      </c>
      <c r="G21" t="s">
        <v>678</v>
      </c>
      <c r="H21" t="s">
        <v>8</v>
      </c>
      <c r="I21">
        <v>-99</v>
      </c>
      <c r="J21">
        <v>35</v>
      </c>
      <c r="K21" t="s">
        <v>8</v>
      </c>
      <c r="L21">
        <v>8240</v>
      </c>
      <c r="M21" t="s">
        <v>520</v>
      </c>
      <c r="N21" t="s">
        <v>664</v>
      </c>
      <c r="O21">
        <v>1</v>
      </c>
      <c r="P21">
        <v>2</v>
      </c>
      <c r="Q21">
        <v>-99</v>
      </c>
      <c r="R21" t="s">
        <v>664</v>
      </c>
    </row>
    <row r="22" spans="1:18" x14ac:dyDescent="0.25">
      <c r="A22">
        <v>21</v>
      </c>
      <c r="B22">
        <v>8</v>
      </c>
      <c r="C22" t="s">
        <v>142</v>
      </c>
      <c r="D22" t="s">
        <v>38</v>
      </c>
      <c r="E22" t="s">
        <v>521</v>
      </c>
      <c r="F22" t="s">
        <v>522</v>
      </c>
      <c r="G22" t="s">
        <v>666</v>
      </c>
      <c r="H22" t="s">
        <v>380</v>
      </c>
      <c r="I22">
        <v>380</v>
      </c>
      <c r="J22">
        <v>30</v>
      </c>
      <c r="K22" t="s">
        <v>379</v>
      </c>
      <c r="L22">
        <v>8233</v>
      </c>
      <c r="M22" t="s">
        <v>335</v>
      </c>
      <c r="N22" t="s">
        <v>381</v>
      </c>
      <c r="O22">
        <v>1</v>
      </c>
      <c r="P22">
        <v>2</v>
      </c>
      <c r="Q22">
        <v>-99</v>
      </c>
      <c r="R22" t="s">
        <v>692</v>
      </c>
    </row>
    <row r="23" spans="1:18" x14ac:dyDescent="0.25">
      <c r="A23">
        <v>22</v>
      </c>
      <c r="B23">
        <v>9</v>
      </c>
      <c r="C23" t="s">
        <v>143</v>
      </c>
      <c r="D23" t="s">
        <v>70</v>
      </c>
      <c r="E23" t="s">
        <v>523</v>
      </c>
      <c r="F23" t="s">
        <v>524</v>
      </c>
      <c r="G23" t="s">
        <v>666</v>
      </c>
      <c r="H23" t="s">
        <v>380</v>
      </c>
      <c r="I23">
        <v>380</v>
      </c>
      <c r="J23">
        <v>30</v>
      </c>
      <c r="K23" t="s">
        <v>379</v>
      </c>
      <c r="L23">
        <v>8235</v>
      </c>
      <c r="M23" t="s">
        <v>370</v>
      </c>
      <c r="N23" t="s">
        <v>382</v>
      </c>
      <c r="O23">
        <v>1</v>
      </c>
      <c r="P23">
        <v>1</v>
      </c>
      <c r="Q23">
        <v>-99</v>
      </c>
      <c r="R23" t="s">
        <v>692</v>
      </c>
    </row>
    <row r="24" spans="1:18" x14ac:dyDescent="0.25">
      <c r="A24">
        <v>23</v>
      </c>
      <c r="B24">
        <v>-99</v>
      </c>
      <c r="C24" t="s">
        <v>143</v>
      </c>
      <c r="D24" t="s">
        <v>70</v>
      </c>
      <c r="E24" t="s">
        <v>525</v>
      </c>
      <c r="F24" t="s">
        <v>526</v>
      </c>
      <c r="G24" t="s">
        <v>666</v>
      </c>
      <c r="H24" t="s">
        <v>380</v>
      </c>
      <c r="I24">
        <v>380</v>
      </c>
      <c r="J24">
        <v>30</v>
      </c>
      <c r="K24" t="s">
        <v>379</v>
      </c>
      <c r="L24">
        <v>8235</v>
      </c>
      <c r="M24" t="s">
        <v>370</v>
      </c>
      <c r="N24" t="s">
        <v>382</v>
      </c>
      <c r="O24">
        <v>-99</v>
      </c>
      <c r="P24">
        <v>1</v>
      </c>
      <c r="Q24">
        <v>-99</v>
      </c>
      <c r="R24" t="s">
        <v>408</v>
      </c>
    </row>
    <row r="25" spans="1:18" x14ac:dyDescent="0.25">
      <c r="A25">
        <v>24</v>
      </c>
      <c r="B25">
        <v>10</v>
      </c>
      <c r="C25" t="s">
        <v>144</v>
      </c>
      <c r="D25" t="s">
        <v>63</v>
      </c>
      <c r="E25" t="s">
        <v>527</v>
      </c>
      <c r="F25" t="s">
        <v>528</v>
      </c>
      <c r="G25" t="s">
        <v>666</v>
      </c>
      <c r="H25" t="s">
        <v>380</v>
      </c>
      <c r="I25">
        <v>380</v>
      </c>
      <c r="J25">
        <v>30</v>
      </c>
      <c r="K25" t="s">
        <v>379</v>
      </c>
      <c r="L25">
        <v>8237</v>
      </c>
      <c r="M25" t="s">
        <v>345</v>
      </c>
      <c r="N25" t="s">
        <v>63</v>
      </c>
      <c r="O25">
        <v>1</v>
      </c>
      <c r="P25">
        <v>2</v>
      </c>
      <c r="Q25">
        <v>-99</v>
      </c>
      <c r="R25" t="s">
        <v>692</v>
      </c>
    </row>
    <row r="26" spans="1:18" x14ac:dyDescent="0.25">
      <c r="A26">
        <v>25</v>
      </c>
      <c r="B26">
        <v>11</v>
      </c>
      <c r="C26" t="s">
        <v>145</v>
      </c>
      <c r="D26" t="s">
        <v>24</v>
      </c>
      <c r="E26" t="s">
        <v>529</v>
      </c>
      <c r="F26" t="s">
        <v>530</v>
      </c>
      <c r="G26" t="s">
        <v>666</v>
      </c>
      <c r="H26" t="s">
        <v>380</v>
      </c>
      <c r="I26">
        <v>380</v>
      </c>
      <c r="J26">
        <v>30</v>
      </c>
      <c r="K26" t="s">
        <v>379</v>
      </c>
      <c r="L26">
        <v>8238</v>
      </c>
      <c r="M26" t="s">
        <v>345</v>
      </c>
      <c r="N26" t="s">
        <v>63</v>
      </c>
      <c r="O26">
        <v>1</v>
      </c>
      <c r="P26">
        <v>2</v>
      </c>
      <c r="Q26">
        <v>-99</v>
      </c>
      <c r="R26" t="s">
        <v>692</v>
      </c>
    </row>
    <row r="27" spans="1:18" x14ac:dyDescent="0.25">
      <c r="A27">
        <v>26</v>
      </c>
      <c r="B27">
        <v>12</v>
      </c>
      <c r="C27" t="s">
        <v>146</v>
      </c>
      <c r="D27" t="s">
        <v>47</v>
      </c>
      <c r="E27" t="s">
        <v>531</v>
      </c>
      <c r="F27" t="s">
        <v>532</v>
      </c>
      <c r="G27" t="s">
        <v>666</v>
      </c>
      <c r="H27" t="s">
        <v>380</v>
      </c>
      <c r="I27">
        <v>380</v>
      </c>
      <c r="J27">
        <v>30</v>
      </c>
      <c r="K27" t="s">
        <v>379</v>
      </c>
      <c r="L27">
        <v>8239</v>
      </c>
      <c r="M27" t="s">
        <v>363</v>
      </c>
      <c r="N27" t="s">
        <v>383</v>
      </c>
      <c r="O27">
        <v>1</v>
      </c>
      <c r="P27">
        <v>2</v>
      </c>
      <c r="Q27">
        <v>-99</v>
      </c>
      <c r="R27" t="s">
        <v>692</v>
      </c>
    </row>
    <row r="28" spans="1:18" x14ac:dyDescent="0.25">
      <c r="A28">
        <v>27</v>
      </c>
      <c r="B28">
        <v>13</v>
      </c>
      <c r="C28" t="s">
        <v>147</v>
      </c>
      <c r="D28" t="s">
        <v>64</v>
      </c>
      <c r="E28" t="s">
        <v>533</v>
      </c>
      <c r="F28" t="s">
        <v>534</v>
      </c>
      <c r="G28" t="s">
        <v>666</v>
      </c>
      <c r="H28" t="s">
        <v>380</v>
      </c>
      <c r="I28">
        <v>380</v>
      </c>
      <c r="J28">
        <v>30</v>
      </c>
      <c r="K28" t="s">
        <v>379</v>
      </c>
      <c r="L28">
        <v>8241</v>
      </c>
      <c r="M28" t="s">
        <v>367</v>
      </c>
      <c r="N28" t="s">
        <v>384</v>
      </c>
      <c r="O28">
        <v>1</v>
      </c>
      <c r="P28">
        <v>2</v>
      </c>
      <c r="Q28">
        <v>-99</v>
      </c>
      <c r="R28" t="s">
        <v>692</v>
      </c>
    </row>
    <row r="29" spans="1:18" x14ac:dyDescent="0.25">
      <c r="A29">
        <v>28</v>
      </c>
      <c r="B29">
        <v>14</v>
      </c>
      <c r="C29" t="s">
        <v>102</v>
      </c>
      <c r="D29" t="s">
        <v>66</v>
      </c>
      <c r="E29" t="s">
        <v>535</v>
      </c>
      <c r="F29" t="s">
        <v>536</v>
      </c>
      <c r="G29" t="s">
        <v>666</v>
      </c>
      <c r="H29" t="s">
        <v>380</v>
      </c>
      <c r="I29">
        <v>380</v>
      </c>
      <c r="J29">
        <v>30</v>
      </c>
      <c r="K29" t="s">
        <v>379</v>
      </c>
      <c r="L29">
        <v>8242</v>
      </c>
      <c r="M29" t="s">
        <v>357</v>
      </c>
      <c r="N29" t="s">
        <v>385</v>
      </c>
      <c r="O29">
        <v>1</v>
      </c>
      <c r="P29">
        <v>1</v>
      </c>
      <c r="Q29">
        <v>-99</v>
      </c>
      <c r="R29" t="s">
        <v>692</v>
      </c>
    </row>
    <row r="30" spans="1:18" x14ac:dyDescent="0.25">
      <c r="A30">
        <v>29</v>
      </c>
      <c r="B30">
        <v>-99</v>
      </c>
      <c r="C30" t="s">
        <v>102</v>
      </c>
      <c r="D30" t="s">
        <v>66</v>
      </c>
      <c r="E30" t="s">
        <v>537</v>
      </c>
      <c r="F30" t="s">
        <v>218</v>
      </c>
      <c r="G30" t="s">
        <v>666</v>
      </c>
      <c r="H30" t="s">
        <v>380</v>
      </c>
      <c r="I30">
        <v>380</v>
      </c>
      <c r="J30">
        <v>30</v>
      </c>
      <c r="K30" t="s">
        <v>379</v>
      </c>
      <c r="L30">
        <v>8242</v>
      </c>
      <c r="M30" t="s">
        <v>357</v>
      </c>
      <c r="N30" t="s">
        <v>385</v>
      </c>
      <c r="O30">
        <v>-99</v>
      </c>
      <c r="P30">
        <v>1</v>
      </c>
      <c r="Q30">
        <v>-99</v>
      </c>
      <c r="R30" t="s">
        <v>216</v>
      </c>
    </row>
    <row r="31" spans="1:18" x14ac:dyDescent="0.25">
      <c r="A31">
        <v>30</v>
      </c>
      <c r="B31">
        <v>15</v>
      </c>
      <c r="C31" t="s">
        <v>148</v>
      </c>
      <c r="D31" t="s">
        <v>68</v>
      </c>
      <c r="E31" t="s">
        <v>538</v>
      </c>
      <c r="F31" t="s">
        <v>539</v>
      </c>
      <c r="G31" t="s">
        <v>666</v>
      </c>
      <c r="H31" t="s">
        <v>380</v>
      </c>
      <c r="I31">
        <v>380</v>
      </c>
      <c r="J31">
        <v>30</v>
      </c>
      <c r="K31" t="s">
        <v>379</v>
      </c>
      <c r="L31">
        <v>8243</v>
      </c>
      <c r="M31" t="s">
        <v>357</v>
      </c>
      <c r="N31" t="s">
        <v>385</v>
      </c>
      <c r="O31">
        <v>1</v>
      </c>
      <c r="P31">
        <v>1</v>
      </c>
      <c r="Q31">
        <v>-99</v>
      </c>
      <c r="R31" t="s">
        <v>692</v>
      </c>
    </row>
    <row r="32" spans="1:18" x14ac:dyDescent="0.25">
      <c r="A32">
        <v>31</v>
      </c>
      <c r="B32">
        <v>-99</v>
      </c>
      <c r="C32" t="s">
        <v>148</v>
      </c>
      <c r="D32" t="s">
        <v>68</v>
      </c>
      <c r="E32" t="s">
        <v>540</v>
      </c>
      <c r="F32" t="s">
        <v>541</v>
      </c>
      <c r="G32" t="s">
        <v>666</v>
      </c>
      <c r="H32" t="s">
        <v>380</v>
      </c>
      <c r="I32">
        <v>380</v>
      </c>
      <c r="J32">
        <v>30</v>
      </c>
      <c r="K32" t="s">
        <v>379</v>
      </c>
      <c r="L32">
        <v>8243</v>
      </c>
      <c r="M32" t="s">
        <v>357</v>
      </c>
      <c r="N32" t="s">
        <v>385</v>
      </c>
      <c r="O32">
        <v>-99</v>
      </c>
      <c r="P32">
        <v>1</v>
      </c>
      <c r="Q32">
        <v>-99</v>
      </c>
      <c r="R32" t="s">
        <v>691</v>
      </c>
    </row>
    <row r="33" spans="1:18" x14ac:dyDescent="0.25">
      <c r="A33">
        <v>32</v>
      </c>
      <c r="B33">
        <v>16</v>
      </c>
      <c r="C33" t="s">
        <v>149</v>
      </c>
      <c r="D33" t="s">
        <v>36</v>
      </c>
      <c r="E33" t="s">
        <v>542</v>
      </c>
      <c r="F33" t="s">
        <v>543</v>
      </c>
      <c r="G33" t="s">
        <v>666</v>
      </c>
      <c r="H33" t="s">
        <v>380</v>
      </c>
      <c r="I33">
        <v>380</v>
      </c>
      <c r="J33">
        <v>30</v>
      </c>
      <c r="K33" t="s">
        <v>379</v>
      </c>
      <c r="L33">
        <v>8244</v>
      </c>
      <c r="M33" t="s">
        <v>352</v>
      </c>
      <c r="N33" t="s">
        <v>386</v>
      </c>
      <c r="O33">
        <v>1</v>
      </c>
      <c r="P33">
        <v>2</v>
      </c>
      <c r="Q33">
        <v>-99</v>
      </c>
      <c r="R33" t="s">
        <v>692</v>
      </c>
    </row>
    <row r="34" spans="1:18" x14ac:dyDescent="0.25">
      <c r="A34">
        <v>33</v>
      </c>
      <c r="B34">
        <v>23</v>
      </c>
      <c r="C34" t="s">
        <v>108</v>
      </c>
      <c r="D34" t="s">
        <v>72</v>
      </c>
      <c r="E34" t="s">
        <v>544</v>
      </c>
      <c r="F34" t="s">
        <v>545</v>
      </c>
      <c r="G34" t="s">
        <v>667</v>
      </c>
      <c r="H34" t="s">
        <v>387</v>
      </c>
      <c r="I34">
        <v>381</v>
      </c>
      <c r="J34">
        <v>30</v>
      </c>
      <c r="K34" t="s">
        <v>379</v>
      </c>
      <c r="L34">
        <v>8245</v>
      </c>
      <c r="M34" t="s">
        <v>331</v>
      </c>
      <c r="N34" t="s">
        <v>388</v>
      </c>
      <c r="O34">
        <v>1</v>
      </c>
      <c r="P34">
        <v>2</v>
      </c>
      <c r="Q34">
        <v>-99</v>
      </c>
      <c r="R34" t="s">
        <v>692</v>
      </c>
    </row>
    <row r="35" spans="1:18" x14ac:dyDescent="0.25">
      <c r="A35">
        <v>34</v>
      </c>
      <c r="B35">
        <v>24</v>
      </c>
      <c r="C35" t="s">
        <v>150</v>
      </c>
      <c r="D35" t="s">
        <v>50</v>
      </c>
      <c r="E35" t="s">
        <v>546</v>
      </c>
      <c r="F35" t="s">
        <v>547</v>
      </c>
      <c r="G35" t="s">
        <v>667</v>
      </c>
      <c r="H35" t="s">
        <v>387</v>
      </c>
      <c r="I35">
        <v>381</v>
      </c>
      <c r="J35">
        <v>30</v>
      </c>
      <c r="K35" t="s">
        <v>379</v>
      </c>
      <c r="L35">
        <v>8246</v>
      </c>
      <c r="M35" t="s">
        <v>347</v>
      </c>
      <c r="N35" t="s">
        <v>389</v>
      </c>
      <c r="O35">
        <v>1</v>
      </c>
      <c r="P35">
        <v>2</v>
      </c>
      <c r="Q35">
        <v>-99</v>
      </c>
      <c r="R35" t="s">
        <v>692</v>
      </c>
    </row>
    <row r="36" spans="1:18" x14ac:dyDescent="0.25">
      <c r="A36">
        <v>35</v>
      </c>
      <c r="B36">
        <v>30</v>
      </c>
      <c r="C36" t="s">
        <v>151</v>
      </c>
      <c r="D36" t="s">
        <v>25</v>
      </c>
      <c r="E36" t="s">
        <v>548</v>
      </c>
      <c r="F36" t="s">
        <v>549</v>
      </c>
      <c r="G36" t="s">
        <v>667</v>
      </c>
      <c r="H36" t="s">
        <v>387</v>
      </c>
      <c r="I36">
        <v>381</v>
      </c>
      <c r="J36">
        <v>31</v>
      </c>
      <c r="K36" t="s">
        <v>390</v>
      </c>
      <c r="L36">
        <v>8247</v>
      </c>
      <c r="M36" t="s">
        <v>372</v>
      </c>
      <c r="N36" t="s">
        <v>391</v>
      </c>
      <c r="O36">
        <v>1</v>
      </c>
      <c r="P36">
        <v>2</v>
      </c>
      <c r="Q36">
        <v>-99</v>
      </c>
      <c r="R36" t="s">
        <v>692</v>
      </c>
    </row>
    <row r="37" spans="1:18" x14ac:dyDescent="0.25">
      <c r="A37">
        <v>36</v>
      </c>
      <c r="B37">
        <v>194</v>
      </c>
      <c r="C37" t="s">
        <v>152</v>
      </c>
      <c r="D37" t="s">
        <v>80</v>
      </c>
      <c r="E37" t="s">
        <v>550</v>
      </c>
      <c r="F37" t="s">
        <v>551</v>
      </c>
      <c r="G37" t="s">
        <v>667</v>
      </c>
      <c r="H37" t="s">
        <v>387</v>
      </c>
      <c r="I37">
        <v>381</v>
      </c>
      <c r="J37">
        <v>31</v>
      </c>
      <c r="K37" t="s">
        <v>390</v>
      </c>
      <c r="L37">
        <v>8248</v>
      </c>
      <c r="M37" t="s">
        <v>327</v>
      </c>
      <c r="N37" t="s">
        <v>435</v>
      </c>
      <c r="O37">
        <v>1</v>
      </c>
      <c r="P37">
        <v>2</v>
      </c>
      <c r="Q37">
        <v>-99</v>
      </c>
      <c r="R37" t="s">
        <v>692</v>
      </c>
    </row>
    <row r="38" spans="1:18" x14ac:dyDescent="0.25">
      <c r="A38">
        <v>37</v>
      </c>
      <c r="B38">
        <v>34</v>
      </c>
      <c r="C38" t="s">
        <v>153</v>
      </c>
      <c r="D38" t="s">
        <v>86</v>
      </c>
      <c r="E38" t="s">
        <v>552</v>
      </c>
      <c r="F38" t="s">
        <v>553</v>
      </c>
      <c r="G38" t="s">
        <v>667</v>
      </c>
      <c r="H38" t="s">
        <v>387</v>
      </c>
      <c r="I38">
        <v>381</v>
      </c>
      <c r="J38">
        <v>30</v>
      </c>
      <c r="K38" t="s">
        <v>379</v>
      </c>
      <c r="L38">
        <v>8249</v>
      </c>
      <c r="M38" t="s">
        <v>358</v>
      </c>
      <c r="N38" t="s">
        <v>392</v>
      </c>
      <c r="O38">
        <v>1</v>
      </c>
      <c r="P38">
        <v>1</v>
      </c>
      <c r="Q38">
        <v>-99</v>
      </c>
      <c r="R38" t="s">
        <v>692</v>
      </c>
    </row>
    <row r="39" spans="1:18" x14ac:dyDescent="0.25">
      <c r="A39">
        <v>38</v>
      </c>
      <c r="B39">
        <v>-99</v>
      </c>
      <c r="C39" t="s">
        <v>153</v>
      </c>
      <c r="D39" t="s">
        <v>86</v>
      </c>
      <c r="E39" t="s">
        <v>554</v>
      </c>
      <c r="F39" t="s">
        <v>221</v>
      </c>
      <c r="G39" t="s">
        <v>667</v>
      </c>
      <c r="H39" t="s">
        <v>387</v>
      </c>
      <c r="I39">
        <v>381</v>
      </c>
      <c r="J39">
        <v>30</v>
      </c>
      <c r="K39" t="s">
        <v>379</v>
      </c>
      <c r="L39">
        <v>8249</v>
      </c>
      <c r="M39" t="s">
        <v>358</v>
      </c>
      <c r="N39" t="s">
        <v>392</v>
      </c>
      <c r="O39">
        <v>-99</v>
      </c>
      <c r="P39">
        <v>1</v>
      </c>
      <c r="Q39">
        <v>-99</v>
      </c>
      <c r="R39" t="s">
        <v>689</v>
      </c>
    </row>
    <row r="40" spans="1:18" x14ac:dyDescent="0.25">
      <c r="A40">
        <v>39</v>
      </c>
      <c r="B40">
        <v>-99</v>
      </c>
      <c r="C40" t="s">
        <v>153</v>
      </c>
      <c r="D40" t="s">
        <v>86</v>
      </c>
      <c r="E40" t="s">
        <v>555</v>
      </c>
      <c r="F40" t="s">
        <v>969</v>
      </c>
      <c r="G40" t="s">
        <v>667</v>
      </c>
      <c r="H40" t="s">
        <v>387</v>
      </c>
      <c r="I40">
        <v>381</v>
      </c>
      <c r="J40">
        <v>30</v>
      </c>
      <c r="K40" t="s">
        <v>379</v>
      </c>
      <c r="L40">
        <v>8249</v>
      </c>
      <c r="M40" t="s">
        <v>358</v>
      </c>
      <c r="N40" t="s">
        <v>392</v>
      </c>
      <c r="O40">
        <v>-99</v>
      </c>
      <c r="P40">
        <v>1</v>
      </c>
      <c r="Q40">
        <v>-99</v>
      </c>
      <c r="R40" t="s">
        <v>690</v>
      </c>
    </row>
    <row r="41" spans="1:18" x14ac:dyDescent="0.25">
      <c r="A41">
        <v>40</v>
      </c>
      <c r="B41">
        <v>35</v>
      </c>
      <c r="C41" t="s">
        <v>154</v>
      </c>
      <c r="D41" t="s">
        <v>42</v>
      </c>
      <c r="E41" t="s">
        <v>556</v>
      </c>
      <c r="F41" t="s">
        <v>557</v>
      </c>
      <c r="G41" t="s">
        <v>667</v>
      </c>
      <c r="H41" t="s">
        <v>387</v>
      </c>
      <c r="I41">
        <v>381</v>
      </c>
      <c r="J41">
        <v>31</v>
      </c>
      <c r="K41" t="s">
        <v>390</v>
      </c>
      <c r="L41">
        <v>8250</v>
      </c>
      <c r="M41" t="s">
        <v>350</v>
      </c>
      <c r="N41" t="s">
        <v>393</v>
      </c>
      <c r="O41">
        <v>1</v>
      </c>
      <c r="P41">
        <v>2</v>
      </c>
      <c r="Q41">
        <v>-99</v>
      </c>
      <c r="R41" t="s">
        <v>692</v>
      </c>
    </row>
    <row r="42" spans="1:18" x14ac:dyDescent="0.25">
      <c r="A42">
        <v>41</v>
      </c>
      <c r="B42">
        <v>36</v>
      </c>
      <c r="C42" t="s">
        <v>94</v>
      </c>
      <c r="D42" t="s">
        <v>61</v>
      </c>
      <c r="E42" t="s">
        <v>558</v>
      </c>
      <c r="F42" t="s">
        <v>559</v>
      </c>
      <c r="G42" t="s">
        <v>667</v>
      </c>
      <c r="H42" t="s">
        <v>387</v>
      </c>
      <c r="I42">
        <v>381</v>
      </c>
      <c r="J42">
        <v>31</v>
      </c>
      <c r="K42" t="s">
        <v>390</v>
      </c>
      <c r="L42">
        <v>8251</v>
      </c>
      <c r="M42" t="s">
        <v>353</v>
      </c>
      <c r="N42" t="s">
        <v>394</v>
      </c>
      <c r="O42">
        <v>1</v>
      </c>
      <c r="P42">
        <v>2</v>
      </c>
      <c r="Q42">
        <v>-99</v>
      </c>
      <c r="R42" t="s">
        <v>692</v>
      </c>
    </row>
    <row r="43" spans="1:18" x14ac:dyDescent="0.25">
      <c r="A43">
        <v>42</v>
      </c>
      <c r="B43">
        <v>37</v>
      </c>
      <c r="C43" t="s">
        <v>155</v>
      </c>
      <c r="D43" t="s">
        <v>62</v>
      </c>
      <c r="E43" t="s">
        <v>560</v>
      </c>
      <c r="F43" t="s">
        <v>561</v>
      </c>
      <c r="G43" t="s">
        <v>668</v>
      </c>
      <c r="H43" t="s">
        <v>396</v>
      </c>
      <c r="I43">
        <v>382</v>
      </c>
      <c r="J43">
        <v>33</v>
      </c>
      <c r="K43" t="s">
        <v>395</v>
      </c>
      <c r="L43">
        <v>8252</v>
      </c>
      <c r="M43" t="s">
        <v>330</v>
      </c>
      <c r="N43" t="s">
        <v>397</v>
      </c>
      <c r="O43">
        <v>1</v>
      </c>
      <c r="P43">
        <v>2</v>
      </c>
      <c r="Q43">
        <v>-99</v>
      </c>
      <c r="R43" t="s">
        <v>692</v>
      </c>
    </row>
    <row r="44" spans="1:18" x14ac:dyDescent="0.25">
      <c r="A44">
        <v>43</v>
      </c>
      <c r="B44">
        <v>38</v>
      </c>
      <c r="C44" t="s">
        <v>156</v>
      </c>
      <c r="D44" t="s">
        <v>60</v>
      </c>
      <c r="E44" t="s">
        <v>562</v>
      </c>
      <c r="F44" t="s">
        <v>563</v>
      </c>
      <c r="G44" t="s">
        <v>667</v>
      </c>
      <c r="H44" t="s">
        <v>387</v>
      </c>
      <c r="I44">
        <v>381</v>
      </c>
      <c r="J44">
        <v>31</v>
      </c>
      <c r="K44" t="s">
        <v>390</v>
      </c>
      <c r="L44">
        <v>8253</v>
      </c>
      <c r="M44" t="s">
        <v>364</v>
      </c>
      <c r="N44" t="s">
        <v>398</v>
      </c>
      <c r="O44">
        <v>1</v>
      </c>
      <c r="P44">
        <v>2</v>
      </c>
      <c r="Q44">
        <v>-99</v>
      </c>
      <c r="R44" t="s">
        <v>692</v>
      </c>
    </row>
    <row r="45" spans="1:18" x14ac:dyDescent="0.25">
      <c r="A45">
        <v>44</v>
      </c>
      <c r="B45">
        <v>39</v>
      </c>
      <c r="C45" t="s">
        <v>157</v>
      </c>
      <c r="D45" t="s">
        <v>52</v>
      </c>
      <c r="E45" t="s">
        <v>564</v>
      </c>
      <c r="F45" t="s">
        <v>565</v>
      </c>
      <c r="G45" t="s">
        <v>667</v>
      </c>
      <c r="H45" t="s">
        <v>387</v>
      </c>
      <c r="I45">
        <v>381</v>
      </c>
      <c r="J45">
        <v>33</v>
      </c>
      <c r="K45" t="s">
        <v>395</v>
      </c>
      <c r="L45">
        <v>8254</v>
      </c>
      <c r="M45" t="s">
        <v>365</v>
      </c>
      <c r="N45" t="s">
        <v>399</v>
      </c>
      <c r="O45">
        <v>1</v>
      </c>
      <c r="P45">
        <v>1</v>
      </c>
      <c r="Q45">
        <v>-99</v>
      </c>
      <c r="R45" t="s">
        <v>692</v>
      </c>
    </row>
    <row r="46" spans="1:18" x14ac:dyDescent="0.25">
      <c r="A46">
        <v>45</v>
      </c>
      <c r="B46">
        <v>-99</v>
      </c>
      <c r="C46" t="s">
        <v>157</v>
      </c>
      <c r="D46" t="s">
        <v>52</v>
      </c>
      <c r="E46" t="s">
        <v>566</v>
      </c>
      <c r="F46" t="s">
        <v>567</v>
      </c>
      <c r="G46" t="s">
        <v>667</v>
      </c>
      <c r="H46" t="s">
        <v>387</v>
      </c>
      <c r="I46">
        <v>381</v>
      </c>
      <c r="J46">
        <v>33</v>
      </c>
      <c r="K46" t="s">
        <v>395</v>
      </c>
      <c r="L46">
        <v>8254</v>
      </c>
      <c r="M46" t="s">
        <v>365</v>
      </c>
      <c r="N46" t="s">
        <v>399</v>
      </c>
      <c r="O46">
        <v>-99</v>
      </c>
      <c r="P46">
        <v>1</v>
      </c>
      <c r="Q46">
        <v>-99</v>
      </c>
      <c r="R46" t="s">
        <v>693</v>
      </c>
    </row>
    <row r="47" spans="1:18" x14ac:dyDescent="0.25">
      <c r="A47">
        <v>46</v>
      </c>
      <c r="B47">
        <v>52</v>
      </c>
      <c r="C47" t="s">
        <v>158</v>
      </c>
      <c r="D47" t="s">
        <v>41</v>
      </c>
      <c r="E47" t="s">
        <v>568</v>
      </c>
      <c r="F47" t="s">
        <v>569</v>
      </c>
      <c r="G47" t="s">
        <v>666</v>
      </c>
      <c r="H47" t="s">
        <v>380</v>
      </c>
      <c r="I47">
        <v>380</v>
      </c>
      <c r="J47">
        <v>32</v>
      </c>
      <c r="K47" t="s">
        <v>400</v>
      </c>
      <c r="L47">
        <v>8255</v>
      </c>
      <c r="M47" t="s">
        <v>366</v>
      </c>
      <c r="N47" t="s">
        <v>401</v>
      </c>
      <c r="O47">
        <v>1</v>
      </c>
      <c r="P47">
        <v>2</v>
      </c>
      <c r="Q47">
        <v>-99</v>
      </c>
      <c r="R47" t="s">
        <v>692</v>
      </c>
    </row>
    <row r="48" spans="1:18" x14ac:dyDescent="0.25">
      <c r="A48">
        <v>47</v>
      </c>
      <c r="B48">
        <v>53</v>
      </c>
      <c r="C48" t="s">
        <v>159</v>
      </c>
      <c r="D48" t="s">
        <v>51</v>
      </c>
      <c r="E48" t="s">
        <v>570</v>
      </c>
      <c r="F48" t="s">
        <v>571</v>
      </c>
      <c r="G48" t="s">
        <v>666</v>
      </c>
      <c r="H48" t="s">
        <v>380</v>
      </c>
      <c r="I48">
        <v>380</v>
      </c>
      <c r="J48">
        <v>32</v>
      </c>
      <c r="K48" t="s">
        <v>400</v>
      </c>
      <c r="L48">
        <v>8256</v>
      </c>
      <c r="M48" t="s">
        <v>340</v>
      </c>
      <c r="N48" t="s">
        <v>402</v>
      </c>
      <c r="O48">
        <v>1</v>
      </c>
      <c r="P48">
        <v>2</v>
      </c>
      <c r="Q48">
        <v>-99</v>
      </c>
      <c r="R48" t="s">
        <v>692</v>
      </c>
    </row>
    <row r="49" spans="1:18" x14ac:dyDescent="0.25">
      <c r="A49">
        <v>48</v>
      </c>
      <c r="B49">
        <v>54</v>
      </c>
      <c r="C49" t="s">
        <v>160</v>
      </c>
      <c r="D49" t="s">
        <v>56</v>
      </c>
      <c r="E49" t="s">
        <v>572</v>
      </c>
      <c r="F49" t="s">
        <v>573</v>
      </c>
      <c r="G49" t="s">
        <v>667</v>
      </c>
      <c r="H49" t="s">
        <v>387</v>
      </c>
      <c r="I49">
        <v>381</v>
      </c>
      <c r="J49">
        <v>31</v>
      </c>
      <c r="K49" t="s">
        <v>390</v>
      </c>
      <c r="L49">
        <v>8257</v>
      </c>
      <c r="M49" t="s">
        <v>346</v>
      </c>
      <c r="N49" t="s">
        <v>403</v>
      </c>
      <c r="O49">
        <v>1</v>
      </c>
      <c r="P49">
        <v>1</v>
      </c>
      <c r="Q49">
        <v>-99</v>
      </c>
      <c r="R49" t="s">
        <v>692</v>
      </c>
    </row>
    <row r="50" spans="1:18" x14ac:dyDescent="0.25">
      <c r="A50">
        <v>49</v>
      </c>
      <c r="B50">
        <v>-99</v>
      </c>
      <c r="C50" t="s">
        <v>160</v>
      </c>
      <c r="D50" t="s">
        <v>56</v>
      </c>
      <c r="E50" t="s">
        <v>574</v>
      </c>
      <c r="F50" t="s">
        <v>575</v>
      </c>
      <c r="G50" t="s">
        <v>667</v>
      </c>
      <c r="H50" t="s">
        <v>387</v>
      </c>
      <c r="I50">
        <v>381</v>
      </c>
      <c r="J50">
        <v>31</v>
      </c>
      <c r="K50" t="s">
        <v>390</v>
      </c>
      <c r="L50">
        <v>8257</v>
      </c>
      <c r="M50" t="s">
        <v>346</v>
      </c>
      <c r="N50" t="s">
        <v>403</v>
      </c>
      <c r="O50">
        <v>-99</v>
      </c>
      <c r="P50">
        <v>1</v>
      </c>
      <c r="Q50">
        <v>-99</v>
      </c>
      <c r="R50" t="s">
        <v>694</v>
      </c>
    </row>
    <row r="51" spans="1:18" x14ac:dyDescent="0.25">
      <c r="A51">
        <v>50</v>
      </c>
      <c r="B51">
        <v>55</v>
      </c>
      <c r="C51" t="s">
        <v>161</v>
      </c>
      <c r="D51" t="s">
        <v>40</v>
      </c>
      <c r="E51" t="s">
        <v>576</v>
      </c>
      <c r="F51" t="s">
        <v>577</v>
      </c>
      <c r="G51" t="s">
        <v>668</v>
      </c>
      <c r="H51" t="s">
        <v>396</v>
      </c>
      <c r="I51">
        <v>382</v>
      </c>
      <c r="J51">
        <v>32</v>
      </c>
      <c r="K51" t="s">
        <v>400</v>
      </c>
      <c r="L51">
        <v>8258</v>
      </c>
      <c r="M51" t="s">
        <v>359</v>
      </c>
      <c r="N51" t="s">
        <v>404</v>
      </c>
      <c r="O51">
        <v>1</v>
      </c>
      <c r="P51">
        <v>2</v>
      </c>
      <c r="Q51">
        <v>-99</v>
      </c>
      <c r="R51" t="s">
        <v>692</v>
      </c>
    </row>
    <row r="52" spans="1:18" x14ac:dyDescent="0.25">
      <c r="A52">
        <v>51</v>
      </c>
      <c r="B52">
        <v>56</v>
      </c>
      <c r="C52" t="s">
        <v>162</v>
      </c>
      <c r="D52" t="s">
        <v>45</v>
      </c>
      <c r="E52" t="s">
        <v>578</v>
      </c>
      <c r="F52" t="s">
        <v>579</v>
      </c>
      <c r="G52" t="s">
        <v>666</v>
      </c>
      <c r="H52" t="s">
        <v>380</v>
      </c>
      <c r="I52">
        <v>380</v>
      </c>
      <c r="J52">
        <v>32</v>
      </c>
      <c r="K52" t="s">
        <v>400</v>
      </c>
      <c r="L52">
        <v>8259</v>
      </c>
      <c r="M52" t="s">
        <v>336</v>
      </c>
      <c r="N52" t="s">
        <v>405</v>
      </c>
      <c r="O52">
        <v>1</v>
      </c>
      <c r="P52">
        <v>2</v>
      </c>
      <c r="Q52">
        <v>-99</v>
      </c>
      <c r="R52" t="s">
        <v>692</v>
      </c>
    </row>
    <row r="53" spans="1:18" x14ac:dyDescent="0.25">
      <c r="A53">
        <v>52</v>
      </c>
      <c r="B53">
        <v>57</v>
      </c>
      <c r="C53" t="s">
        <v>163</v>
      </c>
      <c r="D53" t="s">
        <v>59</v>
      </c>
      <c r="E53" t="s">
        <v>580</v>
      </c>
      <c r="F53" t="s">
        <v>581</v>
      </c>
      <c r="G53" t="s">
        <v>668</v>
      </c>
      <c r="H53" t="s">
        <v>396</v>
      </c>
      <c r="I53">
        <v>382</v>
      </c>
      <c r="J53">
        <v>32</v>
      </c>
      <c r="K53" t="s">
        <v>400</v>
      </c>
      <c r="L53">
        <v>8260</v>
      </c>
      <c r="M53" t="s">
        <v>326</v>
      </c>
      <c r="N53" t="s">
        <v>406</v>
      </c>
      <c r="O53">
        <v>1</v>
      </c>
      <c r="P53">
        <v>1</v>
      </c>
      <c r="Q53">
        <v>-99</v>
      </c>
      <c r="R53" t="s">
        <v>692</v>
      </c>
    </row>
    <row r="54" spans="1:18" x14ac:dyDescent="0.25">
      <c r="A54">
        <v>53</v>
      </c>
      <c r="B54">
        <v>-99</v>
      </c>
      <c r="C54" t="s">
        <v>163</v>
      </c>
      <c r="D54" t="s">
        <v>59</v>
      </c>
      <c r="E54" t="s">
        <v>582</v>
      </c>
      <c r="F54" t="s">
        <v>217</v>
      </c>
      <c r="G54" t="s">
        <v>668</v>
      </c>
      <c r="H54" t="s">
        <v>396</v>
      </c>
      <c r="I54">
        <v>382</v>
      </c>
      <c r="J54">
        <v>32</v>
      </c>
      <c r="K54" t="s">
        <v>400</v>
      </c>
      <c r="L54">
        <v>8260</v>
      </c>
      <c r="M54" t="s">
        <v>326</v>
      </c>
      <c r="N54" t="s">
        <v>406</v>
      </c>
      <c r="O54">
        <v>-99</v>
      </c>
      <c r="P54">
        <v>1</v>
      </c>
      <c r="Q54">
        <v>-99</v>
      </c>
      <c r="R54" t="s">
        <v>216</v>
      </c>
    </row>
    <row r="55" spans="1:18" x14ac:dyDescent="0.25">
      <c r="A55">
        <v>54</v>
      </c>
      <c r="B55">
        <v>58</v>
      </c>
      <c r="C55" t="s">
        <v>164</v>
      </c>
      <c r="D55" t="s">
        <v>78</v>
      </c>
      <c r="E55" t="s">
        <v>583</v>
      </c>
      <c r="F55" t="s">
        <v>584</v>
      </c>
      <c r="G55" t="s">
        <v>668</v>
      </c>
      <c r="H55" t="s">
        <v>396</v>
      </c>
      <c r="I55">
        <v>382</v>
      </c>
      <c r="J55">
        <v>32</v>
      </c>
      <c r="K55" t="s">
        <v>400</v>
      </c>
      <c r="L55">
        <v>8261</v>
      </c>
      <c r="M55" t="s">
        <v>349</v>
      </c>
      <c r="N55" t="s">
        <v>407</v>
      </c>
      <c r="O55">
        <v>1</v>
      </c>
      <c r="P55">
        <v>2</v>
      </c>
      <c r="Q55">
        <v>-99</v>
      </c>
      <c r="R55" t="s">
        <v>692</v>
      </c>
    </row>
    <row r="56" spans="1:18" x14ac:dyDescent="0.25">
      <c r="A56">
        <v>55</v>
      </c>
      <c r="B56">
        <v>59</v>
      </c>
      <c r="C56" t="s">
        <v>165</v>
      </c>
      <c r="D56" t="s">
        <v>44</v>
      </c>
      <c r="E56" t="s">
        <v>585</v>
      </c>
      <c r="F56" t="s">
        <v>586</v>
      </c>
      <c r="G56" t="s">
        <v>668</v>
      </c>
      <c r="H56" t="s">
        <v>396</v>
      </c>
      <c r="I56">
        <v>382</v>
      </c>
      <c r="J56">
        <v>32</v>
      </c>
      <c r="K56" t="s">
        <v>400</v>
      </c>
      <c r="L56">
        <v>8262</v>
      </c>
      <c r="M56" t="s">
        <v>373</v>
      </c>
      <c r="N56" t="s">
        <v>409</v>
      </c>
      <c r="O56">
        <v>1</v>
      </c>
      <c r="P56">
        <v>2</v>
      </c>
      <c r="Q56">
        <v>-99</v>
      </c>
      <c r="R56" t="s">
        <v>692</v>
      </c>
    </row>
    <row r="57" spans="1:18" x14ac:dyDescent="0.25">
      <c r="A57">
        <v>56</v>
      </c>
      <c r="B57">
        <v>60</v>
      </c>
      <c r="C57" t="s">
        <v>166</v>
      </c>
      <c r="D57" t="s">
        <v>53</v>
      </c>
      <c r="E57" t="s">
        <v>587</v>
      </c>
      <c r="F57" t="s">
        <v>588</v>
      </c>
      <c r="G57" t="s">
        <v>668</v>
      </c>
      <c r="H57" t="s">
        <v>396</v>
      </c>
      <c r="I57">
        <v>382</v>
      </c>
      <c r="J57">
        <v>32</v>
      </c>
      <c r="K57" t="s">
        <v>400</v>
      </c>
      <c r="L57">
        <v>8263</v>
      </c>
      <c r="M57" t="s">
        <v>332</v>
      </c>
      <c r="N57" t="s">
        <v>410</v>
      </c>
      <c r="O57">
        <v>1</v>
      </c>
      <c r="P57">
        <v>2</v>
      </c>
      <c r="Q57">
        <v>-99</v>
      </c>
      <c r="R57" t="s">
        <v>692</v>
      </c>
    </row>
    <row r="58" spans="1:18" x14ac:dyDescent="0.25">
      <c r="A58">
        <v>57</v>
      </c>
      <c r="B58">
        <v>84</v>
      </c>
      <c r="C58" t="s">
        <v>167</v>
      </c>
      <c r="D58" t="s">
        <v>79</v>
      </c>
      <c r="E58" t="s">
        <v>589</v>
      </c>
      <c r="F58" t="s">
        <v>590</v>
      </c>
      <c r="G58" t="s">
        <v>668</v>
      </c>
      <c r="H58" t="s">
        <v>396</v>
      </c>
      <c r="I58">
        <v>382</v>
      </c>
      <c r="J58">
        <v>32</v>
      </c>
      <c r="K58" t="s">
        <v>400</v>
      </c>
      <c r="L58">
        <v>8264</v>
      </c>
      <c r="M58" t="s">
        <v>343</v>
      </c>
      <c r="N58" t="s">
        <v>411</v>
      </c>
      <c r="O58">
        <v>1</v>
      </c>
      <c r="P58">
        <v>1</v>
      </c>
      <c r="Q58">
        <v>-99</v>
      </c>
      <c r="R58" t="s">
        <v>692</v>
      </c>
    </row>
    <row r="59" spans="1:18" x14ac:dyDescent="0.25">
      <c r="A59">
        <v>58</v>
      </c>
      <c r="B59">
        <v>-99</v>
      </c>
      <c r="C59" t="s">
        <v>167</v>
      </c>
      <c r="D59" t="s">
        <v>79</v>
      </c>
      <c r="E59" t="s">
        <v>591</v>
      </c>
      <c r="F59" t="s">
        <v>501</v>
      </c>
      <c r="G59" t="s">
        <v>668</v>
      </c>
      <c r="H59" t="s">
        <v>396</v>
      </c>
      <c r="I59">
        <v>382</v>
      </c>
      <c r="J59">
        <v>32</v>
      </c>
      <c r="K59" t="s">
        <v>400</v>
      </c>
      <c r="L59">
        <v>8264</v>
      </c>
      <c r="M59" t="s">
        <v>343</v>
      </c>
      <c r="N59" t="s">
        <v>411</v>
      </c>
      <c r="O59">
        <v>-99</v>
      </c>
      <c r="P59">
        <v>1</v>
      </c>
      <c r="Q59">
        <v>-99</v>
      </c>
      <c r="R59" t="s">
        <v>664</v>
      </c>
    </row>
    <row r="60" spans="1:18" x14ac:dyDescent="0.25">
      <c r="A60">
        <v>59</v>
      </c>
      <c r="B60">
        <v>-99</v>
      </c>
      <c r="C60" t="s">
        <v>167</v>
      </c>
      <c r="D60" t="s">
        <v>79</v>
      </c>
      <c r="E60" t="s">
        <v>592</v>
      </c>
      <c r="F60" t="s">
        <v>220</v>
      </c>
      <c r="G60" t="s">
        <v>668</v>
      </c>
      <c r="H60" t="s">
        <v>396</v>
      </c>
      <c r="I60">
        <v>382</v>
      </c>
      <c r="J60">
        <v>32</v>
      </c>
      <c r="K60" t="s">
        <v>400</v>
      </c>
      <c r="L60">
        <v>8264</v>
      </c>
      <c r="M60" t="s">
        <v>343</v>
      </c>
      <c r="N60" t="s">
        <v>411</v>
      </c>
      <c r="O60">
        <v>-99</v>
      </c>
      <c r="P60">
        <v>1</v>
      </c>
      <c r="Q60">
        <v>-99</v>
      </c>
      <c r="R60" t="s">
        <v>216</v>
      </c>
    </row>
    <row r="61" spans="1:18" x14ac:dyDescent="0.25">
      <c r="A61">
        <v>60</v>
      </c>
      <c r="B61">
        <v>100</v>
      </c>
      <c r="C61" t="s">
        <v>168</v>
      </c>
      <c r="D61" t="s">
        <v>43</v>
      </c>
      <c r="E61" t="s">
        <v>593</v>
      </c>
      <c r="F61" t="s">
        <v>594</v>
      </c>
      <c r="G61" t="s">
        <v>670</v>
      </c>
      <c r="H61" t="s">
        <v>412</v>
      </c>
      <c r="I61">
        <v>383</v>
      </c>
      <c r="J61">
        <v>33</v>
      </c>
      <c r="K61" t="s">
        <v>395</v>
      </c>
      <c r="L61">
        <v>8268</v>
      </c>
      <c r="M61" t="s">
        <v>360</v>
      </c>
      <c r="N61" t="s">
        <v>413</v>
      </c>
      <c r="O61">
        <v>1</v>
      </c>
      <c r="P61">
        <v>2</v>
      </c>
      <c r="Q61">
        <v>-99</v>
      </c>
      <c r="R61" t="s">
        <v>692</v>
      </c>
    </row>
    <row r="62" spans="1:18" x14ac:dyDescent="0.25">
      <c r="A62">
        <v>61</v>
      </c>
      <c r="B62">
        <v>101</v>
      </c>
      <c r="C62" t="s">
        <v>169</v>
      </c>
      <c r="D62" t="s">
        <v>34</v>
      </c>
      <c r="E62" t="s">
        <v>595</v>
      </c>
      <c r="F62" t="s">
        <v>596</v>
      </c>
      <c r="G62" t="s">
        <v>670</v>
      </c>
      <c r="H62" t="s">
        <v>412</v>
      </c>
      <c r="I62">
        <v>383</v>
      </c>
      <c r="J62">
        <v>34</v>
      </c>
      <c r="K62" t="s">
        <v>414</v>
      </c>
      <c r="L62">
        <v>8269</v>
      </c>
      <c r="M62" t="s">
        <v>328</v>
      </c>
      <c r="N62" t="s">
        <v>415</v>
      </c>
      <c r="O62">
        <v>1</v>
      </c>
      <c r="P62">
        <v>2</v>
      </c>
      <c r="Q62">
        <v>-99</v>
      </c>
      <c r="R62" t="s">
        <v>692</v>
      </c>
    </row>
    <row r="63" spans="1:18" x14ac:dyDescent="0.25">
      <c r="A63">
        <v>62</v>
      </c>
      <c r="B63">
        <v>102</v>
      </c>
      <c r="C63" t="s">
        <v>170</v>
      </c>
      <c r="D63" t="s">
        <v>73</v>
      </c>
      <c r="E63" t="s">
        <v>597</v>
      </c>
      <c r="F63" t="s">
        <v>598</v>
      </c>
      <c r="G63" t="s">
        <v>670</v>
      </c>
      <c r="H63" t="s">
        <v>412</v>
      </c>
      <c r="I63">
        <v>383</v>
      </c>
      <c r="J63">
        <v>33</v>
      </c>
      <c r="K63" t="s">
        <v>395</v>
      </c>
      <c r="L63">
        <v>8270</v>
      </c>
      <c r="M63" t="s">
        <v>354</v>
      </c>
      <c r="N63" t="s">
        <v>416</v>
      </c>
      <c r="O63">
        <v>1</v>
      </c>
      <c r="P63">
        <v>1</v>
      </c>
      <c r="Q63">
        <v>-99</v>
      </c>
      <c r="R63" t="s">
        <v>692</v>
      </c>
    </row>
    <row r="64" spans="1:18" x14ac:dyDescent="0.25">
      <c r="A64">
        <v>63</v>
      </c>
      <c r="B64">
        <v>-99</v>
      </c>
      <c r="C64" t="s">
        <v>170</v>
      </c>
      <c r="D64" t="s">
        <v>73</v>
      </c>
      <c r="E64" t="s">
        <v>599</v>
      </c>
      <c r="F64" t="s">
        <v>219</v>
      </c>
      <c r="G64" t="s">
        <v>670</v>
      </c>
      <c r="H64" t="s">
        <v>412</v>
      </c>
      <c r="I64">
        <v>383</v>
      </c>
      <c r="J64">
        <v>33</v>
      </c>
      <c r="K64" t="s">
        <v>395</v>
      </c>
      <c r="L64">
        <v>8270</v>
      </c>
      <c r="M64" t="s">
        <v>354</v>
      </c>
      <c r="N64" t="s">
        <v>416</v>
      </c>
      <c r="O64">
        <v>-99</v>
      </c>
      <c r="P64">
        <v>1</v>
      </c>
      <c r="Q64">
        <v>-99</v>
      </c>
      <c r="R64" t="s">
        <v>689</v>
      </c>
    </row>
    <row r="65" spans="1:18" x14ac:dyDescent="0.25">
      <c r="A65">
        <v>64</v>
      </c>
      <c r="B65">
        <v>103</v>
      </c>
      <c r="C65" t="s">
        <v>171</v>
      </c>
      <c r="D65" t="s">
        <v>65</v>
      </c>
      <c r="E65" t="s">
        <v>600</v>
      </c>
      <c r="F65" t="s">
        <v>601</v>
      </c>
      <c r="G65" t="s">
        <v>670</v>
      </c>
      <c r="H65" t="s">
        <v>412</v>
      </c>
      <c r="I65">
        <v>383</v>
      </c>
      <c r="J65">
        <v>34</v>
      </c>
      <c r="K65" t="s">
        <v>414</v>
      </c>
      <c r="L65">
        <v>8272</v>
      </c>
      <c r="M65" t="s">
        <v>342</v>
      </c>
      <c r="N65" t="s">
        <v>417</v>
      </c>
      <c r="O65">
        <v>1</v>
      </c>
      <c r="P65">
        <v>2</v>
      </c>
      <c r="Q65">
        <v>-99</v>
      </c>
      <c r="R65" t="s">
        <v>692</v>
      </c>
    </row>
    <row r="66" spans="1:18" x14ac:dyDescent="0.25">
      <c r="A66">
        <v>65</v>
      </c>
      <c r="B66">
        <v>104</v>
      </c>
      <c r="C66" t="s">
        <v>172</v>
      </c>
      <c r="D66" t="s">
        <v>55</v>
      </c>
      <c r="E66" t="s">
        <v>602</v>
      </c>
      <c r="F66" t="s">
        <v>603</v>
      </c>
      <c r="G66" t="s">
        <v>670</v>
      </c>
      <c r="H66" t="s">
        <v>412</v>
      </c>
      <c r="I66">
        <v>383</v>
      </c>
      <c r="J66">
        <v>34</v>
      </c>
      <c r="K66" t="s">
        <v>414</v>
      </c>
      <c r="L66">
        <v>8221</v>
      </c>
      <c r="M66" t="s">
        <v>342</v>
      </c>
      <c r="N66" t="s">
        <v>417</v>
      </c>
      <c r="O66">
        <v>1</v>
      </c>
      <c r="P66">
        <v>2</v>
      </c>
      <c r="Q66">
        <v>-99</v>
      </c>
      <c r="R66" t="s">
        <v>692</v>
      </c>
    </row>
    <row r="67" spans="1:18" x14ac:dyDescent="0.25">
      <c r="A67">
        <v>66</v>
      </c>
      <c r="B67">
        <v>196</v>
      </c>
      <c r="C67" t="s">
        <v>173</v>
      </c>
      <c r="D67" t="s">
        <v>67</v>
      </c>
      <c r="E67" t="s">
        <v>604</v>
      </c>
      <c r="F67" t="s">
        <v>605</v>
      </c>
      <c r="G67" t="s">
        <v>670</v>
      </c>
      <c r="H67" t="s">
        <v>412</v>
      </c>
      <c r="I67">
        <v>383</v>
      </c>
      <c r="J67">
        <v>34</v>
      </c>
      <c r="K67" t="s">
        <v>414</v>
      </c>
      <c r="L67">
        <v>8202</v>
      </c>
      <c r="M67" t="s">
        <v>355</v>
      </c>
      <c r="N67" t="s">
        <v>436</v>
      </c>
      <c r="O67">
        <v>1</v>
      </c>
      <c r="P67">
        <v>2</v>
      </c>
      <c r="Q67">
        <v>-99</v>
      </c>
      <c r="R67" t="s">
        <v>692</v>
      </c>
    </row>
    <row r="68" spans="1:18" x14ac:dyDescent="0.25">
      <c r="A68">
        <v>67</v>
      </c>
      <c r="B68">
        <v>110</v>
      </c>
      <c r="C68" t="s">
        <v>174</v>
      </c>
      <c r="D68" t="s">
        <v>76</v>
      </c>
      <c r="E68" t="s">
        <v>606</v>
      </c>
      <c r="F68" t="s">
        <v>607</v>
      </c>
      <c r="G68" t="s">
        <v>670</v>
      </c>
      <c r="H68" t="s">
        <v>412</v>
      </c>
      <c r="I68">
        <v>383</v>
      </c>
      <c r="J68">
        <v>34</v>
      </c>
      <c r="K68" t="s">
        <v>414</v>
      </c>
      <c r="L68">
        <v>8203</v>
      </c>
      <c r="M68" t="s">
        <v>339</v>
      </c>
      <c r="N68" t="s">
        <v>83</v>
      </c>
      <c r="O68">
        <v>1</v>
      </c>
      <c r="P68">
        <v>1</v>
      </c>
      <c r="Q68">
        <v>-99</v>
      </c>
      <c r="R68" t="s">
        <v>692</v>
      </c>
    </row>
    <row r="69" spans="1:18" x14ac:dyDescent="0.25">
      <c r="A69">
        <v>68</v>
      </c>
      <c r="B69">
        <v>-99</v>
      </c>
      <c r="C69" t="s">
        <v>174</v>
      </c>
      <c r="D69" t="s">
        <v>76</v>
      </c>
      <c r="E69" t="s">
        <v>608</v>
      </c>
      <c r="F69" t="s">
        <v>609</v>
      </c>
      <c r="G69" t="s">
        <v>670</v>
      </c>
      <c r="H69" t="s">
        <v>412</v>
      </c>
      <c r="I69">
        <v>383</v>
      </c>
      <c r="J69">
        <v>34</v>
      </c>
      <c r="K69" t="s">
        <v>414</v>
      </c>
      <c r="L69">
        <v>8203</v>
      </c>
      <c r="M69" t="s">
        <v>339</v>
      </c>
      <c r="N69" t="s">
        <v>83</v>
      </c>
      <c r="O69">
        <v>-99</v>
      </c>
      <c r="P69">
        <v>1</v>
      </c>
      <c r="Q69">
        <v>-99</v>
      </c>
      <c r="R69" t="s">
        <v>408</v>
      </c>
    </row>
    <row r="70" spans="1:18" x14ac:dyDescent="0.25">
      <c r="A70">
        <v>69</v>
      </c>
      <c r="B70">
        <v>111</v>
      </c>
      <c r="C70" t="s">
        <v>175</v>
      </c>
      <c r="D70" t="s">
        <v>37</v>
      </c>
      <c r="E70" t="s">
        <v>610</v>
      </c>
      <c r="F70" t="s">
        <v>611</v>
      </c>
      <c r="G70" t="s">
        <v>670</v>
      </c>
      <c r="H70" t="s">
        <v>412</v>
      </c>
      <c r="I70">
        <v>383</v>
      </c>
      <c r="J70">
        <v>34</v>
      </c>
      <c r="K70" t="s">
        <v>414</v>
      </c>
      <c r="L70">
        <v>8204</v>
      </c>
      <c r="M70" t="s">
        <v>344</v>
      </c>
      <c r="N70" t="s">
        <v>418</v>
      </c>
      <c r="O70">
        <v>1</v>
      </c>
      <c r="P70">
        <v>2</v>
      </c>
      <c r="Q70">
        <v>-99</v>
      </c>
      <c r="R70" t="s">
        <v>692</v>
      </c>
    </row>
    <row r="71" spans="1:18" x14ac:dyDescent="0.25">
      <c r="A71">
        <v>70</v>
      </c>
      <c r="B71">
        <v>112</v>
      </c>
      <c r="C71" t="s">
        <v>176</v>
      </c>
      <c r="D71" t="s">
        <v>69</v>
      </c>
      <c r="E71" t="s">
        <v>612</v>
      </c>
      <c r="F71" t="s">
        <v>613</v>
      </c>
      <c r="G71" t="s">
        <v>670</v>
      </c>
      <c r="H71" t="s">
        <v>412</v>
      </c>
      <c r="I71">
        <v>383</v>
      </c>
      <c r="J71">
        <v>34</v>
      </c>
      <c r="K71" t="s">
        <v>414</v>
      </c>
      <c r="L71">
        <v>8205</v>
      </c>
      <c r="M71" t="s">
        <v>361</v>
      </c>
      <c r="N71" t="s">
        <v>419</v>
      </c>
      <c r="O71">
        <v>1</v>
      </c>
      <c r="P71">
        <v>2</v>
      </c>
      <c r="Q71">
        <v>-99</v>
      </c>
      <c r="R71" t="s">
        <v>692</v>
      </c>
    </row>
    <row r="72" spans="1:18" x14ac:dyDescent="0.25">
      <c r="A72">
        <v>71</v>
      </c>
      <c r="B72">
        <v>113</v>
      </c>
      <c r="C72" t="s">
        <v>177</v>
      </c>
      <c r="D72" t="s">
        <v>82</v>
      </c>
      <c r="E72" t="s">
        <v>614</v>
      </c>
      <c r="F72" t="s">
        <v>615</v>
      </c>
      <c r="G72" t="s">
        <v>668</v>
      </c>
      <c r="H72" t="s">
        <v>396</v>
      </c>
      <c r="I72">
        <v>382</v>
      </c>
      <c r="J72">
        <v>33</v>
      </c>
      <c r="K72" t="s">
        <v>395</v>
      </c>
      <c r="L72">
        <v>8206</v>
      </c>
      <c r="M72" t="s">
        <v>337</v>
      </c>
      <c r="N72" t="s">
        <v>420</v>
      </c>
      <c r="O72">
        <v>1</v>
      </c>
      <c r="P72">
        <v>2</v>
      </c>
      <c r="Q72">
        <v>-99</v>
      </c>
      <c r="R72" t="s">
        <v>692</v>
      </c>
    </row>
    <row r="73" spans="1:18" x14ac:dyDescent="0.25">
      <c r="A73">
        <v>72</v>
      </c>
      <c r="B73">
        <v>114</v>
      </c>
      <c r="C73" t="s">
        <v>178</v>
      </c>
      <c r="D73" t="s">
        <v>54</v>
      </c>
      <c r="E73" t="s">
        <v>616</v>
      </c>
      <c r="F73" t="s">
        <v>617</v>
      </c>
      <c r="G73" t="s">
        <v>668</v>
      </c>
      <c r="H73" t="s">
        <v>396</v>
      </c>
      <c r="I73">
        <v>382</v>
      </c>
      <c r="J73">
        <v>33</v>
      </c>
      <c r="K73" t="s">
        <v>395</v>
      </c>
      <c r="L73">
        <v>8207</v>
      </c>
      <c r="M73" t="s">
        <v>325</v>
      </c>
      <c r="N73" t="s">
        <v>421</v>
      </c>
      <c r="O73">
        <v>1</v>
      </c>
      <c r="P73">
        <v>2</v>
      </c>
      <c r="Q73">
        <v>-99</v>
      </c>
      <c r="R73" t="s">
        <v>692</v>
      </c>
    </row>
    <row r="74" spans="1:18" x14ac:dyDescent="0.25">
      <c r="A74">
        <v>73</v>
      </c>
      <c r="B74">
        <v>115</v>
      </c>
      <c r="C74" t="s">
        <v>179</v>
      </c>
      <c r="D74" t="s">
        <v>27</v>
      </c>
      <c r="E74" t="s">
        <v>618</v>
      </c>
      <c r="F74" t="s">
        <v>619</v>
      </c>
      <c r="G74" t="s">
        <v>668</v>
      </c>
      <c r="H74" t="s">
        <v>396</v>
      </c>
      <c r="I74">
        <v>382</v>
      </c>
      <c r="J74">
        <v>33</v>
      </c>
      <c r="K74" t="s">
        <v>395</v>
      </c>
      <c r="L74">
        <v>8208</v>
      </c>
      <c r="M74" t="s">
        <v>348</v>
      </c>
      <c r="N74" t="s">
        <v>422</v>
      </c>
      <c r="O74">
        <v>1</v>
      </c>
      <c r="P74">
        <v>2</v>
      </c>
      <c r="Q74">
        <v>-99</v>
      </c>
      <c r="R74" t="s">
        <v>692</v>
      </c>
    </row>
    <row r="75" spans="1:18" x14ac:dyDescent="0.25">
      <c r="A75">
        <v>74</v>
      </c>
      <c r="B75">
        <v>116</v>
      </c>
      <c r="C75" t="s">
        <v>180</v>
      </c>
      <c r="D75" t="s">
        <v>71</v>
      </c>
      <c r="E75" t="s">
        <v>620</v>
      </c>
      <c r="F75" t="s">
        <v>621</v>
      </c>
      <c r="G75" t="s">
        <v>670</v>
      </c>
      <c r="H75" t="s">
        <v>412</v>
      </c>
      <c r="I75">
        <v>383</v>
      </c>
      <c r="J75">
        <v>34</v>
      </c>
      <c r="K75" t="s">
        <v>414</v>
      </c>
      <c r="L75">
        <v>8210</v>
      </c>
      <c r="M75" t="s">
        <v>338</v>
      </c>
      <c r="N75" t="s">
        <v>423</v>
      </c>
      <c r="O75">
        <v>1</v>
      </c>
      <c r="P75">
        <v>2</v>
      </c>
      <c r="Q75">
        <v>-99</v>
      </c>
      <c r="R75" t="s">
        <v>692</v>
      </c>
    </row>
    <row r="76" spans="1:18" x14ac:dyDescent="0.25">
      <c r="A76">
        <v>75</v>
      </c>
      <c r="B76">
        <v>197</v>
      </c>
      <c r="C76" t="s">
        <v>181</v>
      </c>
      <c r="D76" t="s">
        <v>75</v>
      </c>
      <c r="E76" t="s">
        <v>622</v>
      </c>
      <c r="F76" t="s">
        <v>623</v>
      </c>
      <c r="G76" t="s">
        <v>667</v>
      </c>
      <c r="H76" t="s">
        <v>387</v>
      </c>
      <c r="I76">
        <v>381</v>
      </c>
      <c r="J76">
        <v>31</v>
      </c>
      <c r="K76" t="s">
        <v>390</v>
      </c>
      <c r="L76">
        <v>8211</v>
      </c>
      <c r="M76" t="s">
        <v>341</v>
      </c>
      <c r="N76" t="s">
        <v>437</v>
      </c>
      <c r="O76">
        <v>1</v>
      </c>
      <c r="P76">
        <v>2</v>
      </c>
      <c r="Q76">
        <v>-99</v>
      </c>
      <c r="R76" t="s">
        <v>692</v>
      </c>
    </row>
    <row r="77" spans="1:18" x14ac:dyDescent="0.25">
      <c r="A77">
        <v>76</v>
      </c>
      <c r="B77">
        <v>119</v>
      </c>
      <c r="C77" t="s">
        <v>182</v>
      </c>
      <c r="D77" t="s">
        <v>58</v>
      </c>
      <c r="E77" t="s">
        <v>624</v>
      </c>
      <c r="F77" t="s">
        <v>625</v>
      </c>
      <c r="G77" t="s">
        <v>670</v>
      </c>
      <c r="H77" t="s">
        <v>412</v>
      </c>
      <c r="I77">
        <v>383</v>
      </c>
      <c r="J77">
        <v>34</v>
      </c>
      <c r="K77" t="s">
        <v>414</v>
      </c>
      <c r="L77">
        <v>8223</v>
      </c>
      <c r="M77" t="s">
        <v>626</v>
      </c>
      <c r="N77" t="s">
        <v>627</v>
      </c>
      <c r="O77">
        <v>1</v>
      </c>
      <c r="P77">
        <v>2</v>
      </c>
      <c r="Q77">
        <v>-99</v>
      </c>
      <c r="R77" t="s">
        <v>692</v>
      </c>
    </row>
    <row r="78" spans="1:18" x14ac:dyDescent="0.25">
      <c r="A78">
        <v>77</v>
      </c>
      <c r="B78">
        <v>131</v>
      </c>
      <c r="C78" t="s">
        <v>183</v>
      </c>
      <c r="D78" t="s">
        <v>49</v>
      </c>
      <c r="E78" t="s">
        <v>628</v>
      </c>
      <c r="F78" t="s">
        <v>629</v>
      </c>
      <c r="G78" t="s">
        <v>668</v>
      </c>
      <c r="H78" t="s">
        <v>396</v>
      </c>
      <c r="I78">
        <v>382</v>
      </c>
      <c r="J78">
        <v>33</v>
      </c>
      <c r="K78" t="s">
        <v>395</v>
      </c>
      <c r="L78">
        <v>8226</v>
      </c>
      <c r="M78" t="s">
        <v>337</v>
      </c>
      <c r="N78" t="s">
        <v>420</v>
      </c>
      <c r="O78">
        <v>1</v>
      </c>
      <c r="P78">
        <v>2</v>
      </c>
      <c r="Q78">
        <v>-99</v>
      </c>
      <c r="R78" t="s">
        <v>692</v>
      </c>
    </row>
    <row r="79" spans="1:18" x14ac:dyDescent="0.25">
      <c r="A79">
        <v>78</v>
      </c>
      <c r="B79">
        <v>132</v>
      </c>
      <c r="C79" t="s">
        <v>679</v>
      </c>
      <c r="D79" t="s">
        <v>440</v>
      </c>
      <c r="E79" t="s">
        <v>630</v>
      </c>
      <c r="F79" t="s">
        <v>680</v>
      </c>
      <c r="G79" t="s">
        <v>667</v>
      </c>
      <c r="H79" t="s">
        <v>387</v>
      </c>
      <c r="I79">
        <v>381</v>
      </c>
      <c r="J79">
        <v>30</v>
      </c>
      <c r="K79" t="s">
        <v>379</v>
      </c>
      <c r="L79">
        <v>8229</v>
      </c>
      <c r="M79" t="s">
        <v>356</v>
      </c>
      <c r="N79" t="s">
        <v>424</v>
      </c>
      <c r="O79">
        <v>1</v>
      </c>
      <c r="P79">
        <v>2</v>
      </c>
      <c r="Q79">
        <v>-99</v>
      </c>
      <c r="R79" t="s">
        <v>692</v>
      </c>
    </row>
    <row r="80" spans="1:18" x14ac:dyDescent="0.25">
      <c r="A80">
        <v>79</v>
      </c>
      <c r="B80">
        <v>143</v>
      </c>
      <c r="C80" t="s">
        <v>184</v>
      </c>
      <c r="D80" t="s">
        <v>57</v>
      </c>
      <c r="E80" t="s">
        <v>631</v>
      </c>
      <c r="F80" t="s">
        <v>632</v>
      </c>
      <c r="G80" t="s">
        <v>666</v>
      </c>
      <c r="H80" t="s">
        <v>380</v>
      </c>
      <c r="I80">
        <v>380</v>
      </c>
      <c r="J80">
        <v>30</v>
      </c>
      <c r="K80" t="s">
        <v>379</v>
      </c>
      <c r="L80">
        <v>8230</v>
      </c>
      <c r="M80" t="s">
        <v>369</v>
      </c>
      <c r="N80" t="s">
        <v>425</v>
      </c>
      <c r="O80">
        <v>1</v>
      </c>
      <c r="P80">
        <v>2</v>
      </c>
      <c r="Q80">
        <v>-99</v>
      </c>
      <c r="R80" t="s">
        <v>692</v>
      </c>
    </row>
    <row r="81" spans="1:18" x14ac:dyDescent="0.25">
      <c r="A81">
        <v>80</v>
      </c>
      <c r="B81">
        <v>144</v>
      </c>
      <c r="C81" t="s">
        <v>681</v>
      </c>
      <c r="D81" t="s">
        <v>499</v>
      </c>
      <c r="E81" t="s">
        <v>681</v>
      </c>
      <c r="F81" t="s">
        <v>499</v>
      </c>
      <c r="G81" t="s">
        <v>678</v>
      </c>
      <c r="H81" t="s">
        <v>8</v>
      </c>
      <c r="I81">
        <v>-99</v>
      </c>
      <c r="J81">
        <v>35</v>
      </c>
      <c r="K81" t="s">
        <v>8</v>
      </c>
      <c r="L81">
        <v>8215</v>
      </c>
      <c r="M81" t="s">
        <v>349</v>
      </c>
      <c r="N81" t="s">
        <v>407</v>
      </c>
      <c r="O81">
        <v>1</v>
      </c>
      <c r="P81">
        <v>2</v>
      </c>
      <c r="Q81">
        <v>-99</v>
      </c>
      <c r="R81" t="s">
        <v>664</v>
      </c>
    </row>
    <row r="82" spans="1:18" x14ac:dyDescent="0.25">
      <c r="A82">
        <v>81</v>
      </c>
      <c r="B82">
        <v>145</v>
      </c>
      <c r="C82" t="s">
        <v>185</v>
      </c>
      <c r="D82" t="s">
        <v>74</v>
      </c>
      <c r="E82" t="s">
        <v>633</v>
      </c>
      <c r="F82" t="s">
        <v>634</v>
      </c>
      <c r="G82" t="s">
        <v>670</v>
      </c>
      <c r="H82" t="s">
        <v>412</v>
      </c>
      <c r="I82">
        <v>383</v>
      </c>
      <c r="J82">
        <v>34</v>
      </c>
      <c r="K82" t="s">
        <v>414</v>
      </c>
      <c r="L82">
        <v>8231</v>
      </c>
      <c r="M82" t="s">
        <v>342</v>
      </c>
      <c r="N82" t="s">
        <v>417</v>
      </c>
      <c r="O82">
        <v>1</v>
      </c>
      <c r="P82">
        <v>1</v>
      </c>
      <c r="Q82">
        <v>-99</v>
      </c>
      <c r="R82" t="s">
        <v>692</v>
      </c>
    </row>
    <row r="83" spans="1:18" x14ac:dyDescent="0.25">
      <c r="A83">
        <v>82</v>
      </c>
      <c r="B83">
        <v>-99</v>
      </c>
      <c r="C83" t="s">
        <v>185</v>
      </c>
      <c r="D83" t="s">
        <v>74</v>
      </c>
      <c r="E83" t="s">
        <v>635</v>
      </c>
      <c r="F83" t="s">
        <v>968</v>
      </c>
      <c r="G83" t="s">
        <v>670</v>
      </c>
      <c r="H83" t="s">
        <v>412</v>
      </c>
      <c r="I83">
        <v>383</v>
      </c>
      <c r="J83">
        <v>34</v>
      </c>
      <c r="K83" t="s">
        <v>414</v>
      </c>
      <c r="L83">
        <v>8231</v>
      </c>
      <c r="M83" t="s">
        <v>342</v>
      </c>
      <c r="N83" t="s">
        <v>417</v>
      </c>
      <c r="O83">
        <v>-99</v>
      </c>
      <c r="P83">
        <v>1</v>
      </c>
      <c r="Q83">
        <v>-99</v>
      </c>
      <c r="R83" t="s">
        <v>690</v>
      </c>
    </row>
    <row r="84" spans="1:18" x14ac:dyDescent="0.25">
      <c r="A84">
        <v>83</v>
      </c>
      <c r="B84">
        <v>151</v>
      </c>
      <c r="C84" t="s">
        <v>682</v>
      </c>
      <c r="D84" t="s">
        <v>8</v>
      </c>
      <c r="E84" t="s">
        <v>682</v>
      </c>
      <c r="F84" t="s">
        <v>500</v>
      </c>
      <c r="G84" t="s">
        <v>678</v>
      </c>
      <c r="H84" t="s">
        <v>8</v>
      </c>
      <c r="I84">
        <v>380</v>
      </c>
      <c r="J84">
        <v>35</v>
      </c>
      <c r="K84" t="s">
        <v>8</v>
      </c>
      <c r="L84">
        <v>3180155</v>
      </c>
      <c r="M84" t="s">
        <v>356</v>
      </c>
      <c r="N84" t="s">
        <v>424</v>
      </c>
      <c r="O84">
        <v>1</v>
      </c>
      <c r="P84">
        <v>2</v>
      </c>
      <c r="Q84">
        <v>-99</v>
      </c>
      <c r="R84" t="s">
        <v>664</v>
      </c>
    </row>
    <row r="85" spans="1:18" x14ac:dyDescent="0.25">
      <c r="A85">
        <v>84</v>
      </c>
      <c r="B85">
        <v>152</v>
      </c>
      <c r="C85" t="s">
        <v>186</v>
      </c>
      <c r="D85" t="s">
        <v>81</v>
      </c>
      <c r="E85" t="s">
        <v>636</v>
      </c>
      <c r="F85" t="s">
        <v>637</v>
      </c>
      <c r="G85" t="s">
        <v>666</v>
      </c>
      <c r="H85" t="s">
        <v>380</v>
      </c>
      <c r="I85">
        <v>380</v>
      </c>
      <c r="J85">
        <v>30</v>
      </c>
      <c r="K85" t="s">
        <v>379</v>
      </c>
      <c r="L85">
        <v>8234</v>
      </c>
      <c r="M85" t="s">
        <v>362</v>
      </c>
      <c r="N85" t="s">
        <v>426</v>
      </c>
      <c r="O85">
        <v>1</v>
      </c>
      <c r="P85">
        <v>2</v>
      </c>
      <c r="Q85">
        <v>-99</v>
      </c>
      <c r="R85" t="s">
        <v>692</v>
      </c>
    </row>
    <row r="86" spans="1:18" x14ac:dyDescent="0.25">
      <c r="A86">
        <v>85</v>
      </c>
      <c r="B86">
        <v>153</v>
      </c>
      <c r="C86" t="s">
        <v>92</v>
      </c>
      <c r="D86" t="s">
        <v>141</v>
      </c>
      <c r="E86" t="s">
        <v>638</v>
      </c>
      <c r="F86" t="s">
        <v>639</v>
      </c>
      <c r="G86" t="s">
        <v>666</v>
      </c>
      <c r="H86" t="s">
        <v>380</v>
      </c>
      <c r="I86">
        <v>380</v>
      </c>
      <c r="J86">
        <v>30</v>
      </c>
      <c r="K86" t="s">
        <v>379</v>
      </c>
      <c r="L86">
        <v>8236</v>
      </c>
      <c r="M86" t="s">
        <v>375</v>
      </c>
      <c r="N86" t="s">
        <v>427</v>
      </c>
      <c r="O86">
        <v>1</v>
      </c>
      <c r="P86">
        <v>2</v>
      </c>
      <c r="Q86">
        <v>-99</v>
      </c>
      <c r="R86" t="s">
        <v>692</v>
      </c>
    </row>
    <row r="87" spans="1:18" x14ac:dyDescent="0.25">
      <c r="A87">
        <v>86</v>
      </c>
      <c r="B87">
        <v>154</v>
      </c>
      <c r="C87" t="s">
        <v>188</v>
      </c>
      <c r="D87" t="s">
        <v>187</v>
      </c>
      <c r="E87" t="s">
        <v>640</v>
      </c>
      <c r="F87" t="s">
        <v>641</v>
      </c>
      <c r="G87" t="s">
        <v>670</v>
      </c>
      <c r="H87" t="s">
        <v>412</v>
      </c>
      <c r="I87">
        <v>383</v>
      </c>
      <c r="J87">
        <v>33</v>
      </c>
      <c r="K87" t="s">
        <v>395</v>
      </c>
      <c r="L87">
        <v>8265</v>
      </c>
      <c r="M87" t="s">
        <v>368</v>
      </c>
      <c r="N87" t="s">
        <v>428</v>
      </c>
      <c r="O87">
        <v>1</v>
      </c>
      <c r="P87">
        <v>2</v>
      </c>
      <c r="Q87">
        <v>-99</v>
      </c>
      <c r="R87" t="s">
        <v>692</v>
      </c>
    </row>
    <row r="88" spans="1:18" x14ac:dyDescent="0.25">
      <c r="A88">
        <v>87</v>
      </c>
      <c r="B88">
        <v>155</v>
      </c>
      <c r="C88" t="s">
        <v>189</v>
      </c>
      <c r="D88" t="s">
        <v>46</v>
      </c>
      <c r="E88" t="s">
        <v>642</v>
      </c>
      <c r="F88" t="s">
        <v>643</v>
      </c>
      <c r="G88" t="s">
        <v>668</v>
      </c>
      <c r="H88" t="s">
        <v>396</v>
      </c>
      <c r="I88">
        <v>382</v>
      </c>
      <c r="J88">
        <v>32</v>
      </c>
      <c r="K88" t="s">
        <v>400</v>
      </c>
      <c r="L88">
        <v>8266</v>
      </c>
      <c r="M88" t="s">
        <v>333</v>
      </c>
      <c r="N88" t="s">
        <v>429</v>
      </c>
      <c r="O88">
        <v>1</v>
      </c>
      <c r="P88">
        <v>2</v>
      </c>
      <c r="Q88">
        <v>-99</v>
      </c>
      <c r="R88" t="s">
        <v>692</v>
      </c>
    </row>
    <row r="89" spans="1:18" x14ac:dyDescent="0.25">
      <c r="A89">
        <v>88</v>
      </c>
      <c r="B89">
        <v>156</v>
      </c>
      <c r="C89" t="s">
        <v>190</v>
      </c>
      <c r="D89" t="s">
        <v>77</v>
      </c>
      <c r="E89" t="s">
        <v>644</v>
      </c>
      <c r="F89" t="s">
        <v>645</v>
      </c>
      <c r="G89" t="s">
        <v>668</v>
      </c>
      <c r="H89" t="s">
        <v>396</v>
      </c>
      <c r="I89">
        <v>382</v>
      </c>
      <c r="J89">
        <v>32</v>
      </c>
      <c r="K89" t="s">
        <v>400</v>
      </c>
      <c r="L89">
        <v>8267</v>
      </c>
      <c r="M89" t="s">
        <v>351</v>
      </c>
      <c r="N89" t="s">
        <v>430</v>
      </c>
      <c r="O89">
        <v>1</v>
      </c>
      <c r="P89">
        <v>2</v>
      </c>
      <c r="Q89">
        <v>-99</v>
      </c>
      <c r="R89" t="s">
        <v>692</v>
      </c>
    </row>
    <row r="90" spans="1:18" x14ac:dyDescent="0.25">
      <c r="A90">
        <v>89</v>
      </c>
      <c r="B90">
        <v>157</v>
      </c>
      <c r="C90" t="s">
        <v>683</v>
      </c>
      <c r="D90" t="s">
        <v>39</v>
      </c>
      <c r="E90" t="s">
        <v>646</v>
      </c>
      <c r="F90" t="s">
        <v>647</v>
      </c>
      <c r="G90" t="s">
        <v>670</v>
      </c>
      <c r="H90" t="s">
        <v>412</v>
      </c>
      <c r="I90">
        <v>383</v>
      </c>
      <c r="J90">
        <v>33</v>
      </c>
      <c r="K90" t="s">
        <v>395</v>
      </c>
      <c r="L90">
        <v>8271</v>
      </c>
      <c r="M90" t="s">
        <v>329</v>
      </c>
      <c r="N90" t="s">
        <v>431</v>
      </c>
      <c r="O90">
        <v>1</v>
      </c>
      <c r="P90">
        <v>2</v>
      </c>
      <c r="Q90">
        <v>-99</v>
      </c>
      <c r="R90" t="s">
        <v>692</v>
      </c>
    </row>
    <row r="91" spans="1:18" x14ac:dyDescent="0.25">
      <c r="A91">
        <v>90</v>
      </c>
      <c r="B91">
        <v>158</v>
      </c>
      <c r="C91" t="s">
        <v>191</v>
      </c>
      <c r="D91" t="s">
        <v>84</v>
      </c>
      <c r="E91" t="s">
        <v>648</v>
      </c>
      <c r="F91" t="s">
        <v>649</v>
      </c>
      <c r="G91" t="s">
        <v>668</v>
      </c>
      <c r="H91" t="s">
        <v>396</v>
      </c>
      <c r="I91">
        <v>382</v>
      </c>
      <c r="J91">
        <v>32</v>
      </c>
      <c r="K91" t="s">
        <v>400</v>
      </c>
      <c r="L91">
        <v>8209</v>
      </c>
      <c r="M91" t="s">
        <v>374</v>
      </c>
      <c r="N91" t="s">
        <v>432</v>
      </c>
      <c r="O91">
        <v>1</v>
      </c>
      <c r="P91">
        <v>2</v>
      </c>
      <c r="Q91">
        <v>-99</v>
      </c>
      <c r="R91" t="s">
        <v>692</v>
      </c>
    </row>
    <row r="92" spans="1:18" x14ac:dyDescent="0.25">
      <c r="A92">
        <v>91</v>
      </c>
      <c r="B92">
        <v>198</v>
      </c>
      <c r="C92" t="s">
        <v>192</v>
      </c>
      <c r="D92" t="s">
        <v>48</v>
      </c>
      <c r="E92" t="s">
        <v>650</v>
      </c>
      <c r="F92" t="s">
        <v>651</v>
      </c>
      <c r="G92" t="s">
        <v>670</v>
      </c>
      <c r="H92" t="s">
        <v>412</v>
      </c>
      <c r="I92">
        <v>383</v>
      </c>
      <c r="J92">
        <v>34</v>
      </c>
      <c r="K92" t="s">
        <v>414</v>
      </c>
      <c r="L92">
        <v>8224</v>
      </c>
      <c r="M92" t="s">
        <v>371</v>
      </c>
      <c r="N92" t="s">
        <v>438</v>
      </c>
      <c r="O92">
        <v>1</v>
      </c>
      <c r="P92">
        <v>2</v>
      </c>
      <c r="Q92">
        <v>-99</v>
      </c>
      <c r="R92" t="s">
        <v>692</v>
      </c>
    </row>
    <row r="93" spans="1:18" x14ac:dyDescent="0.25">
      <c r="A93">
        <v>92</v>
      </c>
      <c r="B93">
        <v>161</v>
      </c>
      <c r="C93" t="s">
        <v>193</v>
      </c>
      <c r="D93" t="s">
        <v>85</v>
      </c>
      <c r="E93" t="s">
        <v>652</v>
      </c>
      <c r="F93" t="s">
        <v>653</v>
      </c>
      <c r="G93" t="s">
        <v>666</v>
      </c>
      <c r="H93" t="s">
        <v>380</v>
      </c>
      <c r="I93">
        <v>380</v>
      </c>
      <c r="J93">
        <v>30</v>
      </c>
      <c r="K93" t="s">
        <v>379</v>
      </c>
      <c r="L93">
        <v>8225</v>
      </c>
      <c r="M93" t="s">
        <v>334</v>
      </c>
      <c r="N93" t="s">
        <v>433</v>
      </c>
      <c r="O93">
        <v>1</v>
      </c>
      <c r="P93">
        <v>2</v>
      </c>
      <c r="Q93">
        <v>-99</v>
      </c>
      <c r="R93" t="s">
        <v>692</v>
      </c>
    </row>
    <row r="94" spans="1:18" x14ac:dyDescent="0.25">
      <c r="A94">
        <v>93</v>
      </c>
      <c r="B94">
        <v>162</v>
      </c>
      <c r="C94" t="s">
        <v>194</v>
      </c>
      <c r="D94" t="s">
        <v>35</v>
      </c>
      <c r="E94" t="s">
        <v>654</v>
      </c>
      <c r="F94" t="s">
        <v>655</v>
      </c>
      <c r="G94" t="s">
        <v>670</v>
      </c>
      <c r="H94" t="s">
        <v>412</v>
      </c>
      <c r="I94">
        <v>383</v>
      </c>
      <c r="J94">
        <v>34</v>
      </c>
      <c r="K94" t="s">
        <v>414</v>
      </c>
      <c r="L94">
        <v>8227</v>
      </c>
      <c r="M94" t="s">
        <v>487</v>
      </c>
      <c r="N94" t="s">
        <v>434</v>
      </c>
      <c r="O94">
        <v>1</v>
      </c>
      <c r="P94">
        <v>2</v>
      </c>
      <c r="Q94">
        <v>-99</v>
      </c>
      <c r="R94" t="s">
        <v>692</v>
      </c>
    </row>
    <row r="95" spans="1:18" x14ac:dyDescent="0.25">
      <c r="A95">
        <v>94</v>
      </c>
      <c r="B95">
        <v>-99</v>
      </c>
      <c r="C95" t="s">
        <v>684</v>
      </c>
      <c r="D95" t="s">
        <v>8</v>
      </c>
      <c r="E95" t="s">
        <v>685</v>
      </c>
      <c r="F95" t="s">
        <v>232</v>
      </c>
      <c r="G95" t="s">
        <v>664</v>
      </c>
      <c r="H95" t="s">
        <v>8</v>
      </c>
      <c r="I95">
        <v>-99</v>
      </c>
      <c r="J95">
        <v>-99</v>
      </c>
      <c r="K95" t="s">
        <v>8</v>
      </c>
      <c r="L95">
        <v>-99</v>
      </c>
      <c r="M95" t="s">
        <v>664</v>
      </c>
      <c r="N95" t="s">
        <v>664</v>
      </c>
      <c r="O95">
        <v>-99</v>
      </c>
      <c r="P95">
        <v>-99</v>
      </c>
      <c r="Q95">
        <v>-99</v>
      </c>
      <c r="R95" t="s">
        <v>216</v>
      </c>
    </row>
    <row r="96" spans="1:18" x14ac:dyDescent="0.25">
      <c r="A96">
        <v>95</v>
      </c>
      <c r="B96">
        <v>-99</v>
      </c>
      <c r="C96" t="s">
        <v>684</v>
      </c>
      <c r="D96" t="s">
        <v>8</v>
      </c>
      <c r="E96" t="s">
        <v>686</v>
      </c>
      <c r="F96" t="s">
        <v>317</v>
      </c>
      <c r="G96" t="s">
        <v>664</v>
      </c>
      <c r="H96" t="s">
        <v>8</v>
      </c>
      <c r="I96">
        <v>-99</v>
      </c>
      <c r="J96">
        <v>-99</v>
      </c>
      <c r="K96" t="s">
        <v>8</v>
      </c>
      <c r="L96">
        <v>-99</v>
      </c>
      <c r="M96" t="s">
        <v>664</v>
      </c>
      <c r="N96" t="s">
        <v>664</v>
      </c>
      <c r="O96">
        <v>-99</v>
      </c>
      <c r="P96">
        <v>-99</v>
      </c>
      <c r="Q96">
        <v>-99</v>
      </c>
      <c r="R96" t="s">
        <v>689</v>
      </c>
    </row>
    <row r="97" spans="1:18" x14ac:dyDescent="0.25">
      <c r="A97">
        <v>96</v>
      </c>
      <c r="B97">
        <v>-99</v>
      </c>
      <c r="C97" t="s">
        <v>684</v>
      </c>
      <c r="D97" t="s">
        <v>8</v>
      </c>
      <c r="E97" t="s">
        <v>687</v>
      </c>
      <c r="F97" t="s">
        <v>316</v>
      </c>
      <c r="G97" t="s">
        <v>664</v>
      </c>
      <c r="H97" t="s">
        <v>8</v>
      </c>
      <c r="I97">
        <v>-99</v>
      </c>
      <c r="J97">
        <v>-99</v>
      </c>
      <c r="K97" t="s">
        <v>8</v>
      </c>
      <c r="L97">
        <v>-99</v>
      </c>
      <c r="M97" t="s">
        <v>664</v>
      </c>
      <c r="N97" t="s">
        <v>664</v>
      </c>
      <c r="O97">
        <v>-99</v>
      </c>
      <c r="P97">
        <v>-99</v>
      </c>
      <c r="Q97">
        <v>-99</v>
      </c>
      <c r="R97" t="s">
        <v>690</v>
      </c>
    </row>
    <row r="98" spans="1:18" x14ac:dyDescent="0.25">
      <c r="A98">
        <v>97</v>
      </c>
      <c r="B98">
        <v>-99</v>
      </c>
      <c r="C98" t="s">
        <v>684</v>
      </c>
      <c r="D98" t="s">
        <v>8</v>
      </c>
      <c r="E98" t="s">
        <v>684</v>
      </c>
      <c r="F98" t="s">
        <v>8</v>
      </c>
      <c r="G98" t="s">
        <v>664</v>
      </c>
      <c r="H98" t="s">
        <v>8</v>
      </c>
      <c r="I98">
        <v>-99</v>
      </c>
      <c r="J98">
        <v>-99</v>
      </c>
      <c r="K98" t="s">
        <v>8</v>
      </c>
      <c r="L98">
        <v>-99</v>
      </c>
      <c r="M98" t="s">
        <v>664</v>
      </c>
      <c r="N98" t="s">
        <v>664</v>
      </c>
      <c r="O98">
        <v>-99</v>
      </c>
      <c r="P98">
        <v>-99</v>
      </c>
      <c r="Q98">
        <v>-99</v>
      </c>
      <c r="R98" t="s">
        <v>664</v>
      </c>
    </row>
    <row r="99" spans="1:18" x14ac:dyDescent="0.25">
      <c r="A99">
        <v>98</v>
      </c>
      <c r="B99">
        <v>-99</v>
      </c>
      <c r="C99" t="s">
        <v>684</v>
      </c>
      <c r="D99" t="s">
        <v>8</v>
      </c>
      <c r="E99" t="s">
        <v>695</v>
      </c>
      <c r="F99" t="s">
        <v>696</v>
      </c>
      <c r="G99" t="s">
        <v>664</v>
      </c>
      <c r="H99" t="s">
        <v>8</v>
      </c>
      <c r="I99">
        <v>-99</v>
      </c>
      <c r="J99">
        <v>-99</v>
      </c>
      <c r="K99" t="s">
        <v>8</v>
      </c>
      <c r="L99">
        <v>-99</v>
      </c>
      <c r="M99" t="s">
        <v>664</v>
      </c>
      <c r="N99" t="s">
        <v>664</v>
      </c>
      <c r="O99">
        <v>-99</v>
      </c>
      <c r="P99">
        <v>-99</v>
      </c>
      <c r="Q99">
        <v>-99</v>
      </c>
      <c r="R99" t="s">
        <v>692</v>
      </c>
    </row>
    <row r="100" spans="1:18" x14ac:dyDescent="0.25">
      <c r="A100">
        <v>99</v>
      </c>
      <c r="B100">
        <v>250</v>
      </c>
      <c r="C100" t="s">
        <v>664</v>
      </c>
      <c r="D100" t="s">
        <v>35</v>
      </c>
      <c r="E100" t="s">
        <v>731</v>
      </c>
      <c r="F100" t="s">
        <v>697</v>
      </c>
      <c r="G100" t="s">
        <v>664</v>
      </c>
      <c r="H100" t="s">
        <v>412</v>
      </c>
      <c r="I100">
        <v>-99</v>
      </c>
      <c r="J100">
        <v>-99</v>
      </c>
      <c r="K100" t="s">
        <v>414</v>
      </c>
      <c r="L100">
        <v>-99</v>
      </c>
      <c r="M100" t="s">
        <v>664</v>
      </c>
      <c r="N100" t="s">
        <v>664</v>
      </c>
      <c r="O100">
        <v>-99</v>
      </c>
      <c r="P100">
        <v>-99</v>
      </c>
      <c r="Q100">
        <v>-99</v>
      </c>
      <c r="R100" t="s">
        <v>698</v>
      </c>
    </row>
    <row r="101" spans="1:18" x14ac:dyDescent="0.25">
      <c r="A101">
        <v>100</v>
      </c>
      <c r="B101">
        <v>256</v>
      </c>
      <c r="C101" t="s">
        <v>664</v>
      </c>
      <c r="D101" t="s">
        <v>220</v>
      </c>
      <c r="E101" t="s">
        <v>732</v>
      </c>
      <c r="F101" t="s">
        <v>699</v>
      </c>
      <c r="G101" t="s">
        <v>664</v>
      </c>
      <c r="H101" t="s">
        <v>396</v>
      </c>
      <c r="I101">
        <v>-99</v>
      </c>
      <c r="J101">
        <v>-99</v>
      </c>
      <c r="K101" t="s">
        <v>400</v>
      </c>
      <c r="L101">
        <v>-99</v>
      </c>
      <c r="M101" t="s">
        <v>664</v>
      </c>
      <c r="N101" t="s">
        <v>664</v>
      </c>
      <c r="O101">
        <v>-99</v>
      </c>
      <c r="P101">
        <v>-99</v>
      </c>
      <c r="Q101">
        <v>-99</v>
      </c>
      <c r="R101" t="s">
        <v>698</v>
      </c>
    </row>
    <row r="102" spans="1:18" x14ac:dyDescent="0.25">
      <c r="A102">
        <v>101</v>
      </c>
      <c r="B102">
        <v>257</v>
      </c>
      <c r="C102" t="s">
        <v>664</v>
      </c>
      <c r="D102" t="s">
        <v>217</v>
      </c>
      <c r="E102" t="s">
        <v>733</v>
      </c>
      <c r="F102" t="s">
        <v>700</v>
      </c>
      <c r="G102" t="s">
        <v>664</v>
      </c>
      <c r="H102" t="s">
        <v>396</v>
      </c>
      <c r="I102">
        <v>-99</v>
      </c>
      <c r="J102">
        <v>-99</v>
      </c>
      <c r="K102" t="s">
        <v>400</v>
      </c>
      <c r="L102">
        <v>-99</v>
      </c>
      <c r="M102" t="s">
        <v>664</v>
      </c>
      <c r="N102" t="s">
        <v>664</v>
      </c>
      <c r="O102">
        <v>-99</v>
      </c>
      <c r="P102">
        <v>-99</v>
      </c>
      <c r="Q102">
        <v>-99</v>
      </c>
      <c r="R102" t="s">
        <v>698</v>
      </c>
    </row>
    <row r="103" spans="1:18" x14ac:dyDescent="0.25">
      <c r="A103">
        <v>102</v>
      </c>
      <c r="B103">
        <v>258</v>
      </c>
      <c r="C103" t="s">
        <v>664</v>
      </c>
      <c r="D103" t="s">
        <v>218</v>
      </c>
      <c r="E103" t="s">
        <v>734</v>
      </c>
      <c r="F103" t="s">
        <v>701</v>
      </c>
      <c r="G103" t="s">
        <v>664</v>
      </c>
      <c r="H103" t="s">
        <v>380</v>
      </c>
      <c r="I103">
        <v>-99</v>
      </c>
      <c r="J103">
        <v>-99</v>
      </c>
      <c r="K103" t="s">
        <v>379</v>
      </c>
      <c r="L103">
        <v>-99</v>
      </c>
      <c r="M103" t="s">
        <v>664</v>
      </c>
      <c r="N103" t="s">
        <v>664</v>
      </c>
      <c r="O103">
        <v>-99</v>
      </c>
      <c r="P103">
        <v>-99</v>
      </c>
      <c r="Q103">
        <v>-99</v>
      </c>
      <c r="R103" t="s">
        <v>698</v>
      </c>
    </row>
    <row r="104" spans="1:18" x14ac:dyDescent="0.25">
      <c r="A104">
        <v>103</v>
      </c>
      <c r="B104">
        <v>259</v>
      </c>
      <c r="C104" t="s">
        <v>664</v>
      </c>
      <c r="D104" t="s">
        <v>141</v>
      </c>
      <c r="E104" t="s">
        <v>735</v>
      </c>
      <c r="F104" t="s">
        <v>702</v>
      </c>
      <c r="G104" t="s">
        <v>664</v>
      </c>
      <c r="H104" t="s">
        <v>380</v>
      </c>
      <c r="I104">
        <v>-99</v>
      </c>
      <c r="J104">
        <v>-99</v>
      </c>
      <c r="K104" t="s">
        <v>379</v>
      </c>
      <c r="L104">
        <v>-99</v>
      </c>
      <c r="M104" t="s">
        <v>664</v>
      </c>
      <c r="N104" t="s">
        <v>664</v>
      </c>
      <c r="O104">
        <v>-99</v>
      </c>
      <c r="P104">
        <v>-99</v>
      </c>
      <c r="Q104">
        <v>-99</v>
      </c>
      <c r="R104" t="s">
        <v>698</v>
      </c>
    </row>
    <row r="105" spans="1:18" x14ac:dyDescent="0.25">
      <c r="A105">
        <v>104</v>
      </c>
      <c r="B105">
        <v>260</v>
      </c>
      <c r="C105" t="s">
        <v>664</v>
      </c>
      <c r="D105" t="s">
        <v>49</v>
      </c>
      <c r="E105" t="s">
        <v>736</v>
      </c>
      <c r="F105" t="s">
        <v>703</v>
      </c>
      <c r="G105" t="s">
        <v>664</v>
      </c>
      <c r="H105" t="s">
        <v>396</v>
      </c>
      <c r="I105">
        <v>-99</v>
      </c>
      <c r="J105">
        <v>-99</v>
      </c>
      <c r="K105" t="s">
        <v>395</v>
      </c>
      <c r="L105">
        <v>-99</v>
      </c>
      <c r="M105" t="s">
        <v>664</v>
      </c>
      <c r="N105" t="s">
        <v>664</v>
      </c>
      <c r="O105">
        <v>-99</v>
      </c>
      <c r="P105">
        <v>-99</v>
      </c>
      <c r="Q105">
        <v>-99</v>
      </c>
      <c r="R105" t="s">
        <v>698</v>
      </c>
    </row>
    <row r="106" spans="1:18" x14ac:dyDescent="0.25">
      <c r="A106">
        <v>105</v>
      </c>
      <c r="B106">
        <v>261</v>
      </c>
      <c r="C106" t="s">
        <v>664</v>
      </c>
      <c r="D106" t="s">
        <v>68</v>
      </c>
      <c r="E106" t="s">
        <v>737</v>
      </c>
      <c r="F106" t="s">
        <v>704</v>
      </c>
      <c r="G106" t="s">
        <v>664</v>
      </c>
      <c r="H106" t="s">
        <v>380</v>
      </c>
      <c r="I106">
        <v>-99</v>
      </c>
      <c r="J106">
        <v>-99</v>
      </c>
      <c r="K106" t="s">
        <v>379</v>
      </c>
      <c r="L106">
        <v>-99</v>
      </c>
      <c r="M106" t="s">
        <v>664</v>
      </c>
      <c r="N106" t="s">
        <v>664</v>
      </c>
      <c r="O106">
        <v>-99</v>
      </c>
      <c r="P106">
        <v>-99</v>
      </c>
      <c r="Q106">
        <v>-99</v>
      </c>
      <c r="R106" t="s">
        <v>698</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3.2" x14ac:dyDescent="0.25"/>
  <cols>
    <col min="1" max="1" width="4.109375" customWidth="1"/>
    <col min="2" max="2" width="26.77734375" bestFit="1" customWidth="1"/>
    <col min="3" max="3" width="17" bestFit="1" customWidth="1"/>
    <col min="4" max="4" width="7.77734375" bestFit="1" customWidth="1"/>
    <col min="5" max="5" width="12" bestFit="1" customWidth="1"/>
  </cols>
  <sheetData>
    <row r="1" spans="1:5" x14ac:dyDescent="0.25">
      <c r="A1" t="s">
        <v>473</v>
      </c>
      <c r="B1" t="s">
        <v>467</v>
      </c>
      <c r="C1" t="s">
        <v>474</v>
      </c>
      <c r="D1" t="s">
        <v>475</v>
      </c>
      <c r="E1" t="s">
        <v>502</v>
      </c>
    </row>
    <row r="2" spans="1:5" x14ac:dyDescent="0.25">
      <c r="A2" t="s">
        <v>335</v>
      </c>
      <c r="B2" t="s">
        <v>381</v>
      </c>
      <c r="C2" t="s">
        <v>381</v>
      </c>
      <c r="D2" t="s">
        <v>476</v>
      </c>
      <c r="E2" t="s">
        <v>379</v>
      </c>
    </row>
    <row r="3" spans="1:5" x14ac:dyDescent="0.25">
      <c r="A3" t="s">
        <v>367</v>
      </c>
      <c r="B3" t="s">
        <v>384</v>
      </c>
      <c r="C3" t="s">
        <v>384</v>
      </c>
      <c r="D3" t="s">
        <v>476</v>
      </c>
      <c r="E3" t="s">
        <v>379</v>
      </c>
    </row>
    <row r="4" spans="1:5" x14ac:dyDescent="0.25">
      <c r="A4" t="s">
        <v>362</v>
      </c>
      <c r="B4" t="s">
        <v>426</v>
      </c>
      <c r="C4" t="s">
        <v>426</v>
      </c>
      <c r="D4" t="s">
        <v>476</v>
      </c>
      <c r="E4" t="s">
        <v>379</v>
      </c>
    </row>
    <row r="5" spans="1:5" x14ac:dyDescent="0.25">
      <c r="A5" t="s">
        <v>341</v>
      </c>
      <c r="B5" t="s">
        <v>437</v>
      </c>
      <c r="C5" t="s">
        <v>437</v>
      </c>
      <c r="D5" t="s">
        <v>477</v>
      </c>
      <c r="E5" t="s">
        <v>390</v>
      </c>
    </row>
    <row r="6" spans="1:5" x14ac:dyDescent="0.25">
      <c r="A6" t="s">
        <v>365</v>
      </c>
      <c r="B6" t="s">
        <v>399</v>
      </c>
      <c r="C6" t="s">
        <v>399</v>
      </c>
      <c r="D6" t="s">
        <v>477</v>
      </c>
      <c r="E6" t="s">
        <v>395</v>
      </c>
    </row>
    <row r="7" spans="1:5" x14ac:dyDescent="0.25">
      <c r="A7" t="s">
        <v>368</v>
      </c>
      <c r="B7" t="s">
        <v>428</v>
      </c>
      <c r="C7" t="s">
        <v>428</v>
      </c>
      <c r="D7" t="s">
        <v>479</v>
      </c>
      <c r="E7" t="s">
        <v>395</v>
      </c>
    </row>
    <row r="8" spans="1:5" x14ac:dyDescent="0.25">
      <c r="A8" t="s">
        <v>343</v>
      </c>
      <c r="B8" t="s">
        <v>411</v>
      </c>
      <c r="C8" t="s">
        <v>411</v>
      </c>
      <c r="D8" t="s">
        <v>480</v>
      </c>
      <c r="E8" t="s">
        <v>400</v>
      </c>
    </row>
    <row r="9" spans="1:5" x14ac:dyDescent="0.25">
      <c r="A9" t="s">
        <v>360</v>
      </c>
      <c r="B9" t="s">
        <v>413</v>
      </c>
      <c r="C9" t="s">
        <v>413</v>
      </c>
      <c r="D9" t="s">
        <v>479</v>
      </c>
      <c r="E9" t="s">
        <v>395</v>
      </c>
    </row>
    <row r="10" spans="1:5" x14ac:dyDescent="0.25">
      <c r="A10" t="s">
        <v>488</v>
      </c>
      <c r="B10" t="s">
        <v>489</v>
      </c>
      <c r="C10" t="s">
        <v>318</v>
      </c>
      <c r="D10" t="s">
        <v>464</v>
      </c>
      <c r="E10" t="s">
        <v>8</v>
      </c>
    </row>
    <row r="11" spans="1:5" x14ac:dyDescent="0.25">
      <c r="A11" t="s">
        <v>369</v>
      </c>
      <c r="B11" t="s">
        <v>425</v>
      </c>
      <c r="C11" t="s">
        <v>425</v>
      </c>
      <c r="D11" t="s">
        <v>476</v>
      </c>
      <c r="E11" t="s">
        <v>379</v>
      </c>
    </row>
    <row r="12" spans="1:5" x14ac:dyDescent="0.25">
      <c r="A12" t="s">
        <v>347</v>
      </c>
      <c r="B12" t="s">
        <v>389</v>
      </c>
      <c r="C12" t="s">
        <v>389</v>
      </c>
      <c r="D12" t="s">
        <v>477</v>
      </c>
      <c r="E12" t="s">
        <v>379</v>
      </c>
    </row>
    <row r="13" spans="1:5" x14ac:dyDescent="0.25">
      <c r="A13" t="s">
        <v>352</v>
      </c>
      <c r="B13" t="s">
        <v>386</v>
      </c>
      <c r="C13" t="s">
        <v>386</v>
      </c>
      <c r="D13" t="s">
        <v>476</v>
      </c>
      <c r="E13" t="s">
        <v>379</v>
      </c>
    </row>
    <row r="14" spans="1:5" x14ac:dyDescent="0.25">
      <c r="A14" t="s">
        <v>350</v>
      </c>
      <c r="B14" t="s">
        <v>393</v>
      </c>
      <c r="C14" t="s">
        <v>393</v>
      </c>
      <c r="D14" t="s">
        <v>477</v>
      </c>
      <c r="E14" t="s">
        <v>390</v>
      </c>
    </row>
    <row r="15" spans="1:5" x14ac:dyDescent="0.25">
      <c r="A15" t="s">
        <v>340</v>
      </c>
      <c r="B15" t="s">
        <v>402</v>
      </c>
      <c r="C15" t="s">
        <v>402</v>
      </c>
      <c r="D15" t="s">
        <v>476</v>
      </c>
      <c r="E15" t="s">
        <v>400</v>
      </c>
    </row>
    <row r="16" spans="1:5" x14ac:dyDescent="0.25">
      <c r="A16" t="s">
        <v>354</v>
      </c>
      <c r="B16" t="s">
        <v>416</v>
      </c>
      <c r="C16" t="s">
        <v>416</v>
      </c>
      <c r="D16" t="s">
        <v>479</v>
      </c>
      <c r="E16" t="s">
        <v>395</v>
      </c>
    </row>
    <row r="17" spans="1:5" x14ac:dyDescent="0.25">
      <c r="A17" t="s">
        <v>490</v>
      </c>
      <c r="B17" t="s">
        <v>491</v>
      </c>
      <c r="C17" t="s">
        <v>318</v>
      </c>
      <c r="D17" t="s">
        <v>464</v>
      </c>
      <c r="E17" t="s">
        <v>8</v>
      </c>
    </row>
    <row r="18" spans="1:5" x14ac:dyDescent="0.25">
      <c r="A18" t="s">
        <v>366</v>
      </c>
      <c r="B18" t="s">
        <v>401</v>
      </c>
      <c r="C18" t="s">
        <v>401</v>
      </c>
      <c r="D18" t="s">
        <v>476</v>
      </c>
      <c r="E18" t="s">
        <v>400</v>
      </c>
    </row>
    <row r="19" spans="1:5" x14ac:dyDescent="0.25">
      <c r="A19" t="s">
        <v>359</v>
      </c>
      <c r="B19" t="s">
        <v>404</v>
      </c>
      <c r="C19" t="s">
        <v>404</v>
      </c>
      <c r="D19" t="s">
        <v>480</v>
      </c>
      <c r="E19" t="s">
        <v>400</v>
      </c>
    </row>
    <row r="20" spans="1:5" x14ac:dyDescent="0.25">
      <c r="A20" t="s">
        <v>349</v>
      </c>
      <c r="B20" t="s">
        <v>407</v>
      </c>
      <c r="C20" t="s">
        <v>407</v>
      </c>
      <c r="D20" t="s">
        <v>480</v>
      </c>
      <c r="E20" t="s">
        <v>400</v>
      </c>
    </row>
    <row r="21" spans="1:5" x14ac:dyDescent="0.25">
      <c r="A21" t="s">
        <v>374</v>
      </c>
      <c r="B21" t="s">
        <v>432</v>
      </c>
      <c r="C21" t="s">
        <v>432</v>
      </c>
      <c r="D21" t="s">
        <v>480</v>
      </c>
      <c r="E21" t="s">
        <v>400</v>
      </c>
    </row>
    <row r="22" spans="1:5" x14ac:dyDescent="0.25">
      <c r="A22" t="s">
        <v>345</v>
      </c>
      <c r="B22" t="s">
        <v>63</v>
      </c>
      <c r="C22" t="s">
        <v>63</v>
      </c>
      <c r="D22" t="s">
        <v>476</v>
      </c>
      <c r="E22" t="s">
        <v>379</v>
      </c>
    </row>
    <row r="23" spans="1:5" x14ac:dyDescent="0.25">
      <c r="A23" t="s">
        <v>358</v>
      </c>
      <c r="B23" t="s">
        <v>392</v>
      </c>
      <c r="C23" t="s">
        <v>392</v>
      </c>
      <c r="D23" t="s">
        <v>318</v>
      </c>
      <c r="E23" t="s">
        <v>379</v>
      </c>
    </row>
    <row r="24" spans="1:5" x14ac:dyDescent="0.25">
      <c r="A24" t="s">
        <v>353</v>
      </c>
      <c r="B24" t="s">
        <v>394</v>
      </c>
      <c r="C24" t="s">
        <v>394</v>
      </c>
      <c r="D24" t="s">
        <v>477</v>
      </c>
      <c r="E24" t="s">
        <v>390</v>
      </c>
    </row>
    <row r="25" spans="1:5" x14ac:dyDescent="0.25">
      <c r="A25" t="s">
        <v>351</v>
      </c>
      <c r="B25" t="s">
        <v>430</v>
      </c>
      <c r="C25" t="s">
        <v>430</v>
      </c>
      <c r="D25" t="s">
        <v>480</v>
      </c>
      <c r="E25" t="s">
        <v>400</v>
      </c>
    </row>
    <row r="26" spans="1:5" x14ac:dyDescent="0.25">
      <c r="A26" t="s">
        <v>328</v>
      </c>
      <c r="B26" t="s">
        <v>415</v>
      </c>
      <c r="C26" t="s">
        <v>415</v>
      </c>
      <c r="D26" t="s">
        <v>479</v>
      </c>
      <c r="E26" t="s">
        <v>414</v>
      </c>
    </row>
    <row r="27" spans="1:5" x14ac:dyDescent="0.25">
      <c r="A27" t="s">
        <v>329</v>
      </c>
      <c r="B27" t="s">
        <v>431</v>
      </c>
      <c r="C27" t="s">
        <v>431</v>
      </c>
      <c r="D27" t="s">
        <v>479</v>
      </c>
      <c r="E27" t="s">
        <v>395</v>
      </c>
    </row>
    <row r="28" spans="1:5" x14ac:dyDescent="0.25">
      <c r="A28" t="s">
        <v>363</v>
      </c>
      <c r="B28" t="s">
        <v>383</v>
      </c>
      <c r="C28" t="s">
        <v>383</v>
      </c>
      <c r="D28" t="s">
        <v>476</v>
      </c>
      <c r="E28" t="s">
        <v>379</v>
      </c>
    </row>
    <row r="29" spans="1:5" x14ac:dyDescent="0.25">
      <c r="A29" t="s">
        <v>478</v>
      </c>
      <c r="B29" t="s">
        <v>464</v>
      </c>
      <c r="C29" t="s">
        <v>318</v>
      </c>
      <c r="D29" t="s">
        <v>464</v>
      </c>
      <c r="E29" t="s">
        <v>8</v>
      </c>
    </row>
    <row r="30" spans="1:5" x14ac:dyDescent="0.25">
      <c r="A30" t="s">
        <v>375</v>
      </c>
      <c r="B30" t="s">
        <v>427</v>
      </c>
      <c r="C30" t="s">
        <v>427</v>
      </c>
      <c r="D30" t="s">
        <v>476</v>
      </c>
      <c r="E30" t="s">
        <v>379</v>
      </c>
    </row>
    <row r="31" spans="1:5" x14ac:dyDescent="0.25">
      <c r="A31" t="s">
        <v>356</v>
      </c>
      <c r="B31" t="s">
        <v>424</v>
      </c>
      <c r="C31" t="s">
        <v>424</v>
      </c>
      <c r="D31" t="s">
        <v>318</v>
      </c>
      <c r="E31" t="s">
        <v>379</v>
      </c>
    </row>
    <row r="32" spans="1:5" x14ac:dyDescent="0.25">
      <c r="A32" t="s">
        <v>336</v>
      </c>
      <c r="B32" t="s">
        <v>405</v>
      </c>
      <c r="C32" t="s">
        <v>405</v>
      </c>
      <c r="D32" t="s">
        <v>476</v>
      </c>
      <c r="E32" t="s">
        <v>400</v>
      </c>
    </row>
    <row r="33" spans="1:5" x14ac:dyDescent="0.25">
      <c r="A33" t="s">
        <v>333</v>
      </c>
      <c r="B33" t="s">
        <v>429</v>
      </c>
      <c r="C33" t="s">
        <v>429</v>
      </c>
      <c r="D33" t="s">
        <v>480</v>
      </c>
      <c r="E33" t="s">
        <v>400</v>
      </c>
    </row>
    <row r="34" spans="1:5" x14ac:dyDescent="0.25">
      <c r="A34" t="s">
        <v>355</v>
      </c>
      <c r="B34" t="s">
        <v>436</v>
      </c>
      <c r="C34" t="s">
        <v>436</v>
      </c>
      <c r="D34" t="s">
        <v>479</v>
      </c>
      <c r="E34" t="s">
        <v>414</v>
      </c>
    </row>
    <row r="35" spans="1:5" x14ac:dyDescent="0.25">
      <c r="A35" t="s">
        <v>344</v>
      </c>
      <c r="B35" t="s">
        <v>418</v>
      </c>
      <c r="C35" t="s">
        <v>418</v>
      </c>
      <c r="D35" t="s">
        <v>479</v>
      </c>
      <c r="E35" t="s">
        <v>414</v>
      </c>
    </row>
    <row r="36" spans="1:5" x14ac:dyDescent="0.25">
      <c r="A36" t="s">
        <v>371</v>
      </c>
      <c r="B36" t="s">
        <v>438</v>
      </c>
      <c r="C36" t="s">
        <v>438</v>
      </c>
      <c r="D36" t="s">
        <v>479</v>
      </c>
      <c r="E36" t="s">
        <v>414</v>
      </c>
    </row>
    <row r="37" spans="1:5" x14ac:dyDescent="0.25">
      <c r="A37" t="s">
        <v>487</v>
      </c>
      <c r="B37" t="s">
        <v>434</v>
      </c>
      <c r="C37" t="s">
        <v>434</v>
      </c>
      <c r="D37" t="s">
        <v>479</v>
      </c>
      <c r="E37" t="s">
        <v>414</v>
      </c>
    </row>
    <row r="38" spans="1:5" x14ac:dyDescent="0.25">
      <c r="A38" t="s">
        <v>485</v>
      </c>
      <c r="B38" t="s">
        <v>486</v>
      </c>
      <c r="C38" t="s">
        <v>318</v>
      </c>
      <c r="D38" t="s">
        <v>464</v>
      </c>
      <c r="E38" t="s">
        <v>8</v>
      </c>
    </row>
    <row r="39" spans="1:5" x14ac:dyDescent="0.25">
      <c r="A39" t="s">
        <v>361</v>
      </c>
      <c r="B39" t="s">
        <v>419</v>
      </c>
      <c r="C39" t="s">
        <v>419</v>
      </c>
      <c r="D39" t="s">
        <v>479</v>
      </c>
      <c r="E39" t="s">
        <v>414</v>
      </c>
    </row>
    <row r="40" spans="1:5" x14ac:dyDescent="0.25">
      <c r="A40" t="s">
        <v>494</v>
      </c>
      <c r="B40" t="s">
        <v>495</v>
      </c>
      <c r="C40" t="s">
        <v>318</v>
      </c>
      <c r="D40" t="s">
        <v>464</v>
      </c>
      <c r="E40" t="s">
        <v>8</v>
      </c>
    </row>
    <row r="41" spans="1:5" x14ac:dyDescent="0.25">
      <c r="A41" t="s">
        <v>481</v>
      </c>
      <c r="B41" t="s">
        <v>482</v>
      </c>
      <c r="C41" t="s">
        <v>318</v>
      </c>
      <c r="D41" t="s">
        <v>464</v>
      </c>
      <c r="E41" t="s">
        <v>8</v>
      </c>
    </row>
    <row r="42" spans="1:5" x14ac:dyDescent="0.25">
      <c r="A42" t="s">
        <v>370</v>
      </c>
      <c r="B42" t="s">
        <v>382</v>
      </c>
      <c r="C42" t="s">
        <v>382</v>
      </c>
      <c r="D42" t="s">
        <v>476</v>
      </c>
      <c r="E42" t="s">
        <v>379</v>
      </c>
    </row>
    <row r="43" spans="1:5" x14ac:dyDescent="0.25">
      <c r="A43" t="s">
        <v>331</v>
      </c>
      <c r="B43" t="s">
        <v>388</v>
      </c>
      <c r="C43" t="s">
        <v>388</v>
      </c>
      <c r="D43" t="s">
        <v>477</v>
      </c>
      <c r="E43" t="s">
        <v>379</v>
      </c>
    </row>
    <row r="44" spans="1:5" x14ac:dyDescent="0.25">
      <c r="A44" t="s">
        <v>334</v>
      </c>
      <c r="B44" t="s">
        <v>433</v>
      </c>
      <c r="C44" t="s">
        <v>433</v>
      </c>
      <c r="D44" t="s">
        <v>476</v>
      </c>
      <c r="E44" t="s">
        <v>379</v>
      </c>
    </row>
    <row r="45" spans="1:5" x14ac:dyDescent="0.25">
      <c r="A45" t="s">
        <v>364</v>
      </c>
      <c r="B45" t="s">
        <v>398</v>
      </c>
      <c r="C45" t="s">
        <v>398</v>
      </c>
      <c r="D45" t="s">
        <v>477</v>
      </c>
      <c r="E45" t="s">
        <v>390</v>
      </c>
    </row>
    <row r="46" spans="1:5" x14ac:dyDescent="0.25">
      <c r="A46" t="s">
        <v>346</v>
      </c>
      <c r="B46" t="s">
        <v>403</v>
      </c>
      <c r="C46" t="s">
        <v>403</v>
      </c>
      <c r="D46" t="s">
        <v>477</v>
      </c>
      <c r="E46" t="s">
        <v>390</v>
      </c>
    </row>
    <row r="47" spans="1:5" x14ac:dyDescent="0.25">
      <c r="A47" t="s">
        <v>373</v>
      </c>
      <c r="B47" t="s">
        <v>409</v>
      </c>
      <c r="C47" t="s">
        <v>409</v>
      </c>
      <c r="D47" t="s">
        <v>480</v>
      </c>
      <c r="E47" t="s">
        <v>400</v>
      </c>
    </row>
    <row r="48" spans="1:5" x14ac:dyDescent="0.25">
      <c r="A48" t="s">
        <v>348</v>
      </c>
      <c r="B48" t="s">
        <v>422</v>
      </c>
      <c r="C48" t="s">
        <v>422</v>
      </c>
      <c r="D48" t="s">
        <v>480</v>
      </c>
      <c r="E48" t="s">
        <v>395</v>
      </c>
    </row>
    <row r="49" spans="1:5" x14ac:dyDescent="0.25">
      <c r="A49" t="s">
        <v>337</v>
      </c>
      <c r="B49" t="s">
        <v>420</v>
      </c>
      <c r="C49" t="s">
        <v>420</v>
      </c>
      <c r="D49" t="s">
        <v>480</v>
      </c>
      <c r="E49" t="s">
        <v>395</v>
      </c>
    </row>
    <row r="50" spans="1:5" x14ac:dyDescent="0.25">
      <c r="A50" t="s">
        <v>342</v>
      </c>
      <c r="B50" t="s">
        <v>417</v>
      </c>
      <c r="C50" t="s">
        <v>417</v>
      </c>
      <c r="D50" t="s">
        <v>479</v>
      </c>
      <c r="E50" t="s">
        <v>414</v>
      </c>
    </row>
    <row r="51" spans="1:5" x14ac:dyDescent="0.25">
      <c r="A51" t="s">
        <v>330</v>
      </c>
      <c r="B51" t="s">
        <v>397</v>
      </c>
      <c r="C51" t="s">
        <v>397</v>
      </c>
      <c r="D51" t="s">
        <v>480</v>
      </c>
      <c r="E51" t="s">
        <v>395</v>
      </c>
    </row>
    <row r="52" spans="1:5" x14ac:dyDescent="0.25">
      <c r="A52" t="s">
        <v>483</v>
      </c>
      <c r="B52" t="s">
        <v>484</v>
      </c>
      <c r="C52" t="s">
        <v>318</v>
      </c>
      <c r="D52" t="s">
        <v>464</v>
      </c>
      <c r="E52" t="s">
        <v>8</v>
      </c>
    </row>
    <row r="53" spans="1:5" x14ac:dyDescent="0.25">
      <c r="A53" t="s">
        <v>492</v>
      </c>
      <c r="B53" t="s">
        <v>493</v>
      </c>
      <c r="C53" t="s">
        <v>318</v>
      </c>
      <c r="D53" t="s">
        <v>464</v>
      </c>
      <c r="E53" t="s">
        <v>8</v>
      </c>
    </row>
    <row r="54" spans="1:5" x14ac:dyDescent="0.25">
      <c r="A54" t="s">
        <v>357</v>
      </c>
      <c r="B54" t="s">
        <v>385</v>
      </c>
      <c r="C54" t="s">
        <v>385</v>
      </c>
      <c r="D54" t="s">
        <v>476</v>
      </c>
      <c r="E54" t="s">
        <v>379</v>
      </c>
    </row>
    <row r="55" spans="1:5" x14ac:dyDescent="0.25">
      <c r="A55" t="s">
        <v>372</v>
      </c>
      <c r="B55" t="s">
        <v>391</v>
      </c>
      <c r="C55" t="s">
        <v>391</v>
      </c>
      <c r="D55" t="s">
        <v>477</v>
      </c>
      <c r="E55" t="s">
        <v>390</v>
      </c>
    </row>
    <row r="56" spans="1:5" x14ac:dyDescent="0.25">
      <c r="A56" t="s">
        <v>327</v>
      </c>
      <c r="B56" t="s">
        <v>435</v>
      </c>
      <c r="C56" t="s">
        <v>435</v>
      </c>
      <c r="D56" t="s">
        <v>477</v>
      </c>
      <c r="E56" t="s">
        <v>390</v>
      </c>
    </row>
    <row r="57" spans="1:5" x14ac:dyDescent="0.25">
      <c r="A57" t="s">
        <v>326</v>
      </c>
      <c r="B57" t="s">
        <v>406</v>
      </c>
      <c r="C57" t="s">
        <v>406</v>
      </c>
      <c r="D57" t="s">
        <v>480</v>
      </c>
      <c r="E57" t="s">
        <v>400</v>
      </c>
    </row>
    <row r="58" spans="1:5" x14ac:dyDescent="0.25">
      <c r="A58" t="s">
        <v>332</v>
      </c>
      <c r="B58" t="s">
        <v>410</v>
      </c>
      <c r="C58" t="s">
        <v>410</v>
      </c>
      <c r="D58" t="s">
        <v>480</v>
      </c>
      <c r="E58" t="s">
        <v>400</v>
      </c>
    </row>
    <row r="59" spans="1:5" x14ac:dyDescent="0.25">
      <c r="A59" t="s">
        <v>338</v>
      </c>
      <c r="B59" t="s">
        <v>423</v>
      </c>
      <c r="C59" t="s">
        <v>423</v>
      </c>
      <c r="D59" t="s">
        <v>479</v>
      </c>
      <c r="E59" t="s">
        <v>414</v>
      </c>
    </row>
    <row r="60" spans="1:5" x14ac:dyDescent="0.25">
      <c r="A60" t="s">
        <v>325</v>
      </c>
      <c r="B60" t="s">
        <v>421</v>
      </c>
      <c r="C60" t="s">
        <v>421</v>
      </c>
      <c r="D60" t="s">
        <v>480</v>
      </c>
      <c r="E60" t="s">
        <v>395</v>
      </c>
    </row>
    <row r="61" spans="1:5" x14ac:dyDescent="0.25">
      <c r="A61" t="s">
        <v>339</v>
      </c>
      <c r="B61" t="s">
        <v>83</v>
      </c>
      <c r="C61" t="s">
        <v>83</v>
      </c>
      <c r="D61" t="s">
        <v>479</v>
      </c>
      <c r="E61" t="s">
        <v>414</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3.2" x14ac:dyDescent="0.25"/>
  <cols>
    <col min="2" max="2" width="14.44140625" customWidth="1"/>
    <col min="3" max="3" width="13" customWidth="1"/>
    <col min="4" max="4" width="15" customWidth="1"/>
    <col min="5" max="5" width="16.33203125" bestFit="1" customWidth="1"/>
    <col min="6" max="6" width="16.88671875" bestFit="1" customWidth="1"/>
    <col min="7" max="7" width="16.44140625" bestFit="1" customWidth="1"/>
    <col min="8" max="8" width="16" bestFit="1" customWidth="1"/>
    <col min="9" max="9" width="18.109375" bestFit="1" customWidth="1"/>
    <col min="10" max="10" width="16.44140625" bestFit="1" customWidth="1"/>
    <col min="11" max="11" width="17.44140625" bestFit="1" customWidth="1"/>
    <col min="12" max="12" width="14.5546875" bestFit="1" customWidth="1"/>
    <col min="13" max="13" width="15.6640625" bestFit="1" customWidth="1"/>
    <col min="14" max="14" width="13.88671875" bestFit="1" customWidth="1"/>
    <col min="15" max="15" width="11.109375" bestFit="1" customWidth="1"/>
    <col min="16" max="16" width="23.5546875" bestFit="1" customWidth="1"/>
    <col min="17" max="17" width="15.33203125" bestFit="1" customWidth="1"/>
    <col min="18" max="18" width="18.88671875" bestFit="1" customWidth="1"/>
    <col min="19" max="19" width="29.5546875" bestFit="1" customWidth="1"/>
    <col min="20" max="20" width="19.33203125" bestFit="1" customWidth="1"/>
    <col min="21" max="21" width="16.33203125" bestFit="1" customWidth="1"/>
    <col min="22" max="22" width="18.6640625" bestFit="1" customWidth="1"/>
    <col min="23" max="23" width="18.5546875" bestFit="1" customWidth="1"/>
    <col min="24" max="24" width="19.33203125" bestFit="1" customWidth="1"/>
    <col min="25" max="25" width="15.88671875" bestFit="1" customWidth="1"/>
    <col min="26" max="26" width="14" bestFit="1" customWidth="1"/>
    <col min="27" max="27" width="17.6640625" bestFit="1" customWidth="1"/>
    <col min="28" max="28" width="16.88671875" bestFit="1" customWidth="1"/>
    <col min="29" max="29" width="11.6640625" bestFit="1" customWidth="1"/>
    <col min="30" max="30" width="13" bestFit="1" customWidth="1"/>
    <col min="31" max="31" width="16.6640625" bestFit="1" customWidth="1"/>
  </cols>
  <sheetData>
    <row r="2" spans="2:33" x14ac:dyDescent="0.25">
      <c r="B2" t="s">
        <v>1047</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5">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5">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5">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5">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5">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5">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5">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5">
      <c r="B11" t="s">
        <v>395</v>
      </c>
      <c r="C11" t="s">
        <v>647</v>
      </c>
      <c r="D11" t="s">
        <v>594</v>
      </c>
      <c r="E11" t="s">
        <v>641</v>
      </c>
      <c r="F11" t="s">
        <v>629</v>
      </c>
      <c r="G11" t="s">
        <v>565</v>
      </c>
      <c r="H11" t="s">
        <v>617</v>
      </c>
      <c r="I11" t="s">
        <v>619</v>
      </c>
      <c r="J11" t="s">
        <v>561</v>
      </c>
      <c r="K11" t="s">
        <v>598</v>
      </c>
      <c r="L11" t="s">
        <v>615</v>
      </c>
      <c r="M11" t="s">
        <v>461</v>
      </c>
      <c r="N11" t="s">
        <v>461</v>
      </c>
      <c r="O11" t="s">
        <v>461</v>
      </c>
      <c r="P11" t="s">
        <v>461</v>
      </c>
      <c r="Q11" t="s">
        <v>461</v>
      </c>
      <c r="R11" t="s">
        <v>461</v>
      </c>
    </row>
    <row r="12" spans="2:33" x14ac:dyDescent="0.25">
      <c r="B12" t="s">
        <v>400</v>
      </c>
      <c r="C12" t="s">
        <v>577</v>
      </c>
      <c r="D12" t="s">
        <v>569</v>
      </c>
      <c r="E12" t="s">
        <v>586</v>
      </c>
      <c r="F12" t="s">
        <v>579</v>
      </c>
      <c r="G12" t="s">
        <v>643</v>
      </c>
      <c r="H12" t="s">
        <v>571</v>
      </c>
      <c r="I12" t="s">
        <v>588</v>
      </c>
      <c r="J12" t="s">
        <v>581</v>
      </c>
      <c r="K12" t="s">
        <v>645</v>
      </c>
      <c r="L12" t="s">
        <v>584</v>
      </c>
      <c r="M12" t="s">
        <v>590</v>
      </c>
      <c r="N12" t="s">
        <v>649</v>
      </c>
      <c r="O12" t="s">
        <v>461</v>
      </c>
      <c r="P12" t="s">
        <v>461</v>
      </c>
      <c r="Q12" t="s">
        <v>461</v>
      </c>
      <c r="R12" t="s">
        <v>461</v>
      </c>
    </row>
    <row r="13" spans="2:33" x14ac:dyDescent="0.25">
      <c r="B13" t="s">
        <v>379</v>
      </c>
      <c r="C13" t="s">
        <v>543</v>
      </c>
      <c r="D13" t="s">
        <v>522</v>
      </c>
      <c r="E13" t="s">
        <v>530</v>
      </c>
      <c r="F13" t="s">
        <v>532</v>
      </c>
      <c r="G13" t="s">
        <v>547</v>
      </c>
      <c r="H13" t="s">
        <v>632</v>
      </c>
      <c r="I13" t="s">
        <v>528</v>
      </c>
      <c r="J13" t="s">
        <v>534</v>
      </c>
      <c r="K13" t="s">
        <v>536</v>
      </c>
      <c r="L13" t="s">
        <v>539</v>
      </c>
      <c r="M13" t="s">
        <v>524</v>
      </c>
      <c r="N13" t="s">
        <v>545</v>
      </c>
      <c r="O13" t="s">
        <v>637</v>
      </c>
      <c r="P13" t="s">
        <v>639</v>
      </c>
      <c r="Q13" t="s">
        <v>653</v>
      </c>
      <c r="R13" t="s">
        <v>553</v>
      </c>
    </row>
    <row r="14" spans="2:33" x14ac:dyDescent="0.25">
      <c r="B14" t="s">
        <v>414</v>
      </c>
      <c r="C14" t="s">
        <v>596</v>
      </c>
      <c r="D14" t="s">
        <v>655</v>
      </c>
      <c r="E14" t="s">
        <v>611</v>
      </c>
      <c r="F14" t="s">
        <v>651</v>
      </c>
      <c r="G14" t="s">
        <v>603</v>
      </c>
      <c r="H14" t="s">
        <v>625</v>
      </c>
      <c r="I14" t="s">
        <v>601</v>
      </c>
      <c r="J14" t="s">
        <v>605</v>
      </c>
      <c r="K14" t="s">
        <v>613</v>
      </c>
      <c r="L14" t="s">
        <v>621</v>
      </c>
      <c r="M14" t="s">
        <v>634</v>
      </c>
      <c r="N14" t="s">
        <v>607</v>
      </c>
      <c r="O14" t="s">
        <v>461</v>
      </c>
      <c r="P14" t="s">
        <v>461</v>
      </c>
      <c r="Q14" t="s">
        <v>461</v>
      </c>
      <c r="R14" t="s">
        <v>461</v>
      </c>
    </row>
    <row r="15" spans="2:33" x14ac:dyDescent="0.25">
      <c r="B15" t="s">
        <v>390</v>
      </c>
      <c r="C15" t="s">
        <v>549</v>
      </c>
      <c r="D15" t="s">
        <v>557</v>
      </c>
      <c r="E15" t="s">
        <v>573</v>
      </c>
      <c r="F15" t="s">
        <v>563</v>
      </c>
      <c r="G15" t="s">
        <v>559</v>
      </c>
      <c r="H15" t="s">
        <v>623</v>
      </c>
      <c r="I15" t="s">
        <v>551</v>
      </c>
      <c r="J15" t="s">
        <v>461</v>
      </c>
      <c r="K15" t="s">
        <v>461</v>
      </c>
      <c r="L15" t="s">
        <v>461</v>
      </c>
      <c r="M15" t="s">
        <v>461</v>
      </c>
      <c r="N15" t="s">
        <v>461</v>
      </c>
      <c r="O15" t="s">
        <v>461</v>
      </c>
      <c r="P15" t="s">
        <v>461</v>
      </c>
      <c r="Q15" t="s">
        <v>461</v>
      </c>
      <c r="R15" t="s">
        <v>461</v>
      </c>
    </row>
    <row r="16" spans="2:33" x14ac:dyDescent="0.25">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5">
      <c r="B19" t="s">
        <v>985</v>
      </c>
      <c r="C19" t="s">
        <v>986</v>
      </c>
      <c r="D19" t="s">
        <v>987</v>
      </c>
    </row>
    <row r="20" spans="2:4" x14ac:dyDescent="0.25">
      <c r="B20" s="152">
        <v>42245</v>
      </c>
      <c r="C20">
        <v>23982</v>
      </c>
      <c r="D20">
        <v>8</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3.2" zeroHeight="1" x14ac:dyDescent="0.25"/>
  <cols>
    <col min="1" max="1" width="2.88671875" style="24" customWidth="1"/>
    <col min="2" max="10" width="15" style="24" customWidth="1"/>
    <col min="11" max="11" width="2.88671875" style="24" customWidth="1"/>
    <col min="12" max="12" width="14.88671875" style="24" hidden="1" customWidth="1"/>
    <col min="13" max="22" width="0" style="24" hidden="1" customWidth="1"/>
    <col min="23" max="16384" width="9.109375" style="24" hidden="1"/>
  </cols>
  <sheetData>
    <row r="1" spans="1:11" ht="15" customHeight="1" thickBot="1" x14ac:dyDescent="0.3">
      <c r="A1" s="130"/>
      <c r="B1" s="131"/>
      <c r="C1" s="131"/>
      <c r="D1" s="131"/>
      <c r="E1" s="131"/>
      <c r="F1" s="131"/>
      <c r="G1" s="132"/>
      <c r="H1" s="133"/>
      <c r="I1" s="133"/>
      <c r="J1" s="133"/>
      <c r="K1" s="134"/>
    </row>
    <row r="2" spans="1:11" ht="39" customHeight="1" thickBot="1" x14ac:dyDescent="0.3">
      <c r="A2" s="130"/>
      <c r="B2" s="323" t="s">
        <v>991</v>
      </c>
      <c r="C2" s="324"/>
      <c r="D2" s="324"/>
      <c r="E2" s="324"/>
      <c r="F2" s="324"/>
      <c r="G2" s="325"/>
      <c r="H2" s="135" t="s">
        <v>5</v>
      </c>
      <c r="I2" s="136" t="s">
        <v>2</v>
      </c>
      <c r="J2" s="136" t="s">
        <v>236</v>
      </c>
      <c r="K2" s="134"/>
    </row>
    <row r="3" spans="1:11" ht="59.25" customHeight="1" x14ac:dyDescent="0.25">
      <c r="A3" s="130"/>
      <c r="B3" s="326"/>
      <c r="C3" s="327"/>
      <c r="D3" s="327"/>
      <c r="E3" s="327"/>
      <c r="F3" s="327"/>
      <c r="G3" s="327"/>
      <c r="H3" s="319">
        <f>SUM(H5,H10)</f>
        <v>356765</v>
      </c>
      <c r="I3" s="319">
        <f>SUM(I5,I10)</f>
        <v>91793</v>
      </c>
      <c r="J3" s="321">
        <f>ROUND(I3/H3,5)</f>
        <v>0.25729000000000002</v>
      </c>
      <c r="K3" s="134"/>
    </row>
    <row r="4" spans="1:11" ht="33" customHeight="1" thickBot="1" x14ac:dyDescent="0.3">
      <c r="A4" s="130"/>
      <c r="B4" s="328" t="str">
        <f>"As of: "&amp;TEXT(INDEX(MMWR_DATES[],1,1),"MMMM DD, YYYY")</f>
        <v>As of: August 29, 2015</v>
      </c>
      <c r="C4" s="329"/>
      <c r="D4" s="329"/>
      <c r="E4" s="329"/>
      <c r="F4" s="329"/>
      <c r="G4" s="330"/>
      <c r="H4" s="320"/>
      <c r="I4" s="320"/>
      <c r="J4" s="322"/>
      <c r="K4" s="137"/>
    </row>
    <row r="5" spans="1:11" ht="16.5" customHeight="1" thickBot="1" x14ac:dyDescent="0.3">
      <c r="A5" s="130"/>
      <c r="B5" s="317" t="s">
        <v>241</v>
      </c>
      <c r="C5" s="318"/>
      <c r="D5" s="318"/>
      <c r="E5" s="318"/>
      <c r="F5" s="318"/>
      <c r="G5" s="138" t="s">
        <v>252</v>
      </c>
      <c r="H5" s="161">
        <f>SUM(H6:H9)</f>
        <v>136866</v>
      </c>
      <c r="I5" s="161">
        <f>SUM(I6:I9)</f>
        <v>41843</v>
      </c>
      <c r="J5" s="162">
        <f t="shared" ref="J5:J15" si="0">IF(H5=0, 0,I5/H5)</f>
        <v>0.30572238539885727</v>
      </c>
      <c r="K5" s="134"/>
    </row>
    <row r="6" spans="1:11" ht="16.5" customHeight="1" x14ac:dyDescent="0.25">
      <c r="A6" s="130"/>
      <c r="B6" s="282" t="s">
        <v>16</v>
      </c>
      <c r="C6" s="283"/>
      <c r="D6" s="283"/>
      <c r="E6" s="283"/>
      <c r="F6" s="283"/>
      <c r="G6" s="139" t="s">
        <v>198</v>
      </c>
      <c r="H6" s="163">
        <f>IFERROR(VLOOKUP(MID($G6,4,3),MMWR_TRAD_AGG_NATIONAL[],2,0),0)</f>
        <v>39207</v>
      </c>
      <c r="I6" s="163">
        <f>IFERROR(VLOOKUP(MID($G6,4,3),MMWR_TRAD_AGG_NATIONAL[],3,0),0)</f>
        <v>13544</v>
      </c>
      <c r="J6" s="164">
        <f t="shared" si="0"/>
        <v>0.34544851684648148</v>
      </c>
      <c r="K6" s="134"/>
    </row>
    <row r="7" spans="1:11" ht="16.5" customHeight="1" x14ac:dyDescent="0.25">
      <c r="A7" s="130"/>
      <c r="B7" s="284" t="s">
        <v>0</v>
      </c>
      <c r="C7" s="285"/>
      <c r="D7" s="285"/>
      <c r="E7" s="285"/>
      <c r="F7" s="285"/>
      <c r="G7" s="140" t="s">
        <v>199</v>
      </c>
      <c r="H7" s="163">
        <f>IFERROR(VLOOKUP(MID($G7,4,3),MMWR_TRAD_AGG_NATIONAL[],2,0),0)</f>
        <v>85489</v>
      </c>
      <c r="I7" s="163">
        <f>IFERROR(VLOOKUP(MID($G7,4,3),MMWR_TRAD_AGG_NATIONAL[],3,0),0)</f>
        <v>26951</v>
      </c>
      <c r="J7" s="164">
        <f t="shared" si="0"/>
        <v>0.31525693364058532</v>
      </c>
      <c r="K7" s="134"/>
    </row>
    <row r="8" spans="1:11" ht="16.5" customHeight="1" x14ac:dyDescent="0.25">
      <c r="A8" s="130"/>
      <c r="B8" s="286" t="s">
        <v>242</v>
      </c>
      <c r="C8" s="287"/>
      <c r="D8" s="287"/>
      <c r="E8" s="287"/>
      <c r="F8" s="287"/>
      <c r="G8" s="141" t="s">
        <v>201</v>
      </c>
      <c r="H8" s="163">
        <f>IFERROR(VLOOKUP(MID($G8,4,3),MMWR_TRAD_AGG_NATIONAL[],2,0),0)</f>
        <v>5557</v>
      </c>
      <c r="I8" s="163">
        <f>IFERROR(VLOOKUP(MID($G8,4,3),MMWR_TRAD_AGG_NATIONAL[],3,0),0)</f>
        <v>288</v>
      </c>
      <c r="J8" s="164">
        <f t="shared" si="0"/>
        <v>5.1826525103473096E-2</v>
      </c>
      <c r="K8" s="134"/>
    </row>
    <row r="9" spans="1:11" ht="16.5" customHeight="1" thickBot="1" x14ac:dyDescent="0.3">
      <c r="A9" s="130"/>
      <c r="B9" s="291" t="s">
        <v>17</v>
      </c>
      <c r="C9" s="292"/>
      <c r="D9" s="292"/>
      <c r="E9" s="292"/>
      <c r="F9" s="292"/>
      <c r="G9" s="140" t="s">
        <v>203</v>
      </c>
      <c r="H9" s="163">
        <f>IFERROR(VLOOKUP(MID($G9,4,3),MMWR_TRAD_AGG_NATIONAL[],2,0),0)</f>
        <v>6613</v>
      </c>
      <c r="I9" s="163">
        <f>IFERROR(VLOOKUP(MID($G9,4,3),MMWR_TRAD_AGG_NATIONAL[],3,0),0)</f>
        <v>1060</v>
      </c>
      <c r="J9" s="164">
        <f t="shared" si="0"/>
        <v>0.16029033721457736</v>
      </c>
      <c r="K9" s="134"/>
    </row>
    <row r="10" spans="1:11" ht="17.399999999999999" thickBot="1" x14ac:dyDescent="0.3">
      <c r="A10" s="130"/>
      <c r="B10" s="317" t="s">
        <v>1</v>
      </c>
      <c r="C10" s="318"/>
      <c r="D10" s="318"/>
      <c r="E10" s="318"/>
      <c r="F10" s="318"/>
      <c r="G10" s="138" t="s">
        <v>252</v>
      </c>
      <c r="H10" s="161">
        <f>SUM(H11:H18)</f>
        <v>219899</v>
      </c>
      <c r="I10" s="161">
        <f>SUM(I11:I18)</f>
        <v>49950</v>
      </c>
      <c r="J10" s="162">
        <f t="shared" si="0"/>
        <v>0.22714973692467905</v>
      </c>
      <c r="K10" s="134"/>
    </row>
    <row r="11" spans="1:11" ht="16.5" customHeight="1" x14ac:dyDescent="0.25">
      <c r="A11" s="130"/>
      <c r="B11" s="282" t="s">
        <v>207</v>
      </c>
      <c r="C11" s="283"/>
      <c r="D11" s="283"/>
      <c r="E11" s="283"/>
      <c r="F11" s="283"/>
      <c r="G11" s="142" t="s">
        <v>202</v>
      </c>
      <c r="H11" s="165">
        <f>IFERROR(VLOOKUP(MID($G11,4,3),MMWR_TRAD_AGG_NATIONAL[],2,0),0)</f>
        <v>5702</v>
      </c>
      <c r="I11" s="163">
        <f>IFERROR(VLOOKUP(MID($G11,4,3),MMWR_TRAD_AGG_NATIONAL[],3,0),0)</f>
        <v>227</v>
      </c>
      <c r="J11" s="164">
        <f t="shared" si="0"/>
        <v>3.9810592774465102E-2</v>
      </c>
      <c r="K11" s="134"/>
    </row>
    <row r="12" spans="1:11" ht="16.5" customHeight="1" x14ac:dyDescent="0.25">
      <c r="A12" s="130"/>
      <c r="B12" s="284" t="s">
        <v>18</v>
      </c>
      <c r="C12" s="285"/>
      <c r="D12" s="285"/>
      <c r="E12" s="285"/>
      <c r="F12" s="285"/>
      <c r="G12" s="143" t="s">
        <v>200</v>
      </c>
      <c r="H12" s="166">
        <f>IFERROR(VLOOKUP(MID($G12,4,3),MMWR_TRAD_AGG_NATIONAL[],2,0),0)</f>
        <v>200058</v>
      </c>
      <c r="I12" s="163">
        <f>IFERROR(VLOOKUP(MID($G12,4,3),MMWR_TRAD_AGG_NATIONAL[],3,0),0)</f>
        <v>48223</v>
      </c>
      <c r="J12" s="164">
        <f t="shared" si="0"/>
        <v>0.24104509692189266</v>
      </c>
      <c r="K12" s="134"/>
    </row>
    <row r="13" spans="1:11" ht="16.5" customHeight="1" x14ac:dyDescent="0.25">
      <c r="A13" s="130"/>
      <c r="B13" s="284" t="s">
        <v>14</v>
      </c>
      <c r="C13" s="285"/>
      <c r="D13" s="285"/>
      <c r="E13" s="285"/>
      <c r="F13" s="285"/>
      <c r="G13" s="143" t="s">
        <v>204</v>
      </c>
      <c r="H13" s="166">
        <f>IFERROR(VLOOKUP(MID($G13,4,3),MMWR_TRAD_AGG_NATIONAL[],2,0),0)</f>
        <v>13900</v>
      </c>
      <c r="I13" s="163">
        <f>IFERROR(VLOOKUP(MID($G13,4,3),MMWR_TRAD_AGG_NATIONAL[],3,0),0)</f>
        <v>1462</v>
      </c>
      <c r="J13" s="164">
        <f t="shared" si="0"/>
        <v>0.10517985611510791</v>
      </c>
      <c r="K13" s="134"/>
    </row>
    <row r="14" spans="1:11" ht="16.5" customHeight="1" x14ac:dyDescent="0.25">
      <c r="A14" s="130"/>
      <c r="B14" s="286" t="s">
        <v>19</v>
      </c>
      <c r="C14" s="287"/>
      <c r="D14" s="287"/>
      <c r="E14" s="287"/>
      <c r="F14" s="287"/>
      <c r="G14" s="142" t="s">
        <v>205</v>
      </c>
      <c r="H14" s="166">
        <f>IFERROR(VLOOKUP(MID($G14,4,3),MMWR_TRAD_AGG_NATIONAL[],2,0),0)</f>
        <v>214</v>
      </c>
      <c r="I14" s="163">
        <f>IFERROR(VLOOKUP(MID($G14,4,3),MMWR_TRAD_AGG_NATIONAL[],3,0),0)</f>
        <v>32</v>
      </c>
      <c r="J14" s="164">
        <f t="shared" si="0"/>
        <v>0.14953271028037382</v>
      </c>
      <c r="K14" s="134"/>
    </row>
    <row r="15" spans="1:11" ht="16.5" customHeight="1" x14ac:dyDescent="0.25">
      <c r="A15" s="130"/>
      <c r="B15" s="286" t="s">
        <v>87</v>
      </c>
      <c r="C15" s="287"/>
      <c r="D15" s="287"/>
      <c r="E15" s="287"/>
      <c r="F15" s="287"/>
      <c r="G15" s="142" t="s">
        <v>208</v>
      </c>
      <c r="H15" s="166">
        <f>IFERROR(VLOOKUP(MID($G15,4,3),MMWR_TRAD_AGG_NATIONAL[],2,0),0)</f>
        <v>13</v>
      </c>
      <c r="I15" s="163">
        <f>IFERROR(VLOOKUP(MID($G15,4,3),MMWR_TRAD_AGG_NATIONAL[],3,0),0)</f>
        <v>5</v>
      </c>
      <c r="J15" s="164">
        <f t="shared" si="0"/>
        <v>0.38461538461538464</v>
      </c>
      <c r="K15" s="134"/>
    </row>
    <row r="16" spans="1:11" ht="15" x14ac:dyDescent="0.25">
      <c r="A16" s="130"/>
      <c r="B16" s="286" t="s">
        <v>88</v>
      </c>
      <c r="C16" s="287"/>
      <c r="D16" s="287"/>
      <c r="E16" s="287"/>
      <c r="F16" s="287"/>
      <c r="G16" s="142" t="s">
        <v>209</v>
      </c>
      <c r="H16" s="166">
        <f>IFERROR(VLOOKUP(MID($G16,4,3),MMWR_TRAD_AGG_NATIONAL[],2,0),0)</f>
        <v>1</v>
      </c>
      <c r="I16" s="163">
        <f>IFERROR(VLOOKUP(MID($G16,4,3),MMWR_TRAD_AGG_NATIONAL[],3,0),0)</f>
        <v>1</v>
      </c>
      <c r="J16" s="164">
        <f>IF(H16=0, 0,I16/H16)</f>
        <v>1</v>
      </c>
      <c r="K16" s="134"/>
    </row>
    <row r="17" spans="1:11" ht="16.5" customHeight="1" x14ac:dyDescent="0.25">
      <c r="A17" s="130"/>
      <c r="B17" s="286" t="s">
        <v>90</v>
      </c>
      <c r="C17" s="287"/>
      <c r="D17" s="287"/>
      <c r="E17" s="287"/>
      <c r="F17" s="287"/>
      <c r="G17" s="142" t="s">
        <v>210</v>
      </c>
      <c r="H17" s="166">
        <f>IFERROR(VLOOKUP(MID($G17,4,3),MMWR_TRAD_AGG_NATIONAL[],2,0),0)</f>
        <v>6</v>
      </c>
      <c r="I17" s="163">
        <f>IFERROR(VLOOKUP(MID($G17,4,3),MMWR_TRAD_AGG_NATIONAL[],3,0),0)</f>
        <v>0</v>
      </c>
      <c r="J17" s="164">
        <f>IF(H17=0, 0,I17/H17)</f>
        <v>0</v>
      </c>
      <c r="K17" s="134"/>
    </row>
    <row r="18" spans="1:11" ht="16.5" customHeight="1" thickBot="1" x14ac:dyDescent="0.3">
      <c r="A18" s="130"/>
      <c r="B18" s="291" t="s">
        <v>89</v>
      </c>
      <c r="C18" s="292"/>
      <c r="D18" s="292"/>
      <c r="E18" s="292"/>
      <c r="F18" s="292"/>
      <c r="G18" s="142" t="s">
        <v>211</v>
      </c>
      <c r="H18" s="167">
        <f>IFERROR(VLOOKUP(MID($G18,4,3),MMWR_TRAD_AGG_NATIONAL[],2,0),0)</f>
        <v>5</v>
      </c>
      <c r="I18" s="163">
        <f>IFERROR(VLOOKUP(MID($G18,4,3),MMWR_TRAD_AGG_NATIONAL[],3,0),0)</f>
        <v>0</v>
      </c>
      <c r="J18" s="168">
        <f>IF(H18=0, 0,I18/H18)</f>
        <v>0</v>
      </c>
      <c r="K18" s="134"/>
    </row>
    <row r="19" spans="1:11" ht="16.5" customHeight="1" x14ac:dyDescent="0.25">
      <c r="A19" s="130"/>
      <c r="B19" s="296" t="s">
        <v>981</v>
      </c>
      <c r="C19" s="297"/>
      <c r="D19" s="297"/>
      <c r="E19" s="297"/>
      <c r="F19" s="297"/>
      <c r="G19" s="297"/>
      <c r="H19" s="297"/>
      <c r="I19" s="297"/>
      <c r="J19" s="298"/>
      <c r="K19" s="134"/>
    </row>
    <row r="20" spans="1:11" ht="36" customHeight="1" thickBot="1" x14ac:dyDescent="0.3">
      <c r="A20" s="130"/>
      <c r="B20" s="299"/>
      <c r="C20" s="300"/>
      <c r="D20" s="300"/>
      <c r="E20" s="300"/>
      <c r="F20" s="300"/>
      <c r="G20" s="300"/>
      <c r="H20" s="300"/>
      <c r="I20" s="300"/>
      <c r="J20" s="301"/>
      <c r="K20" s="134"/>
    </row>
    <row r="21" spans="1:11" ht="36" customHeight="1" x14ac:dyDescent="0.25">
      <c r="A21" s="130"/>
      <c r="B21" s="311" t="s">
        <v>972</v>
      </c>
      <c r="C21" s="312"/>
      <c r="D21" s="313"/>
      <c r="E21" s="311" t="s">
        <v>973</v>
      </c>
      <c r="F21" s="312"/>
      <c r="G21" s="313"/>
      <c r="H21" s="311" t="s">
        <v>974</v>
      </c>
      <c r="I21" s="312"/>
      <c r="J21" s="313"/>
      <c r="K21" s="134"/>
    </row>
    <row r="22" spans="1:11" ht="29.25" customHeight="1" thickBot="1" x14ac:dyDescent="0.3">
      <c r="A22" s="130"/>
      <c r="B22" s="314"/>
      <c r="C22" s="315"/>
      <c r="D22" s="316"/>
      <c r="E22" s="314"/>
      <c r="F22" s="315"/>
      <c r="G22" s="316"/>
      <c r="H22" s="314"/>
      <c r="I22" s="315"/>
      <c r="J22" s="316"/>
      <c r="K22" s="134"/>
    </row>
    <row r="23" spans="1:11" ht="36" customHeight="1" x14ac:dyDescent="0.4">
      <c r="A23" s="130"/>
      <c r="B23" s="311" t="s">
        <v>966</v>
      </c>
      <c r="C23" s="312"/>
      <c r="D23" s="313"/>
      <c r="E23" s="311" t="s">
        <v>967</v>
      </c>
      <c r="F23" s="312"/>
      <c r="G23" s="313"/>
      <c r="H23" s="144"/>
      <c r="I23" s="144"/>
      <c r="J23" s="144"/>
      <c r="K23" s="134"/>
    </row>
    <row r="24" spans="1:11" ht="29.25" customHeight="1" thickBot="1" x14ac:dyDescent="0.45">
      <c r="A24" s="130"/>
      <c r="B24" s="314"/>
      <c r="C24" s="315"/>
      <c r="D24" s="316"/>
      <c r="E24" s="314"/>
      <c r="F24" s="315"/>
      <c r="G24" s="316"/>
      <c r="H24" s="144"/>
      <c r="I24" s="144"/>
      <c r="J24" s="144"/>
      <c r="K24" s="134"/>
    </row>
    <row r="25" spans="1:11" ht="29.25" customHeight="1" thickBot="1" x14ac:dyDescent="0.3">
      <c r="A25" s="130"/>
      <c r="B25" s="145"/>
      <c r="C25" s="146"/>
      <c r="D25" s="146"/>
      <c r="E25" s="146"/>
      <c r="F25" s="146"/>
      <c r="G25" s="146"/>
      <c r="H25" s="146"/>
      <c r="I25" s="146"/>
      <c r="J25" s="146"/>
      <c r="K25" s="147"/>
    </row>
    <row r="26" spans="1:11" ht="39.6" x14ac:dyDescent="0.25">
      <c r="A26" s="130"/>
      <c r="B26" s="148" t="s">
        <v>23</v>
      </c>
      <c r="C26" s="337"/>
      <c r="D26" s="337"/>
      <c r="E26" s="337"/>
      <c r="F26" s="338"/>
      <c r="G26" s="49" t="s">
        <v>28</v>
      </c>
      <c r="H26" s="49" t="s">
        <v>29</v>
      </c>
      <c r="I26" s="49" t="s">
        <v>30</v>
      </c>
      <c r="J26" s="149" t="s">
        <v>31</v>
      </c>
      <c r="K26" s="134"/>
    </row>
    <row r="27" spans="1:11" ht="16.8" x14ac:dyDescent="0.25">
      <c r="A27" s="130"/>
      <c r="B27" s="293" t="s">
        <v>975</v>
      </c>
      <c r="C27" s="294"/>
      <c r="D27" s="294"/>
      <c r="E27" s="294"/>
      <c r="F27" s="295"/>
      <c r="G27" s="259">
        <v>18259</v>
      </c>
      <c r="H27" s="259">
        <v>18011</v>
      </c>
      <c r="I27" s="259">
        <v>248</v>
      </c>
      <c r="J27" s="263">
        <v>1.4E-2</v>
      </c>
      <c r="K27" s="134"/>
    </row>
    <row r="28" spans="1:11" ht="15" x14ac:dyDescent="0.25">
      <c r="A28" s="130"/>
      <c r="B28" s="331" t="s">
        <v>24</v>
      </c>
      <c r="C28" s="332"/>
      <c r="D28" s="332"/>
      <c r="E28" s="332"/>
      <c r="F28" s="333"/>
      <c r="G28" s="260">
        <v>3380</v>
      </c>
      <c r="H28" s="260">
        <v>3104</v>
      </c>
      <c r="I28" s="260">
        <v>276</v>
      </c>
      <c r="J28" s="256">
        <v>8.8999999999999996E-2</v>
      </c>
      <c r="K28" s="134"/>
    </row>
    <row r="29" spans="1:11" ht="15" x14ac:dyDescent="0.25">
      <c r="A29" s="130"/>
      <c r="B29" s="302" t="s">
        <v>25</v>
      </c>
      <c r="C29" s="303"/>
      <c r="D29" s="303"/>
      <c r="E29" s="303"/>
      <c r="F29" s="304"/>
      <c r="G29" s="261">
        <v>1564</v>
      </c>
      <c r="H29" s="261">
        <v>1547</v>
      </c>
      <c r="I29" s="261">
        <v>17</v>
      </c>
      <c r="J29" s="257">
        <v>1.0999999999999999E-2</v>
      </c>
      <c r="K29" s="134"/>
    </row>
    <row r="30" spans="1:11" ht="15" x14ac:dyDescent="0.25">
      <c r="A30" s="130"/>
      <c r="B30" s="305" t="s">
        <v>26</v>
      </c>
      <c r="C30" s="306"/>
      <c r="D30" s="306"/>
      <c r="E30" s="306"/>
      <c r="F30" s="307"/>
      <c r="G30" s="261">
        <v>3860</v>
      </c>
      <c r="H30" s="261">
        <v>3868</v>
      </c>
      <c r="I30" s="261">
        <v>-8</v>
      </c>
      <c r="J30" s="257">
        <v>-2E-3</v>
      </c>
      <c r="K30" s="134"/>
    </row>
    <row r="31" spans="1:11" ht="15" x14ac:dyDescent="0.25">
      <c r="A31" s="130"/>
      <c r="B31" s="334" t="s">
        <v>27</v>
      </c>
      <c r="C31" s="335"/>
      <c r="D31" s="335"/>
      <c r="E31" s="335"/>
      <c r="F31" s="336"/>
      <c r="G31" s="262">
        <v>9455</v>
      </c>
      <c r="H31" s="262">
        <v>9492</v>
      </c>
      <c r="I31" s="262">
        <v>-37</v>
      </c>
      <c r="J31" s="258">
        <v>-4.0000000000000001E-3</v>
      </c>
      <c r="K31" s="134"/>
    </row>
    <row r="32" spans="1:11" ht="16.8" x14ac:dyDescent="0.25">
      <c r="A32" s="130"/>
      <c r="B32" s="293" t="s">
        <v>243</v>
      </c>
      <c r="C32" s="294"/>
      <c r="D32" s="294"/>
      <c r="E32" s="294"/>
      <c r="F32" s="295"/>
      <c r="G32" s="259">
        <v>189371</v>
      </c>
      <c r="H32" s="259">
        <v>175363</v>
      </c>
      <c r="I32" s="259">
        <v>14008</v>
      </c>
      <c r="J32" s="263">
        <v>0.08</v>
      </c>
      <c r="K32" s="134"/>
    </row>
    <row r="33" spans="1:11" ht="15" x14ac:dyDescent="0.25">
      <c r="A33" s="130"/>
      <c r="B33" s="331" t="s">
        <v>24</v>
      </c>
      <c r="C33" s="332"/>
      <c r="D33" s="332"/>
      <c r="E33" s="332"/>
      <c r="F33" s="333"/>
      <c r="G33" s="260">
        <v>32792</v>
      </c>
      <c r="H33" s="260">
        <v>27377</v>
      </c>
      <c r="I33" s="260">
        <v>5415</v>
      </c>
      <c r="J33" s="256">
        <v>0.19800000000000001</v>
      </c>
      <c r="K33" s="134"/>
    </row>
    <row r="34" spans="1:11" ht="15" x14ac:dyDescent="0.25">
      <c r="A34" s="130"/>
      <c r="B34" s="302" t="s">
        <v>25</v>
      </c>
      <c r="C34" s="303"/>
      <c r="D34" s="303"/>
      <c r="E34" s="303"/>
      <c r="F34" s="304"/>
      <c r="G34" s="261">
        <v>13369</v>
      </c>
      <c r="H34" s="261">
        <v>12949</v>
      </c>
      <c r="I34" s="261">
        <v>420</v>
      </c>
      <c r="J34" s="257">
        <v>3.2000000000000001E-2</v>
      </c>
      <c r="K34" s="134"/>
    </row>
    <row r="35" spans="1:11" ht="15" x14ac:dyDescent="0.25">
      <c r="A35" s="130"/>
      <c r="B35" s="305" t="s">
        <v>26</v>
      </c>
      <c r="C35" s="306"/>
      <c r="D35" s="306"/>
      <c r="E35" s="306"/>
      <c r="F35" s="307"/>
      <c r="G35" s="261">
        <v>56269</v>
      </c>
      <c r="H35" s="261">
        <v>53914</v>
      </c>
      <c r="I35" s="261">
        <v>2355</v>
      </c>
      <c r="J35" s="257">
        <v>4.3999999999999997E-2</v>
      </c>
      <c r="K35" s="134"/>
    </row>
    <row r="36" spans="1:11" ht="15.6" thickBot="1" x14ac:dyDescent="0.3">
      <c r="A36" s="130"/>
      <c r="B36" s="308" t="s">
        <v>27</v>
      </c>
      <c r="C36" s="309"/>
      <c r="D36" s="309"/>
      <c r="E36" s="309"/>
      <c r="F36" s="310"/>
      <c r="G36" s="261">
        <v>86941</v>
      </c>
      <c r="H36" s="261">
        <v>81123</v>
      </c>
      <c r="I36" s="261">
        <v>5818</v>
      </c>
      <c r="J36" s="257">
        <v>7.1999999999999995E-2</v>
      </c>
      <c r="K36" s="134"/>
    </row>
    <row r="37" spans="1:11" ht="15.75" customHeight="1" thickBot="1" x14ac:dyDescent="0.3">
      <c r="A37" s="130"/>
      <c r="B37" s="288" t="s">
        <v>980</v>
      </c>
      <c r="C37" s="289"/>
      <c r="D37" s="289"/>
      <c r="E37" s="289"/>
      <c r="F37" s="289"/>
      <c r="G37" s="289"/>
      <c r="H37" s="289"/>
      <c r="I37" s="289"/>
      <c r="J37" s="290"/>
      <c r="K37" s="134"/>
    </row>
    <row r="38" spans="1:11" ht="15" customHeight="1" x14ac:dyDescent="0.25">
      <c r="A38" s="150"/>
      <c r="B38" s="151"/>
      <c r="C38" s="151"/>
      <c r="D38" s="151"/>
      <c r="E38" s="151"/>
      <c r="F38" s="151"/>
      <c r="G38" s="151"/>
      <c r="H38" s="151"/>
      <c r="I38" s="151"/>
      <c r="J38" s="151"/>
      <c r="K38" s="147"/>
    </row>
    <row r="39" spans="1:11" hidden="1" x14ac:dyDescent="0.25"/>
    <row r="40" spans="1:11" hidden="1" x14ac:dyDescent="0.25"/>
    <row r="41" spans="1:11" hidden="1" x14ac:dyDescent="0.25"/>
    <row r="42" spans="1:11" hidden="1" x14ac:dyDescent="0.25"/>
    <row r="43" spans="1:11" hidden="1" x14ac:dyDescent="0.25"/>
    <row r="44" spans="1:11" hidden="1" x14ac:dyDescent="0.25"/>
    <row r="45" spans="1:11" hidden="1" x14ac:dyDescent="0.25"/>
    <row r="46" spans="1:11" hidden="1" x14ac:dyDescent="0.25"/>
    <row r="47" spans="1:11" hidden="1" x14ac:dyDescent="0.25"/>
    <row r="48" spans="1:1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3.2" zeroHeight="1" x14ac:dyDescent="0.25"/>
  <cols>
    <col min="1" max="1" width="2.6640625" style="9" customWidth="1"/>
    <col min="2" max="2" width="32.5546875" style="10" customWidth="1"/>
    <col min="3" max="10" width="12.88671875" style="10" customWidth="1"/>
    <col min="11" max="15" width="12.88671875" style="20" customWidth="1"/>
    <col min="16" max="16" width="2.88671875" customWidth="1"/>
    <col min="17" max="17" width="0" hidden="1" customWidth="1"/>
    <col min="18" max="16384" width="9.109375" hidden="1"/>
  </cols>
  <sheetData>
    <row r="1" spans="1:16" ht="15" customHeight="1" thickBot="1" x14ac:dyDescent="0.3">
      <c r="A1" s="25"/>
      <c r="B1" s="26"/>
      <c r="C1" s="26"/>
      <c r="D1" s="26"/>
      <c r="E1" s="26"/>
      <c r="F1" s="26"/>
      <c r="G1" s="26"/>
      <c r="H1" s="26"/>
      <c r="I1" s="26"/>
      <c r="J1" s="26"/>
      <c r="K1" s="27"/>
      <c r="L1" s="27"/>
      <c r="M1" s="27"/>
      <c r="N1" s="27"/>
      <c r="O1" s="27"/>
      <c r="P1" s="28"/>
    </row>
    <row r="2" spans="1:16" ht="24" customHeight="1" x14ac:dyDescent="0.4">
      <c r="A2" s="25"/>
      <c r="B2" s="29"/>
      <c r="C2" s="352" t="s">
        <v>304</v>
      </c>
      <c r="D2" s="353"/>
      <c r="E2" s="353"/>
      <c r="F2" s="353"/>
      <c r="G2" s="353"/>
      <c r="H2" s="353"/>
      <c r="I2" s="353"/>
      <c r="J2" s="353"/>
      <c r="K2" s="354"/>
      <c r="L2" s="352" t="s">
        <v>309</v>
      </c>
      <c r="M2" s="353"/>
      <c r="N2" s="353"/>
      <c r="O2" s="354"/>
      <c r="P2" s="28"/>
    </row>
    <row r="3" spans="1:16" ht="24" customHeight="1" thickBot="1" x14ac:dyDescent="0.45">
      <c r="A3" s="25"/>
      <c r="B3" s="29"/>
      <c r="C3" s="355"/>
      <c r="D3" s="356"/>
      <c r="E3" s="356"/>
      <c r="F3" s="356"/>
      <c r="G3" s="356"/>
      <c r="H3" s="356"/>
      <c r="I3" s="356"/>
      <c r="J3" s="356"/>
      <c r="K3" s="357"/>
      <c r="L3" s="355" t="str">
        <f>Transformation!B4</f>
        <v>As of: August 29, 2015</v>
      </c>
      <c r="M3" s="356"/>
      <c r="N3" s="356"/>
      <c r="O3" s="357"/>
      <c r="P3" s="28"/>
    </row>
    <row r="4" spans="1:16" ht="51.75" customHeight="1" thickBot="1" x14ac:dyDescent="0.45">
      <c r="A4" s="30"/>
      <c r="B4" s="249" t="s">
        <v>465</v>
      </c>
      <c r="C4" s="358" t="s">
        <v>313</v>
      </c>
      <c r="D4" s="359"/>
      <c r="E4" s="359"/>
      <c r="F4" s="359"/>
      <c r="G4" s="359"/>
      <c r="H4" s="359"/>
      <c r="I4" s="359"/>
      <c r="J4" s="359"/>
      <c r="K4" s="359"/>
      <c r="L4" s="359"/>
      <c r="M4" s="359"/>
      <c r="N4" s="359"/>
      <c r="O4" s="360"/>
      <c r="P4" s="28"/>
    </row>
    <row r="5" spans="1:16" ht="27" customHeight="1" thickBot="1" x14ac:dyDescent="0.3">
      <c r="A5" s="30"/>
      <c r="B5" s="26"/>
      <c r="C5" s="361" t="s">
        <v>1054</v>
      </c>
      <c r="D5" s="362"/>
      <c r="E5" s="362"/>
      <c r="F5" s="362"/>
      <c r="G5" s="362"/>
      <c r="H5" s="362"/>
      <c r="I5" s="362"/>
      <c r="J5" s="362"/>
      <c r="K5" s="362"/>
      <c r="L5" s="362"/>
      <c r="M5" s="362"/>
      <c r="N5" s="362"/>
      <c r="O5" s="363"/>
      <c r="P5" s="28"/>
    </row>
    <row r="6" spans="1:16" ht="55.5" customHeight="1" x14ac:dyDescent="0.25">
      <c r="A6" s="30"/>
      <c r="B6" s="31"/>
      <c r="C6" s="32" t="s">
        <v>198</v>
      </c>
      <c r="D6" s="364" t="s">
        <v>16</v>
      </c>
      <c r="E6" s="365"/>
      <c r="F6" s="33" t="s">
        <v>201</v>
      </c>
      <c r="G6" s="364" t="s">
        <v>206</v>
      </c>
      <c r="H6" s="366"/>
      <c r="I6" s="33" t="s">
        <v>204</v>
      </c>
      <c r="J6" s="370" t="s">
        <v>14</v>
      </c>
      <c r="K6" s="371"/>
      <c r="L6" s="33" t="s">
        <v>209</v>
      </c>
      <c r="M6" s="367" t="s">
        <v>88</v>
      </c>
      <c r="N6" s="368"/>
      <c r="O6" s="369"/>
      <c r="P6" s="28"/>
    </row>
    <row r="7" spans="1:16" ht="51.75" customHeight="1" x14ac:dyDescent="0.25">
      <c r="A7" s="30"/>
      <c r="B7" s="34"/>
      <c r="C7" s="35" t="s">
        <v>199</v>
      </c>
      <c r="D7" s="374" t="s">
        <v>0</v>
      </c>
      <c r="E7" s="375"/>
      <c r="F7" s="36" t="s">
        <v>202</v>
      </c>
      <c r="G7" s="376" t="s">
        <v>207</v>
      </c>
      <c r="H7" s="376"/>
      <c r="I7" s="36" t="s">
        <v>205</v>
      </c>
      <c r="J7" s="339" t="s">
        <v>19</v>
      </c>
      <c r="K7" s="340"/>
      <c r="L7" s="36" t="s">
        <v>210</v>
      </c>
      <c r="M7" s="349" t="s">
        <v>90</v>
      </c>
      <c r="N7" s="350"/>
      <c r="O7" s="351"/>
      <c r="P7" s="28"/>
    </row>
    <row r="8" spans="1:16" ht="51.75" customHeight="1" thickBot="1" x14ac:dyDescent="0.3">
      <c r="A8" s="25"/>
      <c r="B8" s="28"/>
      <c r="C8" s="37" t="s">
        <v>200</v>
      </c>
      <c r="D8" s="377" t="s">
        <v>18</v>
      </c>
      <c r="E8" s="378"/>
      <c r="F8" s="38" t="s">
        <v>203</v>
      </c>
      <c r="G8" s="379" t="s">
        <v>17</v>
      </c>
      <c r="H8" s="379"/>
      <c r="I8" s="38" t="s">
        <v>208</v>
      </c>
      <c r="J8" s="341" t="s">
        <v>87</v>
      </c>
      <c r="K8" s="342"/>
      <c r="L8" s="38" t="s">
        <v>211</v>
      </c>
      <c r="M8" s="381" t="s">
        <v>89</v>
      </c>
      <c r="N8" s="382"/>
      <c r="O8" s="383"/>
      <c r="P8" s="28"/>
    </row>
    <row r="9" spans="1:16" x14ac:dyDescent="0.25">
      <c r="A9" s="28"/>
      <c r="B9" s="28"/>
      <c r="C9" s="39" t="s">
        <v>714</v>
      </c>
      <c r="D9" s="39" t="s">
        <v>716</v>
      </c>
      <c r="E9" s="39" t="s">
        <v>715</v>
      </c>
      <c r="F9" s="39" t="s">
        <v>718</v>
      </c>
      <c r="G9" s="39" t="s">
        <v>717</v>
      </c>
      <c r="H9" s="39" t="s">
        <v>720</v>
      </c>
      <c r="I9" s="39" t="s">
        <v>719</v>
      </c>
      <c r="J9" s="39" t="s">
        <v>930</v>
      </c>
      <c r="K9" s="39" t="s">
        <v>931</v>
      </c>
      <c r="L9" s="39" t="s">
        <v>933</v>
      </c>
      <c r="M9" s="39" t="s">
        <v>1055</v>
      </c>
      <c r="N9" s="39" t="s">
        <v>934</v>
      </c>
      <c r="O9" s="39" t="s">
        <v>935</v>
      </c>
      <c r="P9" s="28"/>
    </row>
    <row r="10" spans="1:16" ht="15.75" customHeight="1" x14ac:dyDescent="0.25">
      <c r="A10" s="25"/>
      <c r="B10" s="26"/>
      <c r="C10" s="380" t="s">
        <v>302</v>
      </c>
      <c r="D10" s="380"/>
      <c r="E10" s="380"/>
      <c r="F10" s="380"/>
      <c r="G10" s="380"/>
      <c r="H10" s="380"/>
      <c r="I10" s="380"/>
      <c r="J10" s="380"/>
      <c r="K10" s="380"/>
      <c r="L10" s="380"/>
      <c r="M10" s="380"/>
      <c r="N10" s="380"/>
      <c r="O10" s="380"/>
      <c r="P10" s="28"/>
    </row>
    <row r="11" spans="1:16" ht="32.25" customHeight="1" x14ac:dyDescent="0.25">
      <c r="A11" s="25"/>
      <c r="B11" s="26"/>
      <c r="C11" s="343" t="s">
        <v>234</v>
      </c>
      <c r="D11" s="343" t="s">
        <v>140</v>
      </c>
      <c r="E11" s="343" t="s">
        <v>235</v>
      </c>
      <c r="F11" s="343" t="s">
        <v>195</v>
      </c>
      <c r="G11" s="343" t="s">
        <v>212</v>
      </c>
      <c r="H11" s="343" t="s">
        <v>214</v>
      </c>
      <c r="I11" s="343" t="s">
        <v>215</v>
      </c>
      <c r="J11" s="347" t="s">
        <v>937</v>
      </c>
      <c r="K11" s="347" t="s">
        <v>938</v>
      </c>
      <c r="L11" s="345" t="s">
        <v>197</v>
      </c>
      <c r="M11" s="346"/>
      <c r="N11" s="345" t="s">
        <v>196</v>
      </c>
      <c r="O11" s="346"/>
      <c r="P11" s="28"/>
    </row>
    <row r="12" spans="1:16" ht="32.25" customHeight="1" x14ac:dyDescent="0.25">
      <c r="A12" s="25"/>
      <c r="B12" s="26"/>
      <c r="C12" s="344"/>
      <c r="D12" s="344"/>
      <c r="E12" s="344"/>
      <c r="F12" s="344"/>
      <c r="G12" s="344"/>
      <c r="H12" s="344"/>
      <c r="I12" s="344"/>
      <c r="J12" s="348"/>
      <c r="K12" s="348"/>
      <c r="L12" s="40" t="s">
        <v>936</v>
      </c>
      <c r="M12" s="40" t="s">
        <v>943</v>
      </c>
      <c r="N12" s="40" t="s">
        <v>936</v>
      </c>
      <c r="O12" s="40" t="s">
        <v>943</v>
      </c>
      <c r="P12" s="28"/>
    </row>
    <row r="13" spans="1:16" x14ac:dyDescent="0.25">
      <c r="A13" s="25"/>
      <c r="B13" s="41" t="s">
        <v>739</v>
      </c>
      <c r="C13" s="155">
        <f>IF($B13=" ","",IFERROR(INDEX(MMWR_RATING_RO_ROLLUP[],MATCH($B13,MMWR_RATING_RO_ROLLUP[MMWR_RATING_RO_ROLLUP],0),MATCH(C$9,MMWR_RATING_RO_ROLLUP[#Headers],0)),"ERROR"))</f>
        <v>356765</v>
      </c>
      <c r="D13" s="156">
        <f>IF($B13=" ","",IFERROR(INDEX(MMWR_RATING_RO_ROLLUP[],MATCH($B13,MMWR_RATING_RO_ROLLUP[MMWR_RATING_RO_ROLLUP],0),MATCH(D$9,MMWR_RATING_RO_ROLLUP[#Headers],0)),"ERROR"))</f>
        <v>102.84925371040001</v>
      </c>
      <c r="E13" s="157">
        <f>IF($B13=" ","",IFERROR(INDEX(MMWR_RATING_RO_ROLLUP[],MATCH($B13,MMWR_RATING_RO_ROLLUP[MMWR_RATING_RO_ROLLUP],0),MATCH(E$9,MMWR_RATING_RO_ROLLUP[#Headers],0))/$C13,"ERROR"))</f>
        <v>0.25729261558729133</v>
      </c>
      <c r="F13" s="155">
        <f>IF($B13=" ","",IFERROR(INDEX(MMWR_RATING_RO_ROLLUP[],MATCH($B13,MMWR_RATING_RO_ROLLUP[MMWR_RATING_RO_ROLLUP],0),MATCH(F$9,MMWR_RATING_RO_ROLLUP[#Headers],0)),"ERROR"))</f>
        <v>114200</v>
      </c>
      <c r="G13" s="155">
        <f>IF($B13=" ","",IFERROR(INDEX(MMWR_RATING_RO_ROLLUP[],MATCH($B13,MMWR_RATING_RO_ROLLUP[MMWR_RATING_RO_ROLLUP],0),MATCH(G$9,MMWR_RATING_RO_ROLLUP[#Headers],0)),"ERROR"))</f>
        <v>1274478</v>
      </c>
      <c r="H13" s="156">
        <f>IF($B13=" ","",IFERROR(INDEX(MMWR_RATING_RO_ROLLUP[],MATCH($B13,MMWR_RATING_RO_ROLLUP[MMWR_RATING_RO_ROLLUP],0),MATCH(H$9,MMWR_RATING_RO_ROLLUP[#Headers],0)),"ERROR"))</f>
        <v>149.13939579679999</v>
      </c>
      <c r="I13" s="156">
        <f>IF($B13=" ","",IFERROR(INDEX(MMWR_RATING_RO_ROLLUP[],MATCH($B13,MMWR_RATING_RO_ROLLUP[MMWR_RATING_RO_ROLLUP],0),MATCH(I$9,MMWR_RATING_RO_ROLLUP[#Headers],0)),"ERROR"))</f>
        <v>171.48496325549999</v>
      </c>
      <c r="J13" s="158">
        <f>VLOOKUP($B13,MMWR_ACCURACY_RO[],MATCH(J$9,MMWR_ACCURACY_RO[#Headers],0),0)</f>
        <v>0.95451048793219162</v>
      </c>
      <c r="K13" s="158">
        <f>VLOOKUP($B13,MMWR_ACCURACY_RO[],MATCH(K$9,MMWR_ACCURACY_RO[#Headers],0),0)</f>
        <v>0.88046570682525982</v>
      </c>
      <c r="L13" s="158">
        <f>VLOOKUP($B13,MMWR_ACCURACY_RO[],MATCH(L$9,MMWR_ACCURACY_RO[#Headers],0),0)</f>
        <v>0.90459023216668721</v>
      </c>
      <c r="M13" s="158">
        <f>VLOOKUP($B13,MMWR_ACCURACY_RO[],MATCH(M$9,MMWR_ACCURACY_RO[#Headers],0),0)</f>
        <v>7.1397644292206762E-3</v>
      </c>
      <c r="N13" s="158">
        <f>VLOOKUP($B13,MMWR_ACCURACY_RO[],MATCH(N$9,MMWR_ACCURACY_RO[#Headers],0),0)</f>
        <v>0.91036932806301474</v>
      </c>
      <c r="O13" s="158">
        <f>VLOOKUP($B13,MMWR_ACCURACY_RO[],MATCH(O$9,MMWR_ACCURACY_RO[#Headers],0),0)</f>
        <v>8.71643264680543E-3</v>
      </c>
      <c r="P13" s="28"/>
    </row>
    <row r="14" spans="1:16" x14ac:dyDescent="0.25">
      <c r="A14" s="25"/>
      <c r="B14" s="372" t="s">
        <v>742</v>
      </c>
      <c r="C14" s="373"/>
      <c r="D14" s="373"/>
      <c r="E14" s="373"/>
      <c r="F14" s="373"/>
      <c r="G14" s="373"/>
      <c r="H14" s="373"/>
      <c r="I14" s="373"/>
      <c r="J14" s="373"/>
      <c r="K14" s="373"/>
      <c r="L14" s="373"/>
      <c r="M14" s="373"/>
      <c r="N14" s="373"/>
      <c r="O14" s="373"/>
      <c r="P14" s="28"/>
    </row>
    <row r="15" spans="1:16" x14ac:dyDescent="0.25">
      <c r="A15" s="25"/>
      <c r="B15" s="41" t="s">
        <v>738</v>
      </c>
      <c r="C15" s="155">
        <f>IF($B15=" ","",IFERROR(INDEX(MMWR_RATING_RO_ROLLUP[],MATCH($B15,MMWR_RATING_RO_ROLLUP[MMWR_RATING_RO_ROLLUP],0),MATCH(C$9,MMWR_RATING_RO_ROLLUP[#Headers],0)),"ERROR"))</f>
        <v>320436</v>
      </c>
      <c r="D15" s="156">
        <f>IF($B15=" ","",IFERROR(INDEX(MMWR_RATING_RO_ROLLUP[],MATCH($B15,MMWR_RATING_RO_ROLLUP[MMWR_RATING_RO_ROLLUP],0),MATCH(D$9,MMWR_RATING_RO_ROLLUP[#Headers],0)),"ERROR"))</f>
        <v>107.09831292360001</v>
      </c>
      <c r="E15" s="157">
        <f>IF($B15=" ","",IFERROR(INDEX(MMWR_RATING_RO_ROLLUP[],MATCH($B15,MMWR_RATING_RO_ROLLUP[MMWR_RATING_RO_ROLLUP],0),MATCH(E$9,MMWR_RATING_RO_ROLLUP[#Headers],0))/$C15,"ERROR"))</f>
        <v>0.27481930869190729</v>
      </c>
      <c r="F15" s="155">
        <f>IF($B15=" ","",IFERROR(INDEX(MMWR_RATING_RO_ROLLUP[],MATCH($B15,MMWR_RATING_RO_ROLLUP[MMWR_RATING_RO_ROLLUP],0),MATCH(F$9,MMWR_RATING_RO_ROLLUP[#Headers],0)),"ERROR"))</f>
        <v>99105</v>
      </c>
      <c r="G15" s="155">
        <f>IF($B15=" ","",IFERROR(INDEX(MMWR_RATING_RO_ROLLUP[],MATCH($B15,MMWR_RATING_RO_ROLLUP[MMWR_RATING_RO_ROLLUP],0),MATCH(G$9,MMWR_RATING_RO_ROLLUP[#Headers],0)),"ERROR"))</f>
        <v>1087529</v>
      </c>
      <c r="H15" s="156">
        <f>IF($B15=" ","",IFERROR(INDEX(MMWR_RATING_RO_ROLLUP[],MATCH($B15,MMWR_RATING_RO_ROLLUP[MMWR_RATING_RO_ROLLUP],0),MATCH(H$9,MMWR_RATING_RO_ROLLUP[#Headers],0)),"ERROR"))</f>
        <v>159.39491448460001</v>
      </c>
      <c r="I15" s="156">
        <f>IF($B15=" ","",IFERROR(INDEX(MMWR_RATING_RO_ROLLUP[],MATCH($B15,MMWR_RATING_RO_ROLLUP[MMWR_RATING_RO_ROLLUP],0),MATCH(I$9,MMWR_RATING_RO_ROLLUP[#Headers],0)),"ERROR"))</f>
        <v>186.525941837</v>
      </c>
      <c r="J15" s="159"/>
      <c r="K15" s="159"/>
      <c r="L15" s="159"/>
      <c r="M15" s="159"/>
      <c r="N15" s="159"/>
      <c r="O15" s="159"/>
      <c r="P15" s="28"/>
    </row>
    <row r="16" spans="1:16" x14ac:dyDescent="0.25">
      <c r="A16" s="25"/>
      <c r="B16" s="250" t="s">
        <v>379</v>
      </c>
      <c r="C16" s="155">
        <f>IF($B16=" ","",IFERROR(INDEX(MMWR_RATING_RO_ROLLUP[],MATCH($B16,MMWR_RATING_RO_ROLLUP[MMWR_RATING_RO_ROLLUP],0),MATCH(C$9,MMWR_RATING_RO_ROLLUP[#Headers],0)),"ERROR"))</f>
        <v>69411</v>
      </c>
      <c r="D16" s="156">
        <f>IF($B16=" ","",IFERROR(INDEX(MMWR_RATING_RO_ROLLUP[],MATCH($B16,MMWR_RATING_RO_ROLLUP[MMWR_RATING_RO_ROLLUP],0),MATCH(D$9,MMWR_RATING_RO_ROLLUP[#Headers],0)),"ERROR"))</f>
        <v>106.115961447</v>
      </c>
      <c r="E16" s="157">
        <f>IF($B16=" ","",IFERROR(INDEX(MMWR_RATING_RO_ROLLUP[],MATCH($B16,MMWR_RATING_RO_ROLLUP[MMWR_RATING_RO_ROLLUP],0),MATCH(E$9,MMWR_RATING_RO_ROLLUP[#Headers],0))/$C16,"ERROR"))</f>
        <v>0.27129705666248866</v>
      </c>
      <c r="F16" s="155">
        <f>IF($B16=" ","",IFERROR(INDEX(MMWR_RATING_RO_ROLLUP[],MATCH($B16,MMWR_RATING_RO_ROLLUP[MMWR_RATING_RO_ROLLUP],0),MATCH(F$9,MMWR_RATING_RO_ROLLUP[#Headers],0)),"ERROR"))</f>
        <v>21046</v>
      </c>
      <c r="G16" s="155">
        <f>IF($B16=" ","",IFERROR(INDEX(MMWR_RATING_RO_ROLLUP[],MATCH($B16,MMWR_RATING_RO_ROLLUP[MMWR_RATING_RO_ROLLUP],0),MATCH(G$9,MMWR_RATING_RO_ROLLUP[#Headers],0)),"ERROR"))</f>
        <v>237003</v>
      </c>
      <c r="H16" s="156">
        <f>IF($B16=" ","",IFERROR(INDEX(MMWR_RATING_RO_ROLLUP[],MATCH($B16,MMWR_RATING_RO_ROLLUP[MMWR_RATING_RO_ROLLUP],0),MATCH(H$9,MMWR_RATING_RO_ROLLUP[#Headers],0)),"ERROR"))</f>
        <v>158.64116696759999</v>
      </c>
      <c r="I16" s="156">
        <f>IF($B16=" ","",IFERROR(INDEX(MMWR_RATING_RO_ROLLUP[],MATCH($B16,MMWR_RATING_RO_ROLLUP[MMWR_RATING_RO_ROLLUP],0),MATCH(I$9,MMWR_RATING_RO_ROLLUP[#Headers],0)),"ERROR"))</f>
        <v>188.93600081010001</v>
      </c>
      <c r="J16" s="160">
        <f>IF($B16=" ","",IFERROR(VLOOKUP($B16,MMWR_ACCURACY_RO[],MATCH(J$9,MMWR_ACCURACY_RO[#Headers],0),0),"ERROR"))</f>
        <v>0.94597826908231442</v>
      </c>
      <c r="K16" s="160">
        <f>IF($B16=" ","",IFERROR(VLOOKUP($B16,MMWR_ACCURACY_RO[],MATCH(K$9,MMWR_ACCURACY_RO[#Headers],0),0),"ERROR"))</f>
        <v>0.85144189919359403</v>
      </c>
      <c r="L16" s="160">
        <f>IF($B16=" ","",IFERROR(VLOOKUP($B16,MMWR_ACCURACY_RO[],MATCH(L$9,MMWR_ACCURACY_RO[#Headers],0),0),"ERROR"))</f>
        <v>0.87743686597802939</v>
      </c>
      <c r="M16" s="160">
        <f>IF($B16=" ","",IFERROR(VLOOKUP($B16,MMWR_ACCURACY_RO[],MATCH(M$9,MMWR_ACCURACY_RO[#Headers],0),0),"ERROR"))</f>
        <v>1.6154775009585832E-2</v>
      </c>
      <c r="N16" s="160">
        <f>IF($B16=" ","",IFERROR(VLOOKUP($B16,MMWR_ACCURACY_RO[],MATCH(N$9,MMWR_ACCURACY_RO[#Headers],0),0),"ERROR"))</f>
        <v>0.89301294319795976</v>
      </c>
      <c r="O16" s="160">
        <f>IF($B16=" ","",IFERROR(VLOOKUP($B16,MMWR_ACCURACY_RO[],MATCH(O$9,MMWR_ACCURACY_RO[#Headers],0),0),"ERROR"))</f>
        <v>1.635252208046559E-2</v>
      </c>
      <c r="P16" s="28"/>
    </row>
    <row r="17" spans="1:16" x14ac:dyDescent="0.25">
      <c r="A17" s="25"/>
      <c r="B17" s="8" t="str">
        <f>VLOOKUP($B$16,DISTRICT_RO[],2,0)</f>
        <v>Baltimore VSC</v>
      </c>
      <c r="C17" s="155">
        <f>IF($B17=" ","",IFERROR(INDEX(MMWR_RATING_RO_ROLLUP[],MATCH($B17,MMWR_RATING_RO_ROLLUP[MMWR_RATING_RO_ROLLUP],0),MATCH(C$9,MMWR_RATING_RO_ROLLUP[#Headers],0)),"ERROR"))</f>
        <v>2804</v>
      </c>
      <c r="D17" s="156">
        <f>IF($B17=" ","",IFERROR(INDEX(MMWR_RATING_RO_ROLLUP[],MATCH($B17,MMWR_RATING_RO_ROLLUP[MMWR_RATING_RO_ROLLUP],0),MATCH(D$9,MMWR_RATING_RO_ROLLUP[#Headers],0)),"ERROR"))</f>
        <v>81.169400855899994</v>
      </c>
      <c r="E17" s="157">
        <f>IF($B17=" ","",IFERROR(INDEX(MMWR_RATING_RO_ROLLUP[],MATCH($B17,MMWR_RATING_RO_ROLLUP[MMWR_RATING_RO_ROLLUP],0),MATCH(E$9,MMWR_RATING_RO_ROLLUP[#Headers],0))/$C17,"ERROR"))</f>
        <v>0.12624821683309559</v>
      </c>
      <c r="F17" s="155">
        <f>IF($B17=" ","",IFERROR(INDEX(MMWR_RATING_RO_ROLLUP[],MATCH($B17,MMWR_RATING_RO_ROLLUP[MMWR_RATING_RO_ROLLUP],0),MATCH(F$9,MMWR_RATING_RO_ROLLUP[#Headers],0)),"ERROR"))</f>
        <v>753</v>
      </c>
      <c r="G17" s="155">
        <f>IF($B17=" ","",IFERROR(INDEX(MMWR_RATING_RO_ROLLUP[],MATCH($B17,MMWR_RATING_RO_ROLLUP[MMWR_RATING_RO_ROLLUP],0),MATCH(G$9,MMWR_RATING_RO_ROLLUP[#Headers],0)),"ERROR"))</f>
        <v>5832</v>
      </c>
      <c r="H17" s="156">
        <f>IF($B17=" ","",IFERROR(INDEX(MMWR_RATING_RO_ROLLUP[],MATCH($B17,MMWR_RATING_RO_ROLLUP[MMWR_RATING_RO_ROLLUP],0),MATCH(H$9,MMWR_RATING_RO_ROLLUP[#Headers],0)),"ERROR"))</f>
        <v>158.9096945551</v>
      </c>
      <c r="I17" s="156">
        <f>IF($B17=" ","",IFERROR(INDEX(MMWR_RATING_RO_ROLLUP[],MATCH($B17,MMWR_RATING_RO_ROLLUP[MMWR_RATING_RO_ROLLUP],0),MATCH(I$9,MMWR_RATING_RO_ROLLUP[#Headers],0)),"ERROR"))</f>
        <v>235.94358710559999</v>
      </c>
      <c r="J17" s="160">
        <f>IF($B17=" ","",IFERROR(VLOOKUP($B17,MMWR_ACCURACY_RO[],MATCH(J$9,MMWR_ACCURACY_RO[#Headers],0),0),"ERROR"))</f>
        <v>0.93458483652634283</v>
      </c>
      <c r="K17" s="160">
        <f>IF($B17=" ","",IFERROR(VLOOKUP($B17,MMWR_ACCURACY_RO[],MATCH(K$9,MMWR_ACCURACY_RO[#Headers],0),0),"ERROR"))</f>
        <v>0.86612899229415996</v>
      </c>
      <c r="L17" s="160">
        <f>IF($B17=" ","",IFERROR(VLOOKUP($B17,MMWR_ACCURACY_RO[],MATCH(L$9,MMWR_ACCURACY_RO[#Headers],0),0),"ERROR"))</f>
        <v>0.84835657905458473</v>
      </c>
      <c r="M17" s="160">
        <f>IF($B17=" ","",IFERROR(VLOOKUP($B17,MMWR_ACCURACY_RO[],MATCH(M$9,MMWR_ACCURACY_RO[#Headers],0),0),"ERROR"))</f>
        <v>4.6490202491033944E-2</v>
      </c>
      <c r="N17" s="160">
        <f>IF($B17=" ","",IFERROR(VLOOKUP($B17,MMWR_ACCURACY_RO[],MATCH(N$9,MMWR_ACCURACY_RO[#Headers],0),0),"ERROR"))</f>
        <v>0.84672428389324095</v>
      </c>
      <c r="O17" s="160">
        <f>IF($B17=" ","",IFERROR(VLOOKUP($B17,MMWR_ACCURACY_RO[],MATCH(O$9,MMWR_ACCURACY_RO[#Headers],0),0),"ERROR"))</f>
        <v>4.8553838218814892E-2</v>
      </c>
      <c r="P17" s="28"/>
    </row>
    <row r="18" spans="1:16" x14ac:dyDescent="0.25">
      <c r="A18" s="25"/>
      <c r="B18" s="8" t="str">
        <f>VLOOKUP($B$16,DISTRICT_RO[],3,0)</f>
        <v>Boston VSC</v>
      </c>
      <c r="C18" s="155">
        <f>IF($B18=" ","",IFERROR(INDEX(MMWR_RATING_RO_ROLLUP[],MATCH($B18,MMWR_RATING_RO_ROLLUP[MMWR_RATING_RO_ROLLUP],0),MATCH(C$9,MMWR_RATING_RO_ROLLUP[#Headers],0)),"ERROR"))</f>
        <v>2976</v>
      </c>
      <c r="D18" s="156">
        <f>IF($B18=" ","",IFERROR(INDEX(MMWR_RATING_RO_ROLLUP[],MATCH($B18,MMWR_RATING_RO_ROLLUP[MMWR_RATING_RO_ROLLUP],0),MATCH(D$9,MMWR_RATING_RO_ROLLUP[#Headers],0)),"ERROR"))</f>
        <v>98.366935483899994</v>
      </c>
      <c r="E18" s="157">
        <f>IF($B18=" ","",IFERROR(INDEX(MMWR_RATING_RO_ROLLUP[],MATCH($B18,MMWR_RATING_RO_ROLLUP[MMWR_RATING_RO_ROLLUP],0),MATCH(E$9,MMWR_RATING_RO_ROLLUP[#Headers],0))/$C18,"ERROR"))</f>
        <v>0.30342741935483869</v>
      </c>
      <c r="F18" s="155">
        <f>IF($B18=" ","",IFERROR(INDEX(MMWR_RATING_RO_ROLLUP[],MATCH($B18,MMWR_RATING_RO_ROLLUP[MMWR_RATING_RO_ROLLUP],0),MATCH(F$9,MMWR_RATING_RO_ROLLUP[#Headers],0)),"ERROR"))</f>
        <v>970</v>
      </c>
      <c r="G18" s="155">
        <f>IF($B18=" ","",IFERROR(INDEX(MMWR_RATING_RO_ROLLUP[],MATCH($B18,MMWR_RATING_RO_ROLLUP[MMWR_RATING_RO_ROLLUP],0),MATCH(G$9,MMWR_RATING_RO_ROLLUP[#Headers],0)),"ERROR"))</f>
        <v>9630</v>
      </c>
      <c r="H18" s="156">
        <f>IF($B18=" ","",IFERROR(INDEX(MMWR_RATING_RO_ROLLUP[],MATCH($B18,MMWR_RATING_RO_ROLLUP[MMWR_RATING_RO_ROLLUP],0),MATCH(H$9,MMWR_RATING_RO_ROLLUP[#Headers],0)),"ERROR"))</f>
        <v>157.57525773200001</v>
      </c>
      <c r="I18" s="156">
        <f>IF($B18=" ","",IFERROR(INDEX(MMWR_RATING_RO_ROLLUP[],MATCH($B18,MMWR_RATING_RO_ROLLUP[MMWR_RATING_RO_ROLLUP],0),MATCH(I$9,MMWR_RATING_RO_ROLLUP[#Headers],0)),"ERROR"))</f>
        <v>198.2881619938</v>
      </c>
      <c r="J18" s="160">
        <f>IF($B18=" ","",IFERROR(VLOOKUP($B18,MMWR_ACCURACY_RO[],MATCH(J$9,MMWR_ACCURACY_RO[#Headers],0),0),"ERROR"))</f>
        <v>0.83258888854239843</v>
      </c>
      <c r="K18" s="160">
        <f>IF($B18=" ","",IFERROR(VLOOKUP($B18,MMWR_ACCURACY_RO[],MATCH(K$9,MMWR_ACCURACY_RO[#Headers],0),0),"ERROR"))</f>
        <v>0.72847704129111168</v>
      </c>
      <c r="L18" s="160">
        <f>IF($B18=" ","",IFERROR(VLOOKUP($B18,MMWR_ACCURACY_RO[],MATCH(L$9,MMWR_ACCURACY_RO[#Headers],0),0),"ERROR"))</f>
        <v>0.83333772256728789</v>
      </c>
      <c r="M18" s="160">
        <f>IF($B18=" ","",IFERROR(VLOOKUP($B18,MMWR_ACCURACY_RO[],MATCH(M$9,MMWR_ACCURACY_RO[#Headers],0),0),"ERROR"))</f>
        <v>5.6563560059354999E-2</v>
      </c>
      <c r="N18" s="160">
        <f>IF($B18=" ","",IFERROR(VLOOKUP($B18,MMWR_ACCURACY_RO[],MATCH(N$9,MMWR_ACCURACY_RO[#Headers],0),0),"ERROR"))</f>
        <v>0.89697203766859634</v>
      </c>
      <c r="O18" s="160">
        <f>IF($B18=" ","",IFERROR(VLOOKUP($B18,MMWR_ACCURACY_RO[],MATCH(O$9,MMWR_ACCURACY_RO[#Headers],0),0),"ERROR"))</f>
        <v>5.6536773506483159E-2</v>
      </c>
      <c r="P18" s="28"/>
    </row>
    <row r="19" spans="1:16" x14ac:dyDescent="0.25">
      <c r="A19" s="25"/>
      <c r="B19" s="8" t="str">
        <f>VLOOKUP($B$16,DISTRICT_RO[],4,0)</f>
        <v>Buffalo VSC</v>
      </c>
      <c r="C19" s="155">
        <f>IF($B19=" ","",IFERROR(INDEX(MMWR_RATING_RO_ROLLUP[],MATCH($B19,MMWR_RATING_RO_ROLLUP[MMWR_RATING_RO_ROLLUP],0),MATCH(C$9,MMWR_RATING_RO_ROLLUP[#Headers],0)),"ERROR"))</f>
        <v>3781</v>
      </c>
      <c r="D19" s="156">
        <f>IF($B19=" ","",IFERROR(INDEX(MMWR_RATING_RO_ROLLUP[],MATCH($B19,MMWR_RATING_RO_ROLLUP[MMWR_RATING_RO_ROLLUP],0),MATCH(D$9,MMWR_RATING_RO_ROLLUP[#Headers],0)),"ERROR"))</f>
        <v>91.638455435099999</v>
      </c>
      <c r="E19" s="157">
        <f>IF($B19=" ","",IFERROR(INDEX(MMWR_RATING_RO_ROLLUP[],MATCH($B19,MMWR_RATING_RO_ROLLUP[MMWR_RATING_RO_ROLLUP],0),MATCH(E$9,MMWR_RATING_RO_ROLLUP[#Headers],0))/$C19,"ERROR"))</f>
        <v>0.2155514414176144</v>
      </c>
      <c r="F19" s="155">
        <f>IF($B19=" ","",IFERROR(INDEX(MMWR_RATING_RO_ROLLUP[],MATCH($B19,MMWR_RATING_RO_ROLLUP[MMWR_RATING_RO_ROLLUP],0),MATCH(F$9,MMWR_RATING_RO_ROLLUP[#Headers],0)),"ERROR"))</f>
        <v>788</v>
      </c>
      <c r="G19" s="155">
        <f>IF($B19=" ","",IFERROR(INDEX(MMWR_RATING_RO_ROLLUP[],MATCH($B19,MMWR_RATING_RO_ROLLUP[MMWR_RATING_RO_ROLLUP],0),MATCH(G$9,MMWR_RATING_RO_ROLLUP[#Headers],0)),"ERROR"))</f>
        <v>10608</v>
      </c>
      <c r="H19" s="156">
        <f>IF($B19=" ","",IFERROR(INDEX(MMWR_RATING_RO_ROLLUP[],MATCH($B19,MMWR_RATING_RO_ROLLUP[MMWR_RATING_RO_ROLLUP],0),MATCH(H$9,MMWR_RATING_RO_ROLLUP[#Headers],0)),"ERROR"))</f>
        <v>167.9835025381</v>
      </c>
      <c r="I19" s="156">
        <f>IF($B19=" ","",IFERROR(INDEX(MMWR_RATING_RO_ROLLUP[],MATCH($B19,MMWR_RATING_RO_ROLLUP[MMWR_RATING_RO_ROLLUP],0),MATCH(I$9,MMWR_RATING_RO_ROLLUP[#Headers],0)),"ERROR"))</f>
        <v>206.9909502262</v>
      </c>
      <c r="J19" s="160">
        <f>IF($B19=" ","",IFERROR(VLOOKUP($B19,MMWR_ACCURACY_RO[],MATCH(J$9,MMWR_ACCURACY_RO[#Headers],0),0),"ERROR"))</f>
        <v>0.88777503867063057</v>
      </c>
      <c r="K19" s="160">
        <f>IF($B19=" ","",IFERROR(VLOOKUP($B19,MMWR_ACCURACY_RO[],MATCH(K$9,MMWR_ACCURACY_RO[#Headers],0),0),"ERROR"))</f>
        <v>0.77864214992927872</v>
      </c>
      <c r="L19" s="160">
        <f>IF($B19=" ","",IFERROR(VLOOKUP($B19,MMWR_ACCURACY_RO[],MATCH(L$9,MMWR_ACCURACY_RO[#Headers],0),0),"ERROR"))</f>
        <v>0.8838616785045289</v>
      </c>
      <c r="M19" s="160">
        <f>IF($B19=" ","",IFERROR(VLOOKUP($B19,MMWR_ACCURACY_RO[],MATCH(M$9,MMWR_ACCURACY_RO[#Headers],0),0),"ERROR"))</f>
        <v>4.7077772133462897E-2</v>
      </c>
      <c r="N19" s="160">
        <f>IF($B19=" ","",IFERROR(VLOOKUP($B19,MMWR_ACCURACY_RO[],MATCH(N$9,MMWR_ACCURACY_RO[#Headers],0),0),"ERROR"))</f>
        <v>0.86852391383655392</v>
      </c>
      <c r="O19" s="160">
        <f>IF($B19=" ","",IFERROR(VLOOKUP($B19,MMWR_ACCURACY_RO[],MATCH(O$9,MMWR_ACCURACY_RO[#Headers],0),0),"ERROR"))</f>
        <v>4.7183905315532827E-2</v>
      </c>
      <c r="P19" s="28"/>
    </row>
    <row r="20" spans="1:16" x14ac:dyDescent="0.25">
      <c r="A20" s="25"/>
      <c r="B20" s="8" t="str">
        <f>VLOOKUP($B$16,DISTRICT_RO[],5,0)</f>
        <v>Hartford VSC</v>
      </c>
      <c r="C20" s="155">
        <f>IF($B20=" ","",IFERROR(INDEX(MMWR_RATING_RO_ROLLUP[],MATCH($B20,MMWR_RATING_RO_ROLLUP[MMWR_RATING_RO_ROLLUP],0),MATCH(C$9,MMWR_RATING_RO_ROLLUP[#Headers],0)),"ERROR"))</f>
        <v>2320</v>
      </c>
      <c r="D20" s="156">
        <f>IF($B20=" ","",IFERROR(INDEX(MMWR_RATING_RO_ROLLUP[],MATCH($B20,MMWR_RATING_RO_ROLLUP[MMWR_RATING_RO_ROLLUP],0),MATCH(D$9,MMWR_RATING_RO_ROLLUP[#Headers],0)),"ERROR"))</f>
        <v>115.2094827586</v>
      </c>
      <c r="E20" s="157">
        <f>IF($B20=" ","",IFERROR(INDEX(MMWR_RATING_RO_ROLLUP[],MATCH($B20,MMWR_RATING_RO_ROLLUP[MMWR_RATING_RO_ROLLUP],0),MATCH(E$9,MMWR_RATING_RO_ROLLUP[#Headers],0))/$C20,"ERROR"))</f>
        <v>0.33405172413793105</v>
      </c>
      <c r="F20" s="155">
        <f>IF($B20=" ","",IFERROR(INDEX(MMWR_RATING_RO_ROLLUP[],MATCH($B20,MMWR_RATING_RO_ROLLUP[MMWR_RATING_RO_ROLLUP],0),MATCH(F$9,MMWR_RATING_RO_ROLLUP[#Headers],0)),"ERROR"))</f>
        <v>820</v>
      </c>
      <c r="G20" s="155">
        <f>IF($B20=" ","",IFERROR(INDEX(MMWR_RATING_RO_ROLLUP[],MATCH($B20,MMWR_RATING_RO_ROLLUP[MMWR_RATING_RO_ROLLUP],0),MATCH(G$9,MMWR_RATING_RO_ROLLUP[#Headers],0)),"ERROR"))</f>
        <v>9104</v>
      </c>
      <c r="H20" s="156">
        <f>IF($B20=" ","",IFERROR(INDEX(MMWR_RATING_RO_ROLLUP[],MATCH($B20,MMWR_RATING_RO_ROLLUP[MMWR_RATING_RO_ROLLUP],0),MATCH(H$9,MMWR_RATING_RO_ROLLUP[#Headers],0)),"ERROR"))</f>
        <v>184.46097560979999</v>
      </c>
      <c r="I20" s="156">
        <f>IF($B20=" ","",IFERROR(INDEX(MMWR_RATING_RO_ROLLUP[],MATCH($B20,MMWR_RATING_RO_ROLLUP[MMWR_RATING_RO_ROLLUP],0),MATCH(I$9,MMWR_RATING_RO_ROLLUP[#Headers],0)),"ERROR"))</f>
        <v>174.79393673109999</v>
      </c>
      <c r="J20" s="160">
        <f>IF($B20=" ","",IFERROR(VLOOKUP($B20,MMWR_ACCURACY_RO[],MATCH(J$9,MMWR_ACCURACY_RO[#Headers],0),0),"ERROR"))</f>
        <v>0.93634586818856991</v>
      </c>
      <c r="K20" s="160">
        <f>IF($B20=" ","",IFERROR(VLOOKUP($B20,MMWR_ACCURACY_RO[],MATCH(K$9,MMWR_ACCURACY_RO[#Headers],0),0),"ERROR"))</f>
        <v>0.83326688815060923</v>
      </c>
      <c r="L20" s="160">
        <f>IF($B20=" ","",IFERROR(VLOOKUP($B20,MMWR_ACCURACY_RO[],MATCH(L$9,MMWR_ACCURACY_RO[#Headers],0),0),"ERROR"))</f>
        <v>0.92617741466470604</v>
      </c>
      <c r="M20" s="160">
        <f>IF($B20=" ","",IFERROR(VLOOKUP($B20,MMWR_ACCURACY_RO[],MATCH(M$9,MMWR_ACCURACY_RO[#Headers],0),0),"ERROR"))</f>
        <v>3.9299517285578532E-2</v>
      </c>
      <c r="N20" s="160">
        <f>IF($B20=" ","",IFERROR(VLOOKUP($B20,MMWR_ACCURACY_RO[],MATCH(N$9,MMWR_ACCURACY_RO[#Headers],0),0),"ERROR"))</f>
        <v>0.98116096259719621</v>
      </c>
      <c r="O20" s="160">
        <f>IF($B20=" ","",IFERROR(VLOOKUP($B20,MMWR_ACCURACY_RO[],MATCH(O$9,MMWR_ACCURACY_RO[#Headers],0),0),"ERROR"))</f>
        <v>2.181423874731479E-2</v>
      </c>
      <c r="P20" s="28"/>
    </row>
    <row r="21" spans="1:16" x14ac:dyDescent="0.25">
      <c r="A21" s="25"/>
      <c r="B21" s="8" t="str">
        <f>VLOOKUP($B$16,DISTRICT_RO[],6,0)</f>
        <v>Huntington VSC</v>
      </c>
      <c r="C21" s="155">
        <f>IF($B21=" ","",IFERROR(INDEX(MMWR_RATING_RO_ROLLUP[],MATCH($B21,MMWR_RATING_RO_ROLLUP[MMWR_RATING_RO_ROLLUP],0),MATCH(C$9,MMWR_RATING_RO_ROLLUP[#Headers],0)),"ERROR"))</f>
        <v>4280</v>
      </c>
      <c r="D21" s="156">
        <f>IF($B21=" ","",IFERROR(INDEX(MMWR_RATING_RO_ROLLUP[],MATCH($B21,MMWR_RATING_RO_ROLLUP[MMWR_RATING_RO_ROLLUP],0),MATCH(D$9,MMWR_RATING_RO_ROLLUP[#Headers],0)),"ERROR"))</f>
        <v>118.2460280374</v>
      </c>
      <c r="E21" s="157">
        <f>IF($B21=" ","",IFERROR(INDEX(MMWR_RATING_RO_ROLLUP[],MATCH($B21,MMWR_RATING_RO_ROLLUP[MMWR_RATING_RO_ROLLUP],0),MATCH(E$9,MMWR_RATING_RO_ROLLUP[#Headers],0))/$C21,"ERROR"))</f>
        <v>0.32943925233644861</v>
      </c>
      <c r="F21" s="155">
        <f>IF($B21=" ","",IFERROR(INDEX(MMWR_RATING_RO_ROLLUP[],MATCH($B21,MMWR_RATING_RO_ROLLUP[MMWR_RATING_RO_ROLLUP],0),MATCH(F$9,MMWR_RATING_RO_ROLLUP[#Headers],0)),"ERROR"))</f>
        <v>1715</v>
      </c>
      <c r="G21" s="155">
        <f>IF($B21=" ","",IFERROR(INDEX(MMWR_RATING_RO_ROLLUP[],MATCH($B21,MMWR_RATING_RO_ROLLUP[MMWR_RATING_RO_ROLLUP],0),MATCH(G$9,MMWR_RATING_RO_ROLLUP[#Headers],0)),"ERROR"))</f>
        <v>17151</v>
      </c>
      <c r="H21" s="156">
        <f>IF($B21=" ","",IFERROR(INDEX(MMWR_RATING_RO_ROLLUP[],MATCH($B21,MMWR_RATING_RO_ROLLUP[MMWR_RATING_RO_ROLLUP],0),MATCH(H$9,MMWR_RATING_RO_ROLLUP[#Headers],0)),"ERROR"))</f>
        <v>145.284548105</v>
      </c>
      <c r="I21" s="156">
        <f>IF($B21=" ","",IFERROR(INDEX(MMWR_RATING_RO_ROLLUP[],MATCH($B21,MMWR_RATING_RO_ROLLUP[MMWR_RATING_RO_ROLLUP],0),MATCH(I$9,MMWR_RATING_RO_ROLLUP[#Headers],0)),"ERROR"))</f>
        <v>177.6646259693</v>
      </c>
      <c r="J21" s="160">
        <f>IF($B21=" ","",IFERROR(VLOOKUP($B21,MMWR_ACCURACY_RO[],MATCH(J$9,MMWR_ACCURACY_RO[#Headers],0),0),"ERROR"))</f>
        <v>0.89772613887071928</v>
      </c>
      <c r="K21" s="160">
        <f>IF($B21=" ","",IFERROR(VLOOKUP($B21,MMWR_ACCURACY_RO[],MATCH(K$9,MMWR_ACCURACY_RO[#Headers],0),0),"ERROR"))</f>
        <v>0.83736235688762495</v>
      </c>
      <c r="L21" s="160">
        <f>IF($B21=" ","",IFERROR(VLOOKUP($B21,MMWR_ACCURACY_RO[],MATCH(L$9,MMWR_ACCURACY_RO[#Headers],0),0),"ERROR"))</f>
        <v>0.90065387479148451</v>
      </c>
      <c r="M21" s="160">
        <f>IF($B21=" ","",IFERROR(VLOOKUP($B21,MMWR_ACCURACY_RO[],MATCH(M$9,MMWR_ACCURACY_RO[#Headers],0),0),"ERROR"))</f>
        <v>4.2578938260772997E-2</v>
      </c>
      <c r="N21" s="160">
        <f>IF($B21=" ","",IFERROR(VLOOKUP($B21,MMWR_ACCURACY_RO[],MATCH(N$9,MMWR_ACCURACY_RO[#Headers],0),0),"ERROR"))</f>
        <v>0.9306136032499075</v>
      </c>
      <c r="O21" s="160">
        <f>IF($B21=" ","",IFERROR(VLOOKUP($B21,MMWR_ACCURACY_RO[],MATCH(O$9,MMWR_ACCURACY_RO[#Headers],0),0),"ERROR"))</f>
        <v>4.1368126299368486E-2</v>
      </c>
      <c r="P21" s="28"/>
    </row>
    <row r="22" spans="1:16" x14ac:dyDescent="0.25">
      <c r="A22" s="25"/>
      <c r="B22" s="8" t="str">
        <f>VLOOKUP($B$16,DISTRICT_RO[],7,0)</f>
        <v>Manchester VSC</v>
      </c>
      <c r="C22" s="155">
        <f>IF($B22=" ","",IFERROR(INDEX(MMWR_RATING_RO_ROLLUP[],MATCH($B22,MMWR_RATING_RO_ROLLUP[MMWR_RATING_RO_ROLLUP],0),MATCH(C$9,MMWR_RATING_RO_ROLLUP[#Headers],0)),"ERROR"))</f>
        <v>1335</v>
      </c>
      <c r="D22" s="156">
        <f>IF($B22=" ","",IFERROR(INDEX(MMWR_RATING_RO_ROLLUP[],MATCH($B22,MMWR_RATING_RO_ROLLUP[MMWR_RATING_RO_ROLLUP],0),MATCH(D$9,MMWR_RATING_RO_ROLLUP[#Headers],0)),"ERROR"))</f>
        <v>102.95730337080001</v>
      </c>
      <c r="E22" s="157">
        <f>IF($B22=" ","",IFERROR(INDEX(MMWR_RATING_RO_ROLLUP[],MATCH($B22,MMWR_RATING_RO_ROLLUP[MMWR_RATING_RO_ROLLUP],0),MATCH(E$9,MMWR_RATING_RO_ROLLUP[#Headers],0))/$C22,"ERROR"))</f>
        <v>0.25018726591760299</v>
      </c>
      <c r="F22" s="155">
        <f>IF($B22=" ","",IFERROR(INDEX(MMWR_RATING_RO_ROLLUP[],MATCH($B22,MMWR_RATING_RO_ROLLUP[MMWR_RATING_RO_ROLLUP],0),MATCH(F$9,MMWR_RATING_RO_ROLLUP[#Headers],0)),"ERROR"))</f>
        <v>400</v>
      </c>
      <c r="G22" s="155">
        <f>IF($B22=" ","",IFERROR(INDEX(MMWR_RATING_RO_ROLLUP[],MATCH($B22,MMWR_RATING_RO_ROLLUP[MMWR_RATING_RO_ROLLUP],0),MATCH(G$9,MMWR_RATING_RO_ROLLUP[#Headers],0)),"ERROR"))</f>
        <v>4460</v>
      </c>
      <c r="H22" s="156">
        <f>IF($B22=" ","",IFERROR(INDEX(MMWR_RATING_RO_ROLLUP[],MATCH($B22,MMWR_RATING_RO_ROLLUP[MMWR_RATING_RO_ROLLUP],0),MATCH(H$9,MMWR_RATING_RO_ROLLUP[#Headers],0)),"ERROR"))</f>
        <v>171.23750000000001</v>
      </c>
      <c r="I22" s="156">
        <f>IF($B22=" ","",IFERROR(INDEX(MMWR_RATING_RO_ROLLUP[],MATCH($B22,MMWR_RATING_RO_ROLLUP[MMWR_RATING_RO_ROLLUP],0),MATCH(I$9,MMWR_RATING_RO_ROLLUP[#Headers],0)),"ERROR"))</f>
        <v>191.88475336319999</v>
      </c>
      <c r="J22" s="160">
        <f>IF($B22=" ","",IFERROR(VLOOKUP($B22,MMWR_ACCURACY_RO[],MATCH(J$9,MMWR_ACCURACY_RO[#Headers],0),0),"ERROR"))</f>
        <v>0.97038707409636038</v>
      </c>
      <c r="K22" s="160">
        <f>IF($B22=" ","",IFERROR(VLOOKUP($B22,MMWR_ACCURACY_RO[],MATCH(K$9,MMWR_ACCURACY_RO[#Headers],0),0),"ERROR"))</f>
        <v>0.95511337868480728</v>
      </c>
      <c r="L22" s="160">
        <f>IF($B22=" ","",IFERROR(VLOOKUP($B22,MMWR_ACCURACY_RO[],MATCH(L$9,MMWR_ACCURACY_RO[#Headers],0),0),"ERROR"))</f>
        <v>0.9113165818631912</v>
      </c>
      <c r="M22" s="160">
        <f>IF($B22=" ","",IFERROR(VLOOKUP($B22,MMWR_ACCURACY_RO[],MATCH(M$9,MMWR_ACCURACY_RO[#Headers],0),0),"ERROR"))</f>
        <v>4.0565564837001418E-2</v>
      </c>
      <c r="N22" s="160">
        <f>IF($B22=" ","",IFERROR(VLOOKUP($B22,MMWR_ACCURACY_RO[],MATCH(N$9,MMWR_ACCURACY_RO[#Headers],0),0),"ERROR"))</f>
        <v>0.92428788734355638</v>
      </c>
      <c r="O22" s="160">
        <f>IF($B22=" ","",IFERROR(VLOOKUP($B22,MMWR_ACCURACY_RO[],MATCH(O$9,MMWR_ACCURACY_RO[#Headers],0),0),"ERROR"))</f>
        <v>3.5225778992118109E-2</v>
      </c>
      <c r="P22" s="28"/>
    </row>
    <row r="23" spans="1:16" x14ac:dyDescent="0.25">
      <c r="A23" s="25"/>
      <c r="B23" s="8" t="str">
        <f>VLOOKUP($B$16,DISTRICT_RO[],8,0)</f>
        <v>New York VSC</v>
      </c>
      <c r="C23" s="155">
        <f>IF($B23=" ","",IFERROR(INDEX(MMWR_RATING_RO_ROLLUP[],MATCH($B23,MMWR_RATING_RO_ROLLUP[MMWR_RATING_RO_ROLLUP],0),MATCH(C$9,MMWR_RATING_RO_ROLLUP[#Headers],0)),"ERROR"))</f>
        <v>4337</v>
      </c>
      <c r="D23" s="156">
        <f>IF($B23=" ","",IFERROR(INDEX(MMWR_RATING_RO_ROLLUP[],MATCH($B23,MMWR_RATING_RO_ROLLUP[MMWR_RATING_RO_ROLLUP],0),MATCH(D$9,MMWR_RATING_RO_ROLLUP[#Headers],0)),"ERROR"))</f>
        <v>91.745215586800001</v>
      </c>
      <c r="E23" s="157">
        <f>IF($B23=" ","",IFERROR(INDEX(MMWR_RATING_RO_ROLLUP[],MATCH($B23,MMWR_RATING_RO_ROLLUP[MMWR_RATING_RO_ROLLUP],0),MATCH(E$9,MMWR_RATING_RO_ROLLUP[#Headers],0))/$C23,"ERROR"))</f>
        <v>0.22042886788102375</v>
      </c>
      <c r="F23" s="155">
        <f>IF($B23=" ","",IFERROR(INDEX(MMWR_RATING_RO_ROLLUP[],MATCH($B23,MMWR_RATING_RO_ROLLUP[MMWR_RATING_RO_ROLLUP],0),MATCH(F$9,MMWR_RATING_RO_ROLLUP[#Headers],0)),"ERROR"))</f>
        <v>1209</v>
      </c>
      <c r="G23" s="155">
        <f>IF($B23=" ","",IFERROR(INDEX(MMWR_RATING_RO_ROLLUP[],MATCH($B23,MMWR_RATING_RO_ROLLUP[MMWR_RATING_RO_ROLLUP],0),MATCH(G$9,MMWR_RATING_RO_ROLLUP[#Headers],0)),"ERROR"))</f>
        <v>13117</v>
      </c>
      <c r="H23" s="156">
        <f>IF($B23=" ","",IFERROR(INDEX(MMWR_RATING_RO_ROLLUP[],MATCH($B23,MMWR_RATING_RO_ROLLUP[MMWR_RATING_RO_ROLLUP],0),MATCH(H$9,MMWR_RATING_RO_ROLLUP[#Headers],0)),"ERROR"))</f>
        <v>156.3143093466</v>
      </c>
      <c r="I23" s="156">
        <f>IF($B23=" ","",IFERROR(INDEX(MMWR_RATING_RO_ROLLUP[],MATCH($B23,MMWR_RATING_RO_ROLLUP[MMWR_RATING_RO_ROLLUP],0),MATCH(I$9,MMWR_RATING_RO_ROLLUP[#Headers],0)),"ERROR"))</f>
        <v>190.93573225590001</v>
      </c>
      <c r="J23" s="160">
        <f>IF($B23=" ","",IFERROR(VLOOKUP($B23,MMWR_ACCURACY_RO[],MATCH(J$9,MMWR_ACCURACY_RO[#Headers],0),0),"ERROR"))</f>
        <v>0.93423904904388533</v>
      </c>
      <c r="K23" s="160">
        <f>IF($B23=" ","",IFERROR(VLOOKUP($B23,MMWR_ACCURACY_RO[],MATCH(K$9,MMWR_ACCURACY_RO[#Headers],0),0),"ERROR"))</f>
        <v>0.9006803425887554</v>
      </c>
      <c r="L23" s="160">
        <f>IF($B23=" ","",IFERROR(VLOOKUP($B23,MMWR_ACCURACY_RO[],MATCH(L$9,MMWR_ACCURACY_RO[#Headers],0),0),"ERROR"))</f>
        <v>0.91794230241321662</v>
      </c>
      <c r="M23" s="160">
        <f>IF($B23=" ","",IFERROR(VLOOKUP($B23,MMWR_ACCURACY_RO[],MATCH(M$9,MMWR_ACCURACY_RO[#Headers],0),0),"ERROR"))</f>
        <v>4.2144137791640689E-2</v>
      </c>
      <c r="N23" s="160">
        <f>IF($B23=" ","",IFERROR(VLOOKUP($B23,MMWR_ACCURACY_RO[],MATCH(N$9,MMWR_ACCURACY_RO[#Headers],0),0),"ERROR"))</f>
        <v>0.91954811804712078</v>
      </c>
      <c r="O23" s="160">
        <f>IF($B23=" ","",IFERROR(VLOOKUP($B23,MMWR_ACCURACY_RO[],MATCH(O$9,MMWR_ACCURACY_RO[#Headers],0),0),"ERROR"))</f>
        <v>4.1016390859065978E-2</v>
      </c>
      <c r="P23" s="28"/>
    </row>
    <row r="24" spans="1:16" x14ac:dyDescent="0.25">
      <c r="A24" s="25"/>
      <c r="B24" s="8" t="str">
        <f>VLOOKUP($B$16,DISTRICT_RO[],9,0)</f>
        <v>Newark VSC</v>
      </c>
      <c r="C24" s="155">
        <f>IF($B24=" ","",IFERROR(INDEX(MMWR_RATING_RO_ROLLUP[],MATCH($B24,MMWR_RATING_RO_ROLLUP[MMWR_RATING_RO_ROLLUP],0),MATCH(C$9,MMWR_RATING_RO_ROLLUP[#Headers],0)),"ERROR"))</f>
        <v>2470</v>
      </c>
      <c r="D24" s="156">
        <f>IF($B24=" ","",IFERROR(INDEX(MMWR_RATING_RO_ROLLUP[],MATCH($B24,MMWR_RATING_RO_ROLLUP[MMWR_RATING_RO_ROLLUP],0),MATCH(D$9,MMWR_RATING_RO_ROLLUP[#Headers],0)),"ERROR"))</f>
        <v>92.577732793500005</v>
      </c>
      <c r="E24" s="157">
        <f>IF($B24=" ","",IFERROR(INDEX(MMWR_RATING_RO_ROLLUP[],MATCH($B24,MMWR_RATING_RO_ROLLUP[MMWR_RATING_RO_ROLLUP],0),MATCH(E$9,MMWR_RATING_RO_ROLLUP[#Headers],0))/$C24,"ERROR"))</f>
        <v>0.22914979757085019</v>
      </c>
      <c r="F24" s="155">
        <f>IF($B24=" ","",IFERROR(INDEX(MMWR_RATING_RO_ROLLUP[],MATCH($B24,MMWR_RATING_RO_ROLLUP[MMWR_RATING_RO_ROLLUP],0),MATCH(F$9,MMWR_RATING_RO_ROLLUP[#Headers],0)),"ERROR"))</f>
        <v>604</v>
      </c>
      <c r="G24" s="155">
        <f>IF($B24=" ","",IFERROR(INDEX(MMWR_RATING_RO_ROLLUP[],MATCH($B24,MMWR_RATING_RO_ROLLUP[MMWR_RATING_RO_ROLLUP],0),MATCH(G$9,MMWR_RATING_RO_ROLLUP[#Headers],0)),"ERROR"))</f>
        <v>6970</v>
      </c>
      <c r="H24" s="156">
        <f>IF($B24=" ","",IFERROR(INDEX(MMWR_RATING_RO_ROLLUP[],MATCH($B24,MMWR_RATING_RO_ROLLUP[MMWR_RATING_RO_ROLLUP],0),MATCH(H$9,MMWR_RATING_RO_ROLLUP[#Headers],0)),"ERROR"))</f>
        <v>170.27152317880001</v>
      </c>
      <c r="I24" s="156">
        <f>IF($B24=" ","",IFERROR(INDEX(MMWR_RATING_RO_ROLLUP[],MATCH($B24,MMWR_RATING_RO_ROLLUP[MMWR_RATING_RO_ROLLUP],0),MATCH(I$9,MMWR_RATING_RO_ROLLUP[#Headers],0)),"ERROR"))</f>
        <v>167.60602582499999</v>
      </c>
      <c r="J24" s="160">
        <f>IF($B24=" ","",IFERROR(VLOOKUP($B24,MMWR_ACCURACY_RO[],MATCH(J$9,MMWR_ACCURACY_RO[#Headers],0),0),"ERROR"))</f>
        <v>0.97154805988111059</v>
      </c>
      <c r="K24" s="160">
        <f>IF($B24=" ","",IFERROR(VLOOKUP($B24,MMWR_ACCURACY_RO[],MATCH(K$9,MMWR_ACCURACY_RO[#Headers],0),0),"ERROR"))</f>
        <v>0.94127507988894132</v>
      </c>
      <c r="L24" s="160">
        <f>IF($B24=" ","",IFERROR(VLOOKUP($B24,MMWR_ACCURACY_RO[],MATCH(L$9,MMWR_ACCURACY_RO[#Headers],0),0),"ERROR"))</f>
        <v>0.88824193018242081</v>
      </c>
      <c r="M24" s="160">
        <f>IF($B24=" ","",IFERROR(VLOOKUP($B24,MMWR_ACCURACY_RO[],MATCH(M$9,MMWR_ACCURACY_RO[#Headers],0),0),"ERROR"))</f>
        <v>4.1997036812878787E-2</v>
      </c>
      <c r="N24" s="160">
        <f>IF($B24=" ","",IFERROR(VLOOKUP($B24,MMWR_ACCURACY_RO[],MATCH(N$9,MMWR_ACCURACY_RO[#Headers],0),0),"ERROR"))</f>
        <v>0.86306732432248312</v>
      </c>
      <c r="O24" s="160">
        <f>IF($B24=" ","",IFERROR(VLOOKUP($B24,MMWR_ACCURACY_RO[],MATCH(O$9,MMWR_ACCURACY_RO[#Headers],0),0),"ERROR"))</f>
        <v>4.3553770663386046E-2</v>
      </c>
      <c r="P24" s="28"/>
    </row>
    <row r="25" spans="1:16" x14ac:dyDescent="0.25">
      <c r="A25" s="25"/>
      <c r="B25" s="8" t="str">
        <f>VLOOKUP($B$16,DISTRICT_RO[],10,0)</f>
        <v>Philadelphia VSC</v>
      </c>
      <c r="C25" s="155">
        <f>IF($B25=" ","",IFERROR(INDEX(MMWR_RATING_RO_ROLLUP[],MATCH($B25,MMWR_RATING_RO_ROLLUP[MMWR_RATING_RO_ROLLUP],0),MATCH(C$9,MMWR_RATING_RO_ROLLUP[#Headers],0)),"ERROR"))</f>
        <v>7839</v>
      </c>
      <c r="D25" s="156">
        <f>IF($B25=" ","",IFERROR(INDEX(MMWR_RATING_RO_ROLLUP[],MATCH($B25,MMWR_RATING_RO_ROLLUP[MMWR_RATING_RO_ROLLUP],0),MATCH(D$9,MMWR_RATING_RO_ROLLUP[#Headers],0)),"ERROR"))</f>
        <v>131.2274524812</v>
      </c>
      <c r="E25" s="157">
        <f>IF($B25=" ","",IFERROR(INDEX(MMWR_RATING_RO_ROLLUP[],MATCH($B25,MMWR_RATING_RO_ROLLUP[MMWR_RATING_RO_ROLLUP],0),MATCH(E$9,MMWR_RATING_RO_ROLLUP[#Headers],0))/$C25,"ERROR"))</f>
        <v>0.37568567419313686</v>
      </c>
      <c r="F25" s="155">
        <f>IF($B25=" ","",IFERROR(INDEX(MMWR_RATING_RO_ROLLUP[],MATCH($B25,MMWR_RATING_RO_ROLLUP[MMWR_RATING_RO_ROLLUP],0),MATCH(F$9,MMWR_RATING_RO_ROLLUP[#Headers],0)),"ERROR"))</f>
        <v>2329</v>
      </c>
      <c r="G25" s="155">
        <f>IF($B25=" ","",IFERROR(INDEX(MMWR_RATING_RO_ROLLUP[],MATCH($B25,MMWR_RATING_RO_ROLLUP[MMWR_RATING_RO_ROLLUP],0),MATCH(G$9,MMWR_RATING_RO_ROLLUP[#Headers],0)),"ERROR"))</f>
        <v>27540</v>
      </c>
      <c r="H25" s="156">
        <f>IF($B25=" ","",IFERROR(INDEX(MMWR_RATING_RO_ROLLUP[],MATCH($B25,MMWR_RATING_RO_ROLLUP[MMWR_RATING_RO_ROLLUP],0),MATCH(H$9,MMWR_RATING_RO_ROLLUP[#Headers],0)),"ERROR"))</f>
        <v>171.6848432804</v>
      </c>
      <c r="I25" s="156">
        <f>IF($B25=" ","",IFERROR(INDEX(MMWR_RATING_RO_ROLLUP[],MATCH($B25,MMWR_RATING_RO_ROLLUP[MMWR_RATING_RO_ROLLUP],0),MATCH(I$9,MMWR_RATING_RO_ROLLUP[#Headers],0)),"ERROR"))</f>
        <v>225.11314451710001</v>
      </c>
      <c r="J25" s="160">
        <f>IF($B25=" ","",IFERROR(VLOOKUP($B25,MMWR_ACCURACY_RO[],MATCH(J$9,MMWR_ACCURACY_RO[#Headers],0),0),"ERROR"))</f>
        <v>0.95339916421216919</v>
      </c>
      <c r="K25" s="160">
        <f>IF($B25=" ","",IFERROR(VLOOKUP($B25,MMWR_ACCURACY_RO[],MATCH(K$9,MMWR_ACCURACY_RO[#Headers],0),0),"ERROR"))</f>
        <v>0.91084966635223419</v>
      </c>
      <c r="L25" s="160">
        <f>IF($B25=" ","",IFERROR(VLOOKUP($B25,MMWR_ACCURACY_RO[],MATCH(L$9,MMWR_ACCURACY_RO[#Headers],0),0),"ERROR"))</f>
        <v>0.87681282287685147</v>
      </c>
      <c r="M25" s="160">
        <f>IF($B25=" ","",IFERROR(VLOOKUP($B25,MMWR_ACCURACY_RO[],MATCH(M$9,MMWR_ACCURACY_RO[#Headers],0),0),"ERROR"))</f>
        <v>4.7229135821489902E-2</v>
      </c>
      <c r="N25" s="160">
        <f>IF($B25=" ","",IFERROR(VLOOKUP($B25,MMWR_ACCURACY_RO[],MATCH(N$9,MMWR_ACCURACY_RO[#Headers],0),0),"ERROR"))</f>
        <v>0.9132764718463211</v>
      </c>
      <c r="O25" s="160">
        <f>IF($B25=" ","",IFERROR(VLOOKUP($B25,MMWR_ACCURACY_RO[],MATCH(O$9,MMWR_ACCURACY_RO[#Headers],0),0),"ERROR"))</f>
        <v>4.5010074060673588E-2</v>
      </c>
      <c r="P25" s="28"/>
    </row>
    <row r="26" spans="1:16" x14ac:dyDescent="0.25">
      <c r="A26" s="25"/>
      <c r="B26" s="8" t="str">
        <f>VLOOKUP($B$16,DISTRICT_RO[],11,0)</f>
        <v>Pittsburgh VSC</v>
      </c>
      <c r="C26" s="155">
        <f>IF($B26=" ","",IFERROR(INDEX(MMWR_RATING_RO_ROLLUP[],MATCH($B26,MMWR_RATING_RO_ROLLUP[MMWR_RATING_RO_ROLLUP],0),MATCH(C$9,MMWR_RATING_RO_ROLLUP[#Headers],0)),"ERROR"))</f>
        <v>4723</v>
      </c>
      <c r="D26" s="156">
        <f>IF($B26=" ","",IFERROR(INDEX(MMWR_RATING_RO_ROLLUP[],MATCH($B26,MMWR_RATING_RO_ROLLUP[MMWR_RATING_RO_ROLLUP],0),MATCH(D$9,MMWR_RATING_RO_ROLLUP[#Headers],0)),"ERROR"))</f>
        <v>133.72623332629999</v>
      </c>
      <c r="E26" s="157">
        <f>IF($B26=" ","",IFERROR(INDEX(MMWR_RATING_RO_ROLLUP[],MATCH($B26,MMWR_RATING_RO_ROLLUP[MMWR_RATING_RO_ROLLUP],0),MATCH(E$9,MMWR_RATING_RO_ROLLUP[#Headers],0))/$C26,"ERROR"))</f>
        <v>0.35125979250476391</v>
      </c>
      <c r="F26" s="155">
        <f>IF($B26=" ","",IFERROR(INDEX(MMWR_RATING_RO_ROLLUP[],MATCH($B26,MMWR_RATING_RO_ROLLUP[MMWR_RATING_RO_ROLLUP],0),MATCH(F$9,MMWR_RATING_RO_ROLLUP[#Headers],0)),"ERROR"))</f>
        <v>951</v>
      </c>
      <c r="G26" s="155">
        <f>IF($B26=" ","",IFERROR(INDEX(MMWR_RATING_RO_ROLLUP[],MATCH($B26,MMWR_RATING_RO_ROLLUP[MMWR_RATING_RO_ROLLUP],0),MATCH(G$9,MMWR_RATING_RO_ROLLUP[#Headers],0)),"ERROR"))</f>
        <v>10844</v>
      </c>
      <c r="H26" s="156">
        <f>IF($B26=" ","",IFERROR(INDEX(MMWR_RATING_RO_ROLLUP[],MATCH($B26,MMWR_RATING_RO_ROLLUP[MMWR_RATING_RO_ROLLUP],0),MATCH(H$9,MMWR_RATING_RO_ROLLUP[#Headers],0)),"ERROR"))</f>
        <v>191.356466877</v>
      </c>
      <c r="I26" s="156">
        <f>IF($B26=" ","",IFERROR(INDEX(MMWR_RATING_RO_ROLLUP[],MATCH($B26,MMWR_RATING_RO_ROLLUP[MMWR_RATING_RO_ROLLUP],0),MATCH(I$9,MMWR_RATING_RO_ROLLUP[#Headers],0)),"ERROR"))</f>
        <v>204.89118406489999</v>
      </c>
      <c r="J26" s="160">
        <f>IF($B26=" ","",IFERROR(VLOOKUP($B26,MMWR_ACCURACY_RO[],MATCH(J$9,MMWR_ACCURACY_RO[#Headers],0),0),"ERROR"))</f>
        <v>0.95914265536095789</v>
      </c>
      <c r="K26" s="160">
        <f>IF($B26=" ","",IFERROR(VLOOKUP($B26,MMWR_ACCURACY_RO[],MATCH(K$9,MMWR_ACCURACY_RO[#Headers],0),0),"ERROR"))</f>
        <v>0.90262857142857145</v>
      </c>
      <c r="L26" s="160">
        <f>IF($B26=" ","",IFERROR(VLOOKUP($B26,MMWR_ACCURACY_RO[],MATCH(L$9,MMWR_ACCURACY_RO[#Headers],0),0),"ERROR"))</f>
        <v>0.90275422375535852</v>
      </c>
      <c r="M26" s="160">
        <f>IF($B26=" ","",IFERROR(VLOOKUP($B26,MMWR_ACCURACY_RO[],MATCH(M$9,MMWR_ACCURACY_RO[#Headers],0),0),"ERROR"))</f>
        <v>4.4725363827753599E-2</v>
      </c>
      <c r="N26" s="160">
        <f>IF($B26=" ","",IFERROR(VLOOKUP($B26,MMWR_ACCURACY_RO[],MATCH(N$9,MMWR_ACCURACY_RO[#Headers],0),0),"ERROR"))</f>
        <v>0.93275407278698108</v>
      </c>
      <c r="O26" s="160">
        <f>IF($B26=" ","",IFERROR(VLOOKUP($B26,MMWR_ACCURACY_RO[],MATCH(O$9,MMWR_ACCURACY_RO[#Headers],0),0),"ERROR"))</f>
        <v>4.0793681728530796E-2</v>
      </c>
      <c r="P26" s="28"/>
    </row>
    <row r="27" spans="1:16" x14ac:dyDescent="0.25">
      <c r="A27" s="25"/>
      <c r="B27" s="8" t="str">
        <f>VLOOKUP($B$16,DISTRICT_RO[],12,0)</f>
        <v>Providence VSC</v>
      </c>
      <c r="C27" s="155">
        <f>IF($B27=" ","",IFERROR(INDEX(MMWR_RATING_RO_ROLLUP[],MATCH($B27,MMWR_RATING_RO_ROLLUP[MMWR_RATING_RO_ROLLUP],0),MATCH(C$9,MMWR_RATING_RO_ROLLUP[#Headers],0)),"ERROR"))</f>
        <v>3098</v>
      </c>
      <c r="D27" s="156">
        <f>IF($B27=" ","",IFERROR(INDEX(MMWR_RATING_RO_ROLLUP[],MATCH($B27,MMWR_RATING_RO_ROLLUP[MMWR_RATING_RO_ROLLUP],0),MATCH(D$9,MMWR_RATING_RO_ROLLUP[#Headers],0)),"ERROR"))</f>
        <v>138.21045836019999</v>
      </c>
      <c r="E27" s="157">
        <f>IF($B27=" ","",IFERROR(INDEX(MMWR_RATING_RO_ROLLUP[],MATCH($B27,MMWR_RATING_RO_ROLLUP[MMWR_RATING_RO_ROLLUP],0),MATCH(E$9,MMWR_RATING_RO_ROLLUP[#Headers],0))/$C27,"ERROR"))</f>
        <v>0.40219496449322145</v>
      </c>
      <c r="F27" s="155">
        <f>IF($B27=" ","",IFERROR(INDEX(MMWR_RATING_RO_ROLLUP[],MATCH($B27,MMWR_RATING_RO_ROLLUP[MMWR_RATING_RO_ROLLUP],0),MATCH(F$9,MMWR_RATING_RO_ROLLUP[#Headers],0)),"ERROR"))</f>
        <v>2166</v>
      </c>
      <c r="G27" s="155">
        <f>IF($B27=" ","",IFERROR(INDEX(MMWR_RATING_RO_ROLLUP[],MATCH($B27,MMWR_RATING_RO_ROLLUP[MMWR_RATING_RO_ROLLUP],0),MATCH(G$9,MMWR_RATING_RO_ROLLUP[#Headers],0)),"ERROR"))</f>
        <v>27490</v>
      </c>
      <c r="H27" s="156">
        <f>IF($B27=" ","",IFERROR(INDEX(MMWR_RATING_RO_ROLLUP[],MATCH($B27,MMWR_RATING_RO_ROLLUP[MMWR_RATING_RO_ROLLUP],0),MATCH(H$9,MMWR_RATING_RO_ROLLUP[#Headers],0)),"ERROR"))</f>
        <v>91.576177285300005</v>
      </c>
      <c r="I27" s="156">
        <f>IF($B27=" ","",IFERROR(INDEX(MMWR_RATING_RO_ROLLUP[],MATCH($B27,MMWR_RATING_RO_ROLLUP[MMWR_RATING_RO_ROLLUP],0),MATCH(I$9,MMWR_RATING_RO_ROLLUP[#Headers],0)),"ERROR"))</f>
        <v>86.1145871226</v>
      </c>
      <c r="J27" s="160">
        <f>IF($B27=" ","",IFERROR(VLOOKUP($B27,MMWR_ACCURACY_RO[],MATCH(J$9,MMWR_ACCURACY_RO[#Headers],0),0),"ERROR"))</f>
        <v>0.96170220080560609</v>
      </c>
      <c r="K27" s="160">
        <f>IF($B27=" ","",IFERROR(VLOOKUP($B27,MMWR_ACCURACY_RO[],MATCH(K$9,MMWR_ACCURACY_RO[#Headers],0),0),"ERROR"))</f>
        <v>0.83831604636973767</v>
      </c>
      <c r="L27" s="160">
        <f>IF($B27=" ","",IFERROR(VLOOKUP($B27,MMWR_ACCURACY_RO[],MATCH(L$9,MMWR_ACCURACY_RO[#Headers],0),0),"ERROR"))</f>
        <v>0.87284225371367308</v>
      </c>
      <c r="M27" s="160">
        <f>IF($B27=" ","",IFERROR(VLOOKUP($B27,MMWR_ACCURACY_RO[],MATCH(M$9,MMWR_ACCURACY_RO[#Headers],0),0),"ERROR"))</f>
        <v>5.5146907500185804E-2</v>
      </c>
      <c r="N27" s="160">
        <f>IF($B27=" ","",IFERROR(VLOOKUP($B27,MMWR_ACCURACY_RO[],MATCH(N$9,MMWR_ACCURACY_RO[#Headers],0),0),"ERROR"))</f>
        <v>0.95333317161131736</v>
      </c>
      <c r="O27" s="160">
        <f>IF($B27=" ","",IFERROR(VLOOKUP($B27,MMWR_ACCURACY_RO[],MATCH(O$9,MMWR_ACCURACY_RO[#Headers],0),0),"ERROR"))</f>
        <v>3.776793994045647E-2</v>
      </c>
      <c r="P27" s="28"/>
    </row>
    <row r="28" spans="1:16" x14ac:dyDescent="0.25">
      <c r="A28" s="25"/>
      <c r="B28" s="8" t="str">
        <f>VLOOKUP($B$16,DISTRICT_RO[],13,0)</f>
        <v>Roanoke VSC</v>
      </c>
      <c r="C28" s="155">
        <f>IF($B28=" ","",IFERROR(INDEX(MMWR_RATING_RO_ROLLUP[],MATCH($B28,MMWR_RATING_RO_ROLLUP[MMWR_RATING_RO_ROLLUP],0),MATCH(C$9,MMWR_RATING_RO_ROLLUP[#Headers],0)),"ERROR"))</f>
        <v>10361</v>
      </c>
      <c r="D28" s="156">
        <f>IF($B28=" ","",IFERROR(INDEX(MMWR_RATING_RO_ROLLUP[],MATCH($B28,MMWR_RATING_RO_ROLLUP[MMWR_RATING_RO_ROLLUP],0),MATCH(D$9,MMWR_RATING_RO_ROLLUP[#Headers],0)),"ERROR"))</f>
        <v>89.847505067100002</v>
      </c>
      <c r="E28" s="157">
        <f>IF($B28=" ","",IFERROR(INDEX(MMWR_RATING_RO_ROLLUP[],MATCH($B28,MMWR_RATING_RO_ROLLUP[MMWR_RATING_RO_ROLLUP],0),MATCH(E$9,MMWR_RATING_RO_ROLLUP[#Headers],0))/$C28,"ERROR"))</f>
        <v>0.20470997008010811</v>
      </c>
      <c r="F28" s="155">
        <f>IF($B28=" ","",IFERROR(INDEX(MMWR_RATING_RO_ROLLUP[],MATCH($B28,MMWR_RATING_RO_ROLLUP[MMWR_RATING_RO_ROLLUP],0),MATCH(F$9,MMWR_RATING_RO_ROLLUP[#Headers],0)),"ERROR"))</f>
        <v>3358</v>
      </c>
      <c r="G28" s="155">
        <f>IF($B28=" ","",IFERROR(INDEX(MMWR_RATING_RO_ROLLUP[],MATCH($B28,MMWR_RATING_RO_ROLLUP[MMWR_RATING_RO_ROLLUP],0),MATCH(G$9,MMWR_RATING_RO_ROLLUP[#Headers],0)),"ERROR"))</f>
        <v>34722</v>
      </c>
      <c r="H28" s="156">
        <f>IF($B28=" ","",IFERROR(INDEX(MMWR_RATING_RO_ROLLUP[],MATCH($B28,MMWR_RATING_RO_ROLLUP[MMWR_RATING_RO_ROLLUP],0),MATCH(H$9,MMWR_RATING_RO_ROLLUP[#Headers],0)),"ERROR"))</f>
        <v>158.86033353190001</v>
      </c>
      <c r="I28" s="156">
        <f>IF($B28=" ","",IFERROR(INDEX(MMWR_RATING_RO_ROLLUP[],MATCH($B28,MMWR_RATING_RO_ROLLUP[MMWR_RATING_RO_ROLLUP],0),MATCH(I$9,MMWR_RATING_RO_ROLLUP[#Headers],0)),"ERROR"))</f>
        <v>196.54322907669999</v>
      </c>
      <c r="J28" s="160">
        <f>IF($B28=" ","",IFERROR(VLOOKUP($B28,MMWR_ACCURACY_RO[],MATCH(J$9,MMWR_ACCURACY_RO[#Headers],0),0),"ERROR"))</f>
        <v>0.97028414686982167</v>
      </c>
      <c r="K28" s="160">
        <f>IF($B28=" ","",IFERROR(VLOOKUP($B28,MMWR_ACCURACY_RO[],MATCH(K$9,MMWR_ACCURACY_RO[#Headers],0),0),"ERROR"))</f>
        <v>0.89088285688520163</v>
      </c>
      <c r="L28" s="160">
        <f>IF($B28=" ","",IFERROR(VLOOKUP($B28,MMWR_ACCURACY_RO[],MATCH(L$9,MMWR_ACCURACY_RO[#Headers],0),0),"ERROR"))</f>
        <v>0.9108343084831767</v>
      </c>
      <c r="M28" s="160">
        <f>IF($B28=" ","",IFERROR(VLOOKUP($B28,MMWR_ACCURACY_RO[],MATCH(M$9,MMWR_ACCURACY_RO[#Headers],0),0),"ERROR"))</f>
        <v>4.6327199228885195E-2</v>
      </c>
      <c r="N28" s="160">
        <f>IF($B28=" ","",IFERROR(VLOOKUP($B28,MMWR_ACCURACY_RO[],MATCH(N$9,MMWR_ACCURACY_RO[#Headers],0),0),"ERROR"))</f>
        <v>0.93104003136573199</v>
      </c>
      <c r="O28" s="160">
        <f>IF($B28=" ","",IFERROR(VLOOKUP($B28,MMWR_ACCURACY_RO[],MATCH(O$9,MMWR_ACCURACY_RO[#Headers],0),0),"ERROR"))</f>
        <v>4.1393317421084104E-2</v>
      </c>
      <c r="P28" s="28"/>
    </row>
    <row r="29" spans="1:16" x14ac:dyDescent="0.25">
      <c r="A29" s="25"/>
      <c r="B29" s="8" t="str">
        <f>VLOOKUP($B$16,DISTRICT_RO[],14,0)</f>
        <v>Togus VSC</v>
      </c>
      <c r="C29" s="155">
        <f>IF($B29=" ","",IFERROR(INDEX(MMWR_RATING_RO_ROLLUP[],MATCH($B29,MMWR_RATING_RO_ROLLUP[MMWR_RATING_RO_ROLLUP],0),MATCH(C$9,MMWR_RATING_RO_ROLLUP[#Headers],0)),"ERROR"))</f>
        <v>4284</v>
      </c>
      <c r="D29" s="156">
        <f>IF($B29=" ","",IFERROR(INDEX(MMWR_RATING_RO_ROLLUP[],MATCH($B29,MMWR_RATING_RO_ROLLUP[MMWR_RATING_RO_ROLLUP],0),MATCH(D$9,MMWR_RATING_RO_ROLLUP[#Headers],0)),"ERROR"))</f>
        <v>117.1554621849</v>
      </c>
      <c r="E29" s="157">
        <f>IF($B29=" ","",IFERROR(INDEX(MMWR_RATING_RO_ROLLUP[],MATCH($B29,MMWR_RATING_RO_ROLLUP[MMWR_RATING_RO_ROLLUP],0),MATCH(E$9,MMWR_RATING_RO_ROLLUP[#Headers],0))/$C29,"ERROR"))</f>
        <v>0.28034547152194211</v>
      </c>
      <c r="F29" s="155">
        <f>IF($B29=" ","",IFERROR(INDEX(MMWR_RATING_RO_ROLLUP[],MATCH($B29,MMWR_RATING_RO_ROLLUP[MMWR_RATING_RO_ROLLUP],0),MATCH(F$9,MMWR_RATING_RO_ROLLUP[#Headers],0)),"ERROR"))</f>
        <v>1664</v>
      </c>
      <c r="G29" s="155">
        <f>IF($B29=" ","",IFERROR(INDEX(MMWR_RATING_RO_ROLLUP[],MATCH($B29,MMWR_RATING_RO_ROLLUP[MMWR_RATING_RO_ROLLUP],0),MATCH(G$9,MMWR_RATING_RO_ROLLUP[#Headers],0)),"ERROR"))</f>
        <v>18237</v>
      </c>
      <c r="H29" s="156">
        <f>IF($B29=" ","",IFERROR(INDEX(MMWR_RATING_RO_ROLLUP[],MATCH($B29,MMWR_RATING_RO_ROLLUP[MMWR_RATING_RO_ROLLUP],0),MATCH(H$9,MMWR_RATING_RO_ROLLUP[#Headers],0)),"ERROR"))</f>
        <v>177.5306490385</v>
      </c>
      <c r="I29" s="156">
        <f>IF($B29=" ","",IFERROR(INDEX(MMWR_RATING_RO_ROLLUP[],MATCH($B29,MMWR_RATING_RO_ROLLUP[MMWR_RATING_RO_ROLLUP],0),MATCH(I$9,MMWR_RATING_RO_ROLLUP[#Headers],0)),"ERROR"))</f>
        <v>210.7195262379</v>
      </c>
      <c r="J29" s="160">
        <f>IF($B29=" ","",IFERROR(VLOOKUP($B29,MMWR_ACCURACY_RO[],MATCH(J$9,MMWR_ACCURACY_RO[#Headers],0),0),"ERROR"))</f>
        <v>0.97216825069015667</v>
      </c>
      <c r="K29" s="160">
        <f>IF($B29=" ","",IFERROR(VLOOKUP($B29,MMWR_ACCURACY_RO[],MATCH(K$9,MMWR_ACCURACY_RO[#Headers],0),0),"ERROR"))</f>
        <v>0.87072751809593907</v>
      </c>
      <c r="L29" s="160">
        <f>IF($B29=" ","",IFERROR(VLOOKUP($B29,MMWR_ACCURACY_RO[],MATCH(L$9,MMWR_ACCURACY_RO[#Headers],0),0),"ERROR"))</f>
        <v>0.88527238196198121</v>
      </c>
      <c r="M29" s="160">
        <f>IF($B29=" ","",IFERROR(VLOOKUP($B29,MMWR_ACCURACY_RO[],MATCH(M$9,MMWR_ACCURACY_RO[#Headers],0),0),"ERROR"))</f>
        <v>5.3904934598517758E-2</v>
      </c>
      <c r="N29" s="160">
        <f>IF($B29=" ","",IFERROR(VLOOKUP($B29,MMWR_ACCURACY_RO[],MATCH(N$9,MMWR_ACCURACY_RO[#Headers],0),0),"ERROR"))</f>
        <v>0.95207134517653547</v>
      </c>
      <c r="O29" s="160">
        <f>IF($B29=" ","",IFERROR(VLOOKUP($B29,MMWR_ACCURACY_RO[],MATCH(O$9,MMWR_ACCURACY_RO[#Headers],0),0),"ERROR"))</f>
        <v>3.7256718307833621E-2</v>
      </c>
      <c r="P29" s="28"/>
    </row>
    <row r="30" spans="1:16" x14ac:dyDescent="0.25">
      <c r="A30" s="25"/>
      <c r="B30" s="8" t="str">
        <f>VLOOKUP($B$16,DISTRICT_RO[],15,0)</f>
        <v>White River Junction VSC</v>
      </c>
      <c r="C30" s="155">
        <f>IF($B30=" ","",IFERROR(INDEX(MMWR_RATING_RO_ROLLUP[],MATCH($B30,MMWR_RATING_RO_ROLLUP[MMWR_RATING_RO_ROLLUP],0),MATCH(C$9,MMWR_RATING_RO_ROLLUP[#Headers],0)),"ERROR"))</f>
        <v>651</v>
      </c>
      <c r="D30" s="156">
        <f>IF($B30=" ","",IFERROR(INDEX(MMWR_RATING_RO_ROLLUP[],MATCH($B30,MMWR_RATING_RO_ROLLUP[MMWR_RATING_RO_ROLLUP],0),MATCH(D$9,MMWR_RATING_RO_ROLLUP[#Headers],0)),"ERROR"))</f>
        <v>118.1674347158</v>
      </c>
      <c r="E30" s="157">
        <f>IF($B30=" ","",IFERROR(INDEX(MMWR_RATING_RO_ROLLUP[],MATCH($B30,MMWR_RATING_RO_ROLLUP[MMWR_RATING_RO_ROLLUP],0),MATCH(E$9,MMWR_RATING_RO_ROLLUP[#Headers],0))/$C30,"ERROR"))</f>
        <v>0.39631336405529954</v>
      </c>
      <c r="F30" s="155">
        <f>IF($B30=" ","",IFERROR(INDEX(MMWR_RATING_RO_ROLLUP[],MATCH($B30,MMWR_RATING_RO_ROLLUP[MMWR_RATING_RO_ROLLUP],0),MATCH(F$9,MMWR_RATING_RO_ROLLUP[#Headers],0)),"ERROR"))</f>
        <v>184</v>
      </c>
      <c r="G30" s="155">
        <f>IF($B30=" ","",IFERROR(INDEX(MMWR_RATING_RO_ROLLUP[],MATCH($B30,MMWR_RATING_RO_ROLLUP[MMWR_RATING_RO_ROLLUP],0),MATCH(G$9,MMWR_RATING_RO_ROLLUP[#Headers],0)),"ERROR"))</f>
        <v>2185</v>
      </c>
      <c r="H30" s="156">
        <f>IF($B30=" ","",IFERROR(INDEX(MMWR_RATING_RO_ROLLUP[],MATCH($B30,MMWR_RATING_RO_ROLLUP[MMWR_RATING_RO_ROLLUP],0),MATCH(H$9,MMWR_RATING_RO_ROLLUP[#Headers],0)),"ERROR"))</f>
        <v>152.59782608699999</v>
      </c>
      <c r="I30" s="156">
        <f>IF($B30=" ","",IFERROR(INDEX(MMWR_RATING_RO_ROLLUP[],MATCH($B30,MMWR_RATING_RO_ROLLUP[MMWR_RATING_RO_ROLLUP],0),MATCH(I$9,MMWR_RATING_RO_ROLLUP[#Headers],0)),"ERROR"))</f>
        <v>187.84576659039999</v>
      </c>
      <c r="J30" s="160">
        <f>IF($B30=" ","",IFERROR(VLOOKUP($B30,MMWR_ACCURACY_RO[],MATCH(J$9,MMWR_ACCURACY_RO[#Headers],0),0),"ERROR"))</f>
        <v>0.93122995629450489</v>
      </c>
      <c r="K30" s="160">
        <f>IF($B30=" ","",IFERROR(VLOOKUP($B30,MMWR_ACCURACY_RO[],MATCH(K$9,MMWR_ACCURACY_RO[#Headers],0),0),"ERROR"))</f>
        <v>0.86016865079365079</v>
      </c>
      <c r="L30" s="160">
        <f>IF($B30=" ","",IFERROR(VLOOKUP($B30,MMWR_ACCURACY_RO[],MATCH(L$9,MMWR_ACCURACY_RO[#Headers],0),0),"ERROR"))</f>
        <v>0.83642540469528082</v>
      </c>
      <c r="M30" s="160">
        <f>IF($B30=" ","",IFERROR(VLOOKUP($B30,MMWR_ACCURACY_RO[],MATCH(M$9,MMWR_ACCURACY_RO[#Headers],0),0),"ERROR"))</f>
        <v>5.1250249650439839E-2</v>
      </c>
      <c r="N30" s="160">
        <f>IF($B30=" ","",IFERROR(VLOOKUP($B30,MMWR_ACCURACY_RO[],MATCH(N$9,MMWR_ACCURACY_RO[#Headers],0),0),"ERROR"))</f>
        <v>0.89578717977998545</v>
      </c>
      <c r="O30" s="160">
        <f>IF($B30=" ","",IFERROR(VLOOKUP($B30,MMWR_ACCURACY_RO[],MATCH(O$9,MMWR_ACCURACY_RO[#Headers],0),0),"ERROR"))</f>
        <v>3.1792449818775097E-2</v>
      </c>
      <c r="P30" s="28"/>
    </row>
    <row r="31" spans="1:16" x14ac:dyDescent="0.25">
      <c r="A31" s="25"/>
      <c r="B31" s="8" t="str">
        <f>VLOOKUP($B$16,DISTRICT_RO[],16,0)</f>
        <v>Wilmington VSC</v>
      </c>
      <c r="C31" s="155">
        <f>IF($B31=" ","",IFERROR(INDEX(MMWR_RATING_RO_ROLLUP[],MATCH($B31,MMWR_RATING_RO_ROLLUP[MMWR_RATING_RO_ROLLUP],0),MATCH(C$9,MMWR_RATING_RO_ROLLUP[#Headers],0)),"ERROR"))</f>
        <v>594</v>
      </c>
      <c r="D31" s="156">
        <f>IF($B31=" ","",IFERROR(INDEX(MMWR_RATING_RO_ROLLUP[],MATCH($B31,MMWR_RATING_RO_ROLLUP[MMWR_RATING_RO_ROLLUP],0),MATCH(D$9,MMWR_RATING_RO_ROLLUP[#Headers],0)),"ERROR"))</f>
        <v>93.378787878799997</v>
      </c>
      <c r="E31" s="157">
        <f>IF($B31=" ","",IFERROR(INDEX(MMWR_RATING_RO_ROLLUP[],MATCH($B31,MMWR_RATING_RO_ROLLUP[MMWR_RATING_RO_ROLLUP],0),MATCH(E$9,MMWR_RATING_RO_ROLLUP[#Headers],0))/$C31,"ERROR"))</f>
        <v>0.20707070707070707</v>
      </c>
      <c r="F31" s="155">
        <f>IF($B31=" ","",IFERROR(INDEX(MMWR_RATING_RO_ROLLUP[],MATCH($B31,MMWR_RATING_RO_ROLLUP[MMWR_RATING_RO_ROLLUP],0),MATCH(F$9,MMWR_RATING_RO_ROLLUP[#Headers],0)),"ERROR"))</f>
        <v>147</v>
      </c>
      <c r="G31" s="155">
        <f>IF($B31=" ","",IFERROR(INDEX(MMWR_RATING_RO_ROLLUP[],MATCH($B31,MMWR_RATING_RO_ROLLUP[MMWR_RATING_RO_ROLLUP],0),MATCH(G$9,MMWR_RATING_RO_ROLLUP[#Headers],0)),"ERROR"))</f>
        <v>1947</v>
      </c>
      <c r="H31" s="156">
        <f>IF($B31=" ","",IFERROR(INDEX(MMWR_RATING_RO_ROLLUP[],MATCH($B31,MMWR_RATING_RO_ROLLUP[MMWR_RATING_RO_ROLLUP],0),MATCH(H$9,MMWR_RATING_RO_ROLLUP[#Headers],0)),"ERROR"))</f>
        <v>205.80272108840001</v>
      </c>
      <c r="I31" s="156">
        <f>IF($B31=" ","",IFERROR(INDEX(MMWR_RATING_RO_ROLLUP[],MATCH($B31,MMWR_RATING_RO_ROLLUP[MMWR_RATING_RO_ROLLUP],0),MATCH(I$9,MMWR_RATING_RO_ROLLUP[#Headers],0)),"ERROR"))</f>
        <v>228.51823317930001</v>
      </c>
      <c r="J31" s="160">
        <f>IF($B31=" ","",IFERROR(VLOOKUP($B31,MMWR_ACCURACY_RO[],MATCH(J$9,MMWR_ACCURACY_RO[#Headers],0),0),"ERROR"))</f>
        <v>0.90053841612252272</v>
      </c>
      <c r="K31" s="160">
        <f>IF($B31=" ","",IFERROR(VLOOKUP($B31,MMWR_ACCURACY_RO[],MATCH(K$9,MMWR_ACCURACY_RO[#Headers],0),0),"ERROR"))</f>
        <v>0.82313105326876523</v>
      </c>
      <c r="L31" s="160">
        <f>IF($B31=" ","",IFERROR(VLOOKUP($B31,MMWR_ACCURACY_RO[],MATCH(L$9,MMWR_ACCURACY_RO[#Headers],0),0),"ERROR"))</f>
        <v>0.8658925122439125</v>
      </c>
      <c r="M31" s="160">
        <f>IF($B31=" ","",IFERROR(VLOOKUP($B31,MMWR_ACCURACY_RO[],MATCH(M$9,MMWR_ACCURACY_RO[#Headers],0),0),"ERROR"))</f>
        <v>4.3207438523814402E-2</v>
      </c>
      <c r="N31" s="160">
        <f>IF($B31=" ","",IFERROR(VLOOKUP($B31,MMWR_ACCURACY_RO[],MATCH(N$9,MMWR_ACCURACY_RO[#Headers],0),0),"ERROR"))</f>
        <v>0.90125622698722097</v>
      </c>
      <c r="O31" s="160">
        <f>IF($B31=" ","",IFERROR(VLOOKUP($B31,MMWR_ACCURACY_RO[],MATCH(O$9,MMWR_ACCURACY_RO[#Headers],0),0),"ERROR"))</f>
        <v>4.6341368632415648E-2</v>
      </c>
      <c r="P31" s="28"/>
    </row>
    <row r="32" spans="1:16" x14ac:dyDescent="0.25">
      <c r="A32" s="25"/>
      <c r="B32" s="8" t="str">
        <f>VLOOKUP($B$16,DISTRICT_RO[],17,0)</f>
        <v>Winston-Salem VSC</v>
      </c>
      <c r="C32" s="155">
        <f>IF($B32=" ","",IFERROR(INDEX(MMWR_RATING_RO_ROLLUP[],MATCH($B32,MMWR_RATING_RO_ROLLUP[MMWR_RATING_RO_ROLLUP],0),MATCH(C$9,MMWR_RATING_RO_ROLLUP[#Headers],0)),"ERROR"))</f>
        <v>13558</v>
      </c>
      <c r="D32" s="156">
        <f>IF($B32=" ","",IFERROR(INDEX(MMWR_RATING_RO_ROLLUP[],MATCH($B32,MMWR_RATING_RO_ROLLUP[MMWR_RATING_RO_ROLLUP],0),MATCH(D$9,MMWR_RATING_RO_ROLLUP[#Headers],0)),"ERROR"))</f>
        <v>96.455450656400004</v>
      </c>
      <c r="E32" s="157">
        <f>IF($B32=" ","",IFERROR(INDEX(MMWR_RATING_RO_ROLLUP[],MATCH($B32,MMWR_RATING_RO_ROLLUP[MMWR_RATING_RO_ROLLUP],0),MATCH(E$9,MMWR_RATING_RO_ROLLUP[#Headers],0))/$C32,"ERROR"))</f>
        <v>0.23344151054727835</v>
      </c>
      <c r="F32" s="155">
        <f>IF($B32=" ","",IFERROR(INDEX(MMWR_RATING_RO_ROLLUP[],MATCH($B32,MMWR_RATING_RO_ROLLUP[MMWR_RATING_RO_ROLLUP],0),MATCH(F$9,MMWR_RATING_RO_ROLLUP[#Headers],0)),"ERROR"))</f>
        <v>2988</v>
      </c>
      <c r="G32" s="155">
        <f>IF($B32=" ","",IFERROR(INDEX(MMWR_RATING_RO_ROLLUP[],MATCH($B32,MMWR_RATING_RO_ROLLUP[MMWR_RATING_RO_ROLLUP],0),MATCH(G$9,MMWR_RATING_RO_ROLLUP[#Headers],0)),"ERROR"))</f>
        <v>37166</v>
      </c>
      <c r="H32" s="156">
        <f>IF($B32=" ","",IFERROR(INDEX(MMWR_RATING_RO_ROLLUP[],MATCH($B32,MMWR_RATING_RO_ROLLUP[MMWR_RATING_RO_ROLLUP],0),MATCH(H$9,MMWR_RATING_RO_ROLLUP[#Headers],0)),"ERROR"))</f>
        <v>169.26271753680001</v>
      </c>
      <c r="I32" s="156">
        <f>IF($B32=" ","",IFERROR(INDEX(MMWR_RATING_RO_ROLLUP[],MATCH($B32,MMWR_RATING_RO_ROLLUP[MMWR_RATING_RO_ROLLUP],0),MATCH(I$9,MMWR_RATING_RO_ROLLUP[#Headers],0)),"ERROR"))</f>
        <v>210.37364795779999</v>
      </c>
      <c r="J32" s="160">
        <f>IF($B32=" ","",IFERROR(VLOOKUP($B32,MMWR_ACCURACY_RO[],MATCH(J$9,MMWR_ACCURACY_RO[#Headers],0),0),"ERROR"))</f>
        <v>0.94515933903599847</v>
      </c>
      <c r="K32" s="160">
        <f>IF($B32=" ","",IFERROR(VLOOKUP($B32,MMWR_ACCURACY_RO[],MATCH(K$9,MMWR_ACCURACY_RO[#Headers],0),0),"ERROR"))</f>
        <v>0.79584413289349665</v>
      </c>
      <c r="L32" s="160">
        <f>IF($B32=" ","",IFERROR(VLOOKUP($B32,MMWR_ACCURACY_RO[],MATCH(L$9,MMWR_ACCURACY_RO[#Headers],0),0),"ERROR"))</f>
        <v>0.83248171547567706</v>
      </c>
      <c r="M32" s="160">
        <f>IF($B32=" ","",IFERROR(VLOOKUP($B32,MMWR_ACCURACY_RO[],MATCH(M$9,MMWR_ACCURACY_RO[#Headers],0),0),"ERROR"))</f>
        <v>5.2326796219906983E-2</v>
      </c>
      <c r="N32" s="160">
        <f>IF($B32=" ","",IFERROR(VLOOKUP($B32,MMWR_ACCURACY_RO[],MATCH(N$9,MMWR_ACCURACY_RO[#Headers],0),0),"ERROR"))</f>
        <v>0.92127833283277349</v>
      </c>
      <c r="O32" s="160">
        <f>IF($B32=" ","",IFERROR(VLOOKUP($B32,MMWR_ACCURACY_RO[],MATCH(O$9,MMWR_ACCURACY_RO[#Headers],0),0),"ERROR"))</f>
        <v>4.2473187310051161E-2</v>
      </c>
      <c r="P32" s="28"/>
    </row>
    <row r="33" spans="1:16" x14ac:dyDescent="0.25">
      <c r="A33" s="25"/>
      <c r="B33" s="372" t="s">
        <v>743</v>
      </c>
      <c r="C33" s="373"/>
      <c r="D33" s="373"/>
      <c r="E33" s="373"/>
      <c r="F33" s="373"/>
      <c r="G33" s="373"/>
      <c r="H33" s="373"/>
      <c r="I33" s="373"/>
      <c r="J33" s="373"/>
      <c r="K33" s="373"/>
      <c r="L33" s="373"/>
      <c r="M33" s="373"/>
      <c r="N33" s="373"/>
      <c r="O33" s="373"/>
      <c r="P33" s="28"/>
    </row>
    <row r="34" spans="1:16" x14ac:dyDescent="0.25">
      <c r="A34" s="25"/>
      <c r="B34" s="11" t="s">
        <v>706</v>
      </c>
      <c r="C34" s="155">
        <f>IF($B34=" ","",IFERROR(INDEX(MMWR_RATING_RO_ROLLUP[],MATCH($B34,MMWR_RATING_RO_ROLLUP[MMWR_RATING_RO_ROLLUP],0),MATCH(C$9,MMWR_RATING_RO_ROLLUP[#Headers],0)),"ERROR"))</f>
        <v>19542</v>
      </c>
      <c r="D34" s="156">
        <f>IF($B34=" ","",IFERROR(INDEX(MMWR_RATING_RO_ROLLUP[],MATCH($B34,MMWR_RATING_RO_ROLLUP[MMWR_RATING_RO_ROLLUP],0),MATCH(D$9,MMWR_RATING_RO_ROLLUP[#Headers],0)),"ERROR"))</f>
        <v>59.964896121199999</v>
      </c>
      <c r="E34" s="157">
        <f>IF($B34=" ","",IFERROR(INDEX(MMWR_RATING_RO_ROLLUP[],MATCH($B34,MMWR_RATING_RO_ROLLUP[MMWR_RATING_RO_ROLLUP],0),MATCH(E$9,MMWR_RATING_RO_ROLLUP[#Headers],0))/$C34,"ERROR"))</f>
        <v>9.4156176440487155E-2</v>
      </c>
      <c r="F34" s="155">
        <f>IF($B34=" ","",IFERROR(INDEX(MMWR_RATING_RO_ROLLUP[],MATCH($B34,MMWR_RATING_RO_ROLLUP[MMWR_RATING_RO_ROLLUP],0),MATCH(F$9,MMWR_RATING_RO_ROLLUP[#Headers],0)),"ERROR"))</f>
        <v>11416</v>
      </c>
      <c r="G34" s="155">
        <f>IF($B34=" ","",IFERROR(INDEX(MMWR_RATING_RO_ROLLUP[],MATCH($B34,MMWR_RATING_RO_ROLLUP[MMWR_RATING_RO_ROLLUP],0),MATCH(G$9,MMWR_RATING_RO_ROLLUP[#Headers],0)),"ERROR"))</f>
        <v>139915</v>
      </c>
      <c r="H34" s="156">
        <f>IF($B34=" ","",IFERROR(INDEX(MMWR_RATING_RO_ROLLUP[],MATCH($B34,MMWR_RATING_RO_ROLLUP[MMWR_RATING_RO_ROLLUP],0),MATCH(H$9,MMWR_RATING_RO_ROLLUP[#Headers],0)),"ERROR"))</f>
        <v>66.277154870399997</v>
      </c>
      <c r="I34" s="156">
        <f>IF($B34=" ","",IFERROR(INDEX(MMWR_RATING_RO_ROLLUP[],MATCH($B34,MMWR_RATING_RO_ROLLUP[MMWR_RATING_RO_ROLLUP],0),MATCH(I$9,MMWR_RATING_RO_ROLLUP[#Headers],0)),"ERROR"))</f>
        <v>64.478011649899997</v>
      </c>
      <c r="J34" s="42"/>
      <c r="K34" s="254">
        <f>IF($B34=" ","",IFERROR(VLOOKUP($B34,MMWR_ACCURACY_RO[],MATCH(K$49,MMWR_ACCURACY_RO[#Headers],0),0),"ERROR"))</f>
        <v>0.94246964737261441</v>
      </c>
      <c r="L34" s="254">
        <f>IF($B34=" ","",IFERROR(VLOOKUP($B34,MMWR_ACCURACY_RO[],MATCH(L$49,MMWR_ACCURACY_RO[#Headers],0),0),"ERROR"))</f>
        <v>0.96812348377268675</v>
      </c>
      <c r="M34" s="254">
        <f>IF($B34=" ","",IFERROR(VLOOKUP($B34,MMWR_ACCURACY_RO[],MATCH(M$49,MMWR_ACCURACY_RO[#Headers],0),0),"ERROR"))</f>
        <v>1.5248741409886577E-2</v>
      </c>
      <c r="N34" s="254">
        <f>IF($B34=" ","",IFERROR(VLOOKUP($B34,MMWR_ACCURACY_RO[],MATCH(N$49,MMWR_ACCURACY_RO[#Headers],0),0),"ERROR"))</f>
        <v>0.96389630432598183</v>
      </c>
      <c r="O34" s="254">
        <f>IF($B34=" ","",IFERROR(VLOOKUP($B34,MMWR_ACCURACY_RO[],MATCH(O$49,MMWR_ACCURACY_RO[#Headers],0),0),"ERROR"))</f>
        <v>1.9891014158988439E-2</v>
      </c>
      <c r="P34" s="28"/>
    </row>
    <row r="35" spans="1:16" x14ac:dyDescent="0.25">
      <c r="A35" s="25"/>
      <c r="B35" s="12" t="s">
        <v>218</v>
      </c>
      <c r="C35" s="155">
        <f>IF($B35=" ","",IFERROR(INDEX(MMWR_RATING_RO_ROLLUP[],MATCH($B35,MMWR_RATING_RO_ROLLUP[MMWR_RATING_RO_ROLLUP],0),MATCH(C$9,MMWR_RATING_RO_ROLLUP[#Headers],0)),"ERROR"))</f>
        <v>6060</v>
      </c>
      <c r="D35" s="156">
        <f>IF($B35=" ","",IFERROR(INDEX(MMWR_RATING_RO_ROLLUP[],MATCH($B35,MMWR_RATING_RO_ROLLUP[MMWR_RATING_RO_ROLLUP],0),MATCH(D$9,MMWR_RATING_RO_ROLLUP[#Headers],0)),"ERROR"))</f>
        <v>64.780363036300002</v>
      </c>
      <c r="E35" s="157">
        <f>IF($B35=" ","",IFERROR(INDEX(MMWR_RATING_RO_ROLLUP[],MATCH($B35,MMWR_RATING_RO_ROLLUP[MMWR_RATING_RO_ROLLUP],0),MATCH(E$9,MMWR_RATING_RO_ROLLUP[#Headers],0))/$C35,"ERROR"))</f>
        <v>0.1042904290429043</v>
      </c>
      <c r="F35" s="155">
        <f>IF($B35=" ","",IFERROR(INDEX(MMWR_RATING_RO_ROLLUP[],MATCH($B35,MMWR_RATING_RO_ROLLUP[MMWR_RATING_RO_ROLLUP],0),MATCH(F$9,MMWR_RATING_RO_ROLLUP[#Headers],0)),"ERROR"))</f>
        <v>3597</v>
      </c>
      <c r="G35" s="155">
        <f>IF($B35=" ","",IFERROR(INDEX(MMWR_RATING_RO_ROLLUP[],MATCH($B35,MMWR_RATING_RO_ROLLUP[MMWR_RATING_RO_ROLLUP],0),MATCH(G$9,MMWR_RATING_RO_ROLLUP[#Headers],0)),"ERROR"))</f>
        <v>44542</v>
      </c>
      <c r="H35" s="156">
        <f>IF($B35=" ","",IFERROR(INDEX(MMWR_RATING_RO_ROLLUP[],MATCH($B35,MMWR_RATING_RO_ROLLUP[MMWR_RATING_RO_ROLLUP],0),MATCH(H$9,MMWR_RATING_RO_ROLLUP[#Headers],0)),"ERROR"))</f>
        <v>75.686683347200002</v>
      </c>
      <c r="I35" s="156">
        <f>IF($B35=" ","",IFERROR(INDEX(MMWR_RATING_RO_ROLLUP[],MATCH($B35,MMWR_RATING_RO_ROLLUP[MMWR_RATING_RO_ROLLUP],0),MATCH(I$9,MMWR_RATING_RO_ROLLUP[#Headers],0)),"ERROR"))</f>
        <v>72.678573032200006</v>
      </c>
      <c r="J35" s="42"/>
      <c r="K35" s="254">
        <f>IF($B35=" ","",IFERROR(VLOOKUP($B35,MMWR_ACCURACY_RO[],MATCH(K$49,MMWR_ACCURACY_RO[#Headers],0),0),"ERROR"))</f>
        <v>0.87499687398404491</v>
      </c>
      <c r="L35" s="254">
        <f>IF($B35=" ","",IFERROR(VLOOKUP($B35,MMWR_ACCURACY_RO[],MATCH(L$49,MMWR_ACCURACY_RO[#Headers],0),0),"ERROR"))</f>
        <v>0.95330987426214653</v>
      </c>
      <c r="M35" s="254">
        <f>IF($B35=" ","",IFERROR(VLOOKUP($B35,MMWR_ACCURACY_RO[],MATCH(M$49,MMWR_ACCURACY_RO[#Headers],0),0),"ERROR"))</f>
        <v>3.6007169912451217E-2</v>
      </c>
      <c r="N35" s="254">
        <f>IF($B35=" ","",IFERROR(VLOOKUP($B35,MMWR_ACCURACY_RO[],MATCH(N$49,MMWR_ACCURACY_RO[#Headers],0),0),"ERROR"))</f>
        <v>0.94151817235213831</v>
      </c>
      <c r="O35" s="254">
        <f>IF($B35=" ","",IFERROR(VLOOKUP($B35,MMWR_ACCURACY_RO[],MATCH(O$49,MMWR_ACCURACY_RO[#Headers],0),0),"ERROR"))</f>
        <v>4.2929305125536388E-2</v>
      </c>
      <c r="P35" s="28"/>
    </row>
    <row r="36" spans="1:16" x14ac:dyDescent="0.25">
      <c r="A36" s="43"/>
      <c r="B36" s="12" t="s">
        <v>217</v>
      </c>
      <c r="C36" s="155">
        <f>IF($B36=" ","",IFERROR(INDEX(MMWR_RATING_RO_ROLLUP[],MATCH($B36,MMWR_RATING_RO_ROLLUP[MMWR_RATING_RO_ROLLUP],0),MATCH(C$9,MMWR_RATING_RO_ROLLUP[#Headers],0)),"ERROR"))</f>
        <v>5048</v>
      </c>
      <c r="D36" s="156">
        <f>IF($B36=" ","",IFERROR(INDEX(MMWR_RATING_RO_ROLLUP[],MATCH($B36,MMWR_RATING_RO_ROLLUP[MMWR_RATING_RO_ROLLUP],0),MATCH(D$9,MMWR_RATING_RO_ROLLUP[#Headers],0)),"ERROR"))</f>
        <v>56.707606973099999</v>
      </c>
      <c r="E36" s="157">
        <f>IF($B36=" ","",IFERROR(INDEX(MMWR_RATING_RO_ROLLUP[],MATCH($B36,MMWR_RATING_RO_ROLLUP[MMWR_RATING_RO_ROLLUP],0),MATCH(E$9,MMWR_RATING_RO_ROLLUP[#Headers],0))/$C36,"ERROR"))</f>
        <v>9.4889064976228205E-2</v>
      </c>
      <c r="F36" s="155">
        <f>IF($B36=" ","",IFERROR(INDEX(MMWR_RATING_RO_ROLLUP[],MATCH($B36,MMWR_RATING_RO_ROLLUP[MMWR_RATING_RO_ROLLUP],0),MATCH(F$9,MMWR_RATING_RO_ROLLUP[#Headers],0)),"ERROR"))</f>
        <v>2828</v>
      </c>
      <c r="G36" s="155">
        <f>IF($B36=" ","",IFERROR(INDEX(MMWR_RATING_RO_ROLLUP[],MATCH($B36,MMWR_RATING_RO_ROLLUP[MMWR_RATING_RO_ROLLUP],0),MATCH(G$9,MMWR_RATING_RO_ROLLUP[#Headers],0)),"ERROR"))</f>
        <v>39339</v>
      </c>
      <c r="H36" s="156">
        <f>IF($B36=" ","",IFERROR(INDEX(MMWR_RATING_RO_ROLLUP[],MATCH($B36,MMWR_RATING_RO_ROLLUP[MMWR_RATING_RO_ROLLUP],0),MATCH(H$9,MMWR_RATING_RO_ROLLUP[#Headers],0)),"ERROR"))</f>
        <v>56.0675388967</v>
      </c>
      <c r="I36" s="156">
        <f>IF($B36=" ","",IFERROR(INDEX(MMWR_RATING_RO_ROLLUP[],MATCH($B36,MMWR_RATING_RO_ROLLUP[MMWR_RATING_RO_ROLLUP],0),MATCH(I$9,MMWR_RATING_RO_ROLLUP[#Headers],0)),"ERROR"))</f>
        <v>55.064211088199997</v>
      </c>
      <c r="J36" s="42"/>
      <c r="K36" s="254">
        <f>IF($B36=" ","",IFERROR(VLOOKUP($B36,MMWR_ACCURACY_RO[],MATCH(K$49,MMWR_ACCURACY_RO[#Headers],0),0),"ERROR"))</f>
        <v>0.95182394634332079</v>
      </c>
      <c r="L36" s="254">
        <f>IF($B36=" ","",IFERROR(VLOOKUP($B36,MMWR_ACCURACY_RO[],MATCH(L$49,MMWR_ACCURACY_RO[#Headers],0),0),"ERROR"))</f>
        <v>0.95346117649031581</v>
      </c>
      <c r="M36" s="254">
        <f>IF($B36=" ","",IFERROR(VLOOKUP($B36,MMWR_ACCURACY_RO[],MATCH(M$49,MMWR_ACCURACY_RO[#Headers],0),0),"ERROR"))</f>
        <v>3.0790613258238082E-2</v>
      </c>
      <c r="N36" s="254">
        <f>IF($B36=" ","",IFERROR(VLOOKUP($B36,MMWR_ACCURACY_RO[],MATCH(N$49,MMWR_ACCURACY_RO[#Headers],0),0),"ERROR"))</f>
        <v>0.98790875472638884</v>
      </c>
      <c r="O36" s="254">
        <f>IF($B36=" ","",IFERROR(VLOOKUP($B36,MMWR_ACCURACY_RO[],MATCH(O$49,MMWR_ACCURACY_RO[#Headers],0),0),"ERROR"))</f>
        <v>1.5286980222886583E-2</v>
      </c>
      <c r="P36" s="28"/>
    </row>
    <row r="37" spans="1:16" x14ac:dyDescent="0.25">
      <c r="A37" s="25"/>
      <c r="B37" s="12" t="s">
        <v>220</v>
      </c>
      <c r="C37" s="155">
        <f>IF($B37=" ","",IFERROR(INDEX(MMWR_RATING_RO_ROLLUP[],MATCH($B37,MMWR_RATING_RO_ROLLUP[MMWR_RATING_RO_ROLLUP],0),MATCH(C$9,MMWR_RATING_RO_ROLLUP[#Headers],0)),"ERROR"))</f>
        <v>7981</v>
      </c>
      <c r="D37" s="156">
        <f>IF($B37=" ","",IFERROR(INDEX(MMWR_RATING_RO_ROLLUP[],MATCH($B37,MMWR_RATING_RO_ROLLUP[MMWR_RATING_RO_ROLLUP],0),MATCH(D$9,MMWR_RATING_RO_ROLLUP[#Headers],0)),"ERROR"))</f>
        <v>51.9330910913</v>
      </c>
      <c r="E37" s="157">
        <f>IF($B37=" ","",IFERROR(INDEX(MMWR_RATING_RO_ROLLUP[],MATCH($B37,MMWR_RATING_RO_ROLLUP[MMWR_RATING_RO_ROLLUP],0),MATCH(E$9,MMWR_RATING_RO_ROLLUP[#Headers],0))/$C37,"ERROR"))</f>
        <v>6.4152361859416113E-2</v>
      </c>
      <c r="F37" s="155">
        <f>IF($B37=" ","",IFERROR(INDEX(MMWR_RATING_RO_ROLLUP[],MATCH($B37,MMWR_RATING_RO_ROLLUP[MMWR_RATING_RO_ROLLUP],0),MATCH(F$9,MMWR_RATING_RO_ROLLUP[#Headers],0)),"ERROR"))</f>
        <v>4660</v>
      </c>
      <c r="G37" s="155">
        <f>IF($B37=" ","",IFERROR(INDEX(MMWR_RATING_RO_ROLLUP[],MATCH($B37,MMWR_RATING_RO_ROLLUP[MMWR_RATING_RO_ROLLUP],0),MATCH(G$9,MMWR_RATING_RO_ROLLUP[#Headers],0)),"ERROR"))</f>
        <v>51210</v>
      </c>
      <c r="H37" s="156">
        <f>IF($B37=" ","",IFERROR(INDEX(MMWR_RATING_RO_ROLLUP[],MATCH($B37,MMWR_RATING_RO_ROLLUP[MMWR_RATING_RO_ROLLUP],0),MATCH(H$9,MMWR_RATING_RO_ROLLUP[#Headers],0)),"ERROR"))</f>
        <v>65.712017167400006</v>
      </c>
      <c r="I37" s="156">
        <f>IF($B37=" ","",IFERROR(INDEX(MMWR_RATING_RO_ROLLUP[],MATCH($B37,MMWR_RATING_RO_ROLLUP[MMWR_RATING_RO_ROLLUP],0),MATCH(I$9,MMWR_RATING_RO_ROLLUP[#Headers],0)),"ERROR"))</f>
        <v>64.986369849599996</v>
      </c>
      <c r="J37" s="42"/>
      <c r="K37" s="254">
        <f>IF($B37=" ","",IFERROR(VLOOKUP($B37,MMWR_ACCURACY_RO[],MATCH(K$49,MMWR_ACCURACY_RO[#Headers],0),0),"ERROR"))</f>
        <v>1</v>
      </c>
      <c r="L37" s="254">
        <f>IF($B37=" ","",IFERROR(VLOOKUP($B37,MMWR_ACCURACY_RO[],MATCH(L$49,MMWR_ACCURACY_RO[#Headers],0),0),"ERROR"))</f>
        <v>0.9920093664438947</v>
      </c>
      <c r="M37" s="254">
        <f>IF($B37=" ","",IFERROR(VLOOKUP($B37,MMWR_ACCURACY_RO[],MATCH(M$49,MMWR_ACCURACY_RO[#Headers],0),0),"ERROR"))</f>
        <v>9.5752801700201215E-3</v>
      </c>
      <c r="N37" s="254">
        <f>IF($B37=" ","",IFERROR(VLOOKUP($B37,MMWR_ACCURACY_RO[],MATCH(N$49,MMWR_ACCURACY_RO[#Headers],0),0),"ERROR"))</f>
        <v>0.96349001134633128</v>
      </c>
      <c r="O37" s="254">
        <f>IF($B37=" ","",IFERROR(VLOOKUP($B37,MMWR_ACCURACY_RO[],MATCH(O$49,MMWR_ACCURACY_RO[#Headers],0),0),"ERROR"))</f>
        <v>3.6496758070326651E-2</v>
      </c>
      <c r="P37" s="28"/>
    </row>
    <row r="38" spans="1:16" x14ac:dyDescent="0.25">
      <c r="A38" s="25"/>
      <c r="B38" s="13" t="s">
        <v>232</v>
      </c>
      <c r="C38" s="155">
        <f>IF($B38=" ","",IFERROR(INDEX(MMWR_RATING_RO_ROLLUP[],MATCH($B38,MMWR_RATING_RO_ROLLUP[MMWR_RATING_RO_ROLLUP],0),MATCH(C$9,MMWR_RATING_RO_ROLLUP[#Headers],0)),"ERROR"))</f>
        <v>453</v>
      </c>
      <c r="D38" s="156">
        <f>IF($B38=" ","",IFERROR(INDEX(MMWR_RATING_RO_ROLLUP[],MATCH($B38,MMWR_RATING_RO_ROLLUP[MMWR_RATING_RO_ROLLUP],0),MATCH(D$9,MMWR_RATING_RO_ROLLUP[#Headers],0)),"ERROR"))</f>
        <v>173.34878587200001</v>
      </c>
      <c r="E38" s="157">
        <f>IF($B38=" ","",IFERROR(INDEX(MMWR_RATING_RO_ROLLUP[],MATCH($B38,MMWR_RATING_RO_ROLLUP[MMWR_RATING_RO_ROLLUP],0),MATCH(E$9,MMWR_RATING_RO_ROLLUP[#Headers],0))/$C38,"ERROR"))</f>
        <v>0.47902869757174393</v>
      </c>
      <c r="F38" s="155">
        <f>IF($B38=" ","",IFERROR(INDEX(MMWR_RATING_RO_ROLLUP[],MATCH($B38,MMWR_RATING_RO_ROLLUP[MMWR_RATING_RO_ROLLUP],0),MATCH(F$9,MMWR_RATING_RO_ROLLUP[#Headers],0)),"ERROR"))</f>
        <v>331</v>
      </c>
      <c r="G38" s="155">
        <f>IF($B38=" ","",IFERROR(INDEX(MMWR_RATING_RO_ROLLUP[],MATCH($B38,MMWR_RATING_RO_ROLLUP[MMWR_RATING_RO_ROLLUP],0),MATCH(G$9,MMWR_RATING_RO_ROLLUP[#Headers],0)),"ERROR"))</f>
        <v>4824</v>
      </c>
      <c r="H38" s="156">
        <f>IF($B38=" ","",IFERROR(INDEX(MMWR_RATING_RO_ROLLUP[],MATCH($B38,MMWR_RATING_RO_ROLLUP[MMWR_RATING_RO_ROLLUP],0),MATCH(H$9,MMWR_RATING_RO_ROLLUP[#Headers],0)),"ERROR"))</f>
        <v>59.208459214500003</v>
      </c>
      <c r="I38" s="156">
        <f>IF($B38=" ","",IFERROR(INDEX(MMWR_RATING_RO_ROLLUP[],MATCH($B38,MMWR_RATING_RO_ROLLUP[MMWR_RATING_RO_ROLLUP],0),MATCH(I$9,MMWR_RATING_RO_ROLLUP[#Headers],0)),"ERROR"))</f>
        <v>60.130389718099998</v>
      </c>
      <c r="J38" s="42"/>
      <c r="K38" s="42"/>
      <c r="L38" s="42"/>
      <c r="M38" s="42"/>
      <c r="N38" s="42"/>
      <c r="O38" s="42"/>
      <c r="P38" s="28"/>
    </row>
    <row r="39" spans="1:16" x14ac:dyDescent="0.25">
      <c r="A39" s="25"/>
      <c r="B39" s="372" t="s">
        <v>926</v>
      </c>
      <c r="C39" s="373"/>
      <c r="D39" s="373"/>
      <c r="E39" s="373"/>
      <c r="F39" s="373"/>
      <c r="G39" s="373"/>
      <c r="H39" s="373"/>
      <c r="I39" s="373"/>
      <c r="J39" s="373"/>
      <c r="K39" s="373"/>
      <c r="L39" s="373"/>
      <c r="M39" s="373"/>
      <c r="N39" s="373"/>
      <c r="O39" s="373"/>
      <c r="P39" s="28"/>
    </row>
    <row r="40" spans="1:16" x14ac:dyDescent="0.25">
      <c r="A40" s="25"/>
      <c r="B40" s="44" t="s">
        <v>707</v>
      </c>
      <c r="C40" s="155">
        <f>IF($B40=" ","",IFERROR(INDEX(MMWR_RATING_RO_ROLLUP[],MATCH($B40,MMWR_RATING_RO_ROLLUP[MMWR_RATING_RO_ROLLUP],0),MATCH(C$9,MMWR_RATING_RO_ROLLUP[#Headers],0)),"ERROR"))</f>
        <v>8040</v>
      </c>
      <c r="D40" s="156">
        <f>IF($B40=" ","",IFERROR(INDEX(MMWR_RATING_RO_ROLLUP[],MATCH($B40,MMWR_RATING_RO_ROLLUP[MMWR_RATING_RO_ROLLUP],0),MATCH(D$9,MMWR_RATING_RO_ROLLUP[#Headers],0)),"ERROR"))</f>
        <v>71.286940298499999</v>
      </c>
      <c r="E40" s="157">
        <f>IF($B40=" ","",IFERROR(INDEX(MMWR_RATING_RO_ROLLUP[],MATCH($B40,MMWR_RATING_RO_ROLLUP[MMWR_RATING_RO_ROLLUP],0),MATCH(E$9,MMWR_RATING_RO_ROLLUP[#Headers],0))/$C40,"ERROR"))</f>
        <v>0.12388059701492538</v>
      </c>
      <c r="F40" s="155">
        <f>IF($B40=" ","",IFERROR(INDEX(MMWR_RATING_RO_ROLLUP[],MATCH($B40,MMWR_RATING_RO_ROLLUP[MMWR_RATING_RO_ROLLUP],0),MATCH(F$9,MMWR_RATING_RO_ROLLUP[#Headers],0)),"ERROR"))</f>
        <v>1867</v>
      </c>
      <c r="G40" s="155">
        <f>IF($B40=" ","",IFERROR(INDEX(MMWR_RATING_RO_ROLLUP[],MATCH($B40,MMWR_RATING_RO_ROLLUP[MMWR_RATING_RO_ROLLUP],0),MATCH(G$9,MMWR_RATING_RO_ROLLUP[#Headers],0)),"ERROR"))</f>
        <v>23579</v>
      </c>
      <c r="H40" s="156">
        <f>IF($B40=" ","",IFERROR(INDEX(MMWR_RATING_RO_ROLLUP[],MATCH($B40,MMWR_RATING_RO_ROLLUP[MMWR_RATING_RO_ROLLUP],0),MATCH(H$9,MMWR_RATING_RO_ROLLUP[#Headers],0)),"ERROR"))</f>
        <v>125.6298875201</v>
      </c>
      <c r="I40" s="156">
        <f>IF($B40=" ","",IFERROR(INDEX(MMWR_RATING_RO_ROLLUP[],MATCH($B40,MMWR_RATING_RO_ROLLUP[MMWR_RATING_RO_ROLLUP],0),MATCH(I$9,MMWR_RATING_RO_ROLLUP[#Headers],0)),"ERROR"))</f>
        <v>133.12256669070001</v>
      </c>
      <c r="J40" s="42"/>
      <c r="K40" s="42"/>
      <c r="L40" s="42"/>
      <c r="M40" s="42"/>
      <c r="N40" s="42"/>
      <c r="O40" s="42"/>
      <c r="P40" s="28"/>
    </row>
    <row r="41" spans="1:16" x14ac:dyDescent="0.25">
      <c r="A41" s="25"/>
      <c r="B41" s="45" t="s">
        <v>968</v>
      </c>
      <c r="C41" s="155">
        <f>IF($B41=" ","",IFERROR(INDEX(MMWR_RATING_RO_ROLLUP[],MATCH($B41,MMWR_RATING_RO_ROLLUP[MMWR_RATING_RO_ROLLUP],0),MATCH(C$9,MMWR_RATING_RO_ROLLUP[#Headers],0)),"ERROR"))</f>
        <v>3529</v>
      </c>
      <c r="D41" s="156">
        <f>IF($B41=" ","",IFERROR(INDEX(MMWR_RATING_RO_ROLLUP[],MATCH($B41,MMWR_RATING_RO_ROLLUP[MMWR_RATING_RO_ROLLUP],0),MATCH(D$9,MMWR_RATING_RO_ROLLUP[#Headers],0)),"ERROR"))</f>
        <v>65.331255313100002</v>
      </c>
      <c r="E41" s="157">
        <f>IF($B41=" ","",IFERROR(INDEX(MMWR_RATING_RO_ROLLUP[],MATCH($B41,MMWR_RATING_RO_ROLLUP[MMWR_RATING_RO_ROLLUP],0),MATCH(E$9,MMWR_RATING_RO_ROLLUP[#Headers],0))/$C41,"ERROR"))</f>
        <v>0.10824596202890337</v>
      </c>
      <c r="F41" s="155">
        <f>IF($B41=" ","",IFERROR(INDEX(MMWR_RATING_RO_ROLLUP[],MATCH($B41,MMWR_RATING_RO_ROLLUP[MMWR_RATING_RO_ROLLUP],0),MATCH(F$9,MMWR_RATING_RO_ROLLUP[#Headers],0)),"ERROR"))</f>
        <v>1030</v>
      </c>
      <c r="G41" s="155">
        <f>IF($B41=" ","",IFERROR(INDEX(MMWR_RATING_RO_ROLLUP[],MATCH($B41,MMWR_RATING_RO_ROLLUP[MMWR_RATING_RO_ROLLUP],0),MATCH(G$9,MMWR_RATING_RO_ROLLUP[#Headers],0)),"ERROR"))</f>
        <v>12256</v>
      </c>
      <c r="H41" s="156">
        <f>IF($B41=" ","",IFERROR(INDEX(MMWR_RATING_RO_ROLLUP[],MATCH($B41,MMWR_RATING_RO_ROLLUP[MMWR_RATING_RO_ROLLUP],0),MATCH(H$9,MMWR_RATING_RO_ROLLUP[#Headers],0)),"ERROR"))</f>
        <v>102.2747572816</v>
      </c>
      <c r="I41" s="156">
        <f>IF($B41=" ","",IFERROR(INDEX(MMWR_RATING_RO_ROLLUP[],MATCH($B41,MMWR_RATING_RO_ROLLUP[MMWR_RATING_RO_ROLLUP],0),MATCH(I$9,MMWR_RATING_RO_ROLLUP[#Headers],0)),"ERROR"))</f>
        <v>115.4565110966</v>
      </c>
      <c r="J41" s="42"/>
      <c r="K41" s="42"/>
      <c r="L41" s="42"/>
      <c r="M41" s="42"/>
      <c r="N41" s="42"/>
      <c r="O41" s="42"/>
      <c r="P41" s="28"/>
    </row>
    <row r="42" spans="1:16" x14ac:dyDescent="0.25">
      <c r="A42" s="25"/>
      <c r="B42" s="45" t="s">
        <v>969</v>
      </c>
      <c r="C42" s="155">
        <f>IF($B42=" ","",IFERROR(INDEX(MMWR_RATING_RO_ROLLUP[],MATCH($B42,MMWR_RATING_RO_ROLLUP[MMWR_RATING_RO_ROLLUP],0),MATCH(C$9,MMWR_RATING_RO_ROLLUP[#Headers],0)),"ERROR"))</f>
        <v>3994</v>
      </c>
      <c r="D42" s="156">
        <f>IF($B42=" ","",IFERROR(INDEX(MMWR_RATING_RO_ROLLUP[],MATCH($B42,MMWR_RATING_RO_ROLLUP[MMWR_RATING_RO_ROLLUP],0),MATCH(D$9,MMWR_RATING_RO_ROLLUP[#Headers],0)),"ERROR"))</f>
        <v>78.354031046599999</v>
      </c>
      <c r="E42" s="157">
        <f>IF($B42=" ","",IFERROR(INDEX(MMWR_RATING_RO_ROLLUP[],MATCH($B42,MMWR_RATING_RO_ROLLUP[MMWR_RATING_RO_ROLLUP],0),MATCH(E$9,MMWR_RATING_RO_ROLLUP[#Headers],0))/$C42,"ERROR"))</f>
        <v>0.14321482223335003</v>
      </c>
      <c r="F42" s="155">
        <f>IF($B42=" ","",IFERROR(INDEX(MMWR_RATING_RO_ROLLUP[],MATCH($B42,MMWR_RATING_RO_ROLLUP[MMWR_RATING_RO_ROLLUP],0),MATCH(F$9,MMWR_RATING_RO_ROLLUP[#Headers],0)),"ERROR"))</f>
        <v>789</v>
      </c>
      <c r="G42" s="155">
        <f>IF($B42=" ","",IFERROR(INDEX(MMWR_RATING_RO_ROLLUP[],MATCH($B42,MMWR_RATING_RO_ROLLUP[MMWR_RATING_RO_ROLLUP],0),MATCH(G$9,MMWR_RATING_RO_ROLLUP[#Headers],0)),"ERROR"))</f>
        <v>10710</v>
      </c>
      <c r="H42" s="156">
        <f>IF($B42=" ","",IFERROR(INDEX(MMWR_RATING_RO_ROLLUP[],MATCH($B42,MMWR_RATING_RO_ROLLUP[MMWR_RATING_RO_ROLLUP],0),MATCH(H$9,MMWR_RATING_RO_ROLLUP[#Headers],0)),"ERROR"))</f>
        <v>154.71863117870001</v>
      </c>
      <c r="I42" s="156">
        <f>IF($B42=" ","",IFERROR(INDEX(MMWR_RATING_RO_ROLLUP[],MATCH($B42,MMWR_RATING_RO_ROLLUP[MMWR_RATING_RO_ROLLUP],0),MATCH(I$9,MMWR_RATING_RO_ROLLUP[#Headers],0)),"ERROR"))</f>
        <v>150.08786181139999</v>
      </c>
      <c r="J42" s="42"/>
      <c r="K42" s="42"/>
      <c r="L42" s="42"/>
      <c r="M42" s="42"/>
      <c r="N42" s="42"/>
      <c r="O42" s="42"/>
      <c r="P42" s="28"/>
    </row>
    <row r="43" spans="1:16" x14ac:dyDescent="0.25">
      <c r="A43" s="25"/>
      <c r="B43" s="46" t="s">
        <v>316</v>
      </c>
      <c r="C43" s="155">
        <f>IF($B43=" ","",IFERROR(INDEX(MMWR_RATING_RO_ROLLUP[],MATCH($B43,MMWR_RATING_RO_ROLLUP[MMWR_RATING_RO_ROLLUP],0),MATCH(C$9,MMWR_RATING_RO_ROLLUP[#Headers],0)),"ERROR"))</f>
        <v>517</v>
      </c>
      <c r="D43" s="156">
        <f>IF($B43=" ","",IFERROR(INDEX(MMWR_RATING_RO_ROLLUP[],MATCH($B43,MMWR_RATING_RO_ROLLUP[MMWR_RATING_RO_ROLLUP],0),MATCH(D$9,MMWR_RATING_RO_ROLLUP[#Headers],0)),"ERROR"))</f>
        <v>57.344294003900004</v>
      </c>
      <c r="E43" s="157">
        <f>IF($B43=" ","",IFERROR(INDEX(MMWR_RATING_RO_ROLLUP[],MATCH($B43,MMWR_RATING_RO_ROLLUP[MMWR_RATING_RO_ROLLUP],0),MATCH(E$9,MMWR_RATING_RO_ROLLUP[#Headers],0))/$C43,"ERROR"))</f>
        <v>8.1237911025145063E-2</v>
      </c>
      <c r="F43" s="155">
        <f>IF($B43=" ","",IFERROR(INDEX(MMWR_RATING_RO_ROLLUP[],MATCH($B43,MMWR_RATING_RO_ROLLUP[MMWR_RATING_RO_ROLLUP],0),MATCH(F$9,MMWR_RATING_RO_ROLLUP[#Headers],0)),"ERROR"))</f>
        <v>48</v>
      </c>
      <c r="G43" s="155">
        <f>IF($B43=" ","",IFERROR(INDEX(MMWR_RATING_RO_ROLLUP[],MATCH($B43,MMWR_RATING_RO_ROLLUP[MMWR_RATING_RO_ROLLUP],0),MATCH(G$9,MMWR_RATING_RO_ROLLUP[#Headers],0)),"ERROR"))</f>
        <v>613</v>
      </c>
      <c r="H43" s="156">
        <f>IF($B43=" ","",IFERROR(INDEX(MMWR_RATING_RO_ROLLUP[],MATCH($B43,MMWR_RATING_RO_ROLLUP[MMWR_RATING_RO_ROLLUP],0),MATCH(H$9,MMWR_RATING_RO_ROLLUP[#Headers],0)),"ERROR"))</f>
        <v>148.6458333333</v>
      </c>
      <c r="I43" s="156">
        <f>IF($B43=" ","",IFERROR(INDEX(MMWR_RATING_RO_ROLLUP[],MATCH($B43,MMWR_RATING_RO_ROLLUP[MMWR_RATING_RO_ROLLUP],0),MATCH(I$9,MMWR_RATING_RO_ROLLUP[#Headers],0)),"ERROR"))</f>
        <v>189.9200652529</v>
      </c>
      <c r="J43" s="42"/>
      <c r="K43" s="42"/>
      <c r="L43" s="42"/>
      <c r="M43" s="42"/>
      <c r="N43" s="42"/>
      <c r="O43" s="42"/>
      <c r="P43" s="28"/>
    </row>
    <row r="44" spans="1:16" x14ac:dyDescent="0.25">
      <c r="A44" s="25"/>
      <c r="B44" s="372" t="s">
        <v>744</v>
      </c>
      <c r="C44" s="373"/>
      <c r="D44" s="373"/>
      <c r="E44" s="373"/>
      <c r="F44" s="373"/>
      <c r="G44" s="373"/>
      <c r="H44" s="373"/>
      <c r="I44" s="373"/>
      <c r="J44" s="373"/>
      <c r="K44" s="373"/>
      <c r="L44" s="373"/>
      <c r="M44" s="373"/>
      <c r="N44" s="373"/>
      <c r="O44" s="373"/>
      <c r="P44" s="28"/>
    </row>
    <row r="45" spans="1:16" x14ac:dyDescent="0.25">
      <c r="A45" s="25"/>
      <c r="B45" s="44" t="s">
        <v>705</v>
      </c>
      <c r="C45" s="155">
        <f>IF($B45=" ","",IFERROR(INDEX(MMWR_RATING_RO_ROLLUP[],MATCH($B45,MMWR_RATING_RO_ROLLUP[MMWR_RATING_RO_ROLLUP],0),MATCH(C$9,MMWR_RATING_RO_ROLLUP[#Headers],0)),"ERROR"))</f>
        <v>8747</v>
      </c>
      <c r="D45" s="156">
        <f>IF($B45=" ","",IFERROR(INDEX(MMWR_RATING_RO_ROLLUP[],MATCH($B45,MMWR_RATING_RO_ROLLUP[MMWR_RATING_RO_ROLLUP],0),MATCH(D$9,MMWR_RATING_RO_ROLLUP[#Headers],0)),"ERROR"))</f>
        <v>72.010746541700001</v>
      </c>
      <c r="E45" s="157">
        <f>IF($B45=" ","",IFERROR(INDEX(MMWR_RATING_RO_ROLLUP[],MATCH($B45,MMWR_RATING_RO_ROLLUP[MMWR_RATING_RO_ROLLUP],0),MATCH(E$9,MMWR_RATING_RO_ROLLUP[#Headers],0))/$C45,"ERROR"))</f>
        <v>0.10232079570138333</v>
      </c>
      <c r="F45" s="155">
        <f>IF($B45=" ","",IFERROR(INDEX(MMWR_RATING_RO_ROLLUP[],MATCH($B45,MMWR_RATING_RO_ROLLUP[MMWR_RATING_RO_ROLLUP],0),MATCH(F$9,MMWR_RATING_RO_ROLLUP[#Headers],0)),"ERROR"))</f>
        <v>1812</v>
      </c>
      <c r="G45" s="155">
        <f>IF($B45=" ","",IFERROR(INDEX(MMWR_RATING_RO_ROLLUP[],MATCH($B45,MMWR_RATING_RO_ROLLUP[MMWR_RATING_RO_ROLLUP],0),MATCH(G$9,MMWR_RATING_RO_ROLLUP[#Headers],0)),"ERROR"))</f>
        <v>23455</v>
      </c>
      <c r="H45" s="156">
        <f>IF($B45=" ","",IFERROR(INDEX(MMWR_RATING_RO_ROLLUP[],MATCH($B45,MMWR_RATING_RO_ROLLUP[MMWR_RATING_RO_ROLLUP],0),MATCH(H$9,MMWR_RATING_RO_ROLLUP[#Headers],0)),"ERROR"))</f>
        <v>134.50055187640001</v>
      </c>
      <c r="I45" s="156">
        <f>IF($B45=" ","",IFERROR(INDEX(MMWR_RATING_RO_ROLLUP[],MATCH($B45,MMWR_RATING_RO_ROLLUP[MMWR_RATING_RO_ROLLUP],0),MATCH(I$9,MMWR_RATING_RO_ROLLUP[#Headers],0)),"ERROR"))</f>
        <v>150.97437646559999</v>
      </c>
      <c r="J45" s="42"/>
      <c r="K45" s="42"/>
      <c r="L45" s="42"/>
      <c r="M45" s="42"/>
      <c r="N45" s="42"/>
      <c r="O45" s="42"/>
      <c r="P45" s="28"/>
    </row>
    <row r="46" spans="1:16" x14ac:dyDescent="0.25">
      <c r="A46" s="25"/>
      <c r="B46" s="45" t="s">
        <v>219</v>
      </c>
      <c r="C46" s="155">
        <f>IF($B46=" ","",IFERROR(INDEX(MMWR_RATING_RO_ROLLUP[],MATCH($B46,MMWR_RATING_RO_ROLLUP[MMWR_RATING_RO_ROLLUP],0),MATCH(C$9,MMWR_RATING_RO_ROLLUP[#Headers],0)),"ERROR"))</f>
        <v>3300</v>
      </c>
      <c r="D46" s="156">
        <f>IF($B46=" ","",IFERROR(INDEX(MMWR_RATING_RO_ROLLUP[],MATCH($B46,MMWR_RATING_RO_ROLLUP[MMWR_RATING_RO_ROLLUP],0),MATCH(D$9,MMWR_RATING_RO_ROLLUP[#Headers],0)),"ERROR"))</f>
        <v>66.170303030300005</v>
      </c>
      <c r="E46" s="157">
        <f>IF($B46=" ","",IFERROR(INDEX(MMWR_RATING_RO_ROLLUP[],MATCH($B46,MMWR_RATING_RO_ROLLUP[MMWR_RATING_RO_ROLLUP],0),MATCH(E$9,MMWR_RATING_RO_ROLLUP[#Headers],0))/$C46,"ERROR"))</f>
        <v>6.8484848484848482E-2</v>
      </c>
      <c r="F46" s="155">
        <f>IF($B46=" ","",IFERROR(INDEX(MMWR_RATING_RO_ROLLUP[],MATCH($B46,MMWR_RATING_RO_ROLLUP[MMWR_RATING_RO_ROLLUP],0),MATCH(F$9,MMWR_RATING_RO_ROLLUP[#Headers],0)),"ERROR"))</f>
        <v>897</v>
      </c>
      <c r="G46" s="155">
        <f>IF($B46=" ","",IFERROR(INDEX(MMWR_RATING_RO_ROLLUP[],MATCH($B46,MMWR_RATING_RO_ROLLUP[MMWR_RATING_RO_ROLLUP],0),MATCH(G$9,MMWR_RATING_RO_ROLLUP[#Headers],0)),"ERROR"))</f>
        <v>12142</v>
      </c>
      <c r="H46" s="156">
        <f>IF($B46=" ","",IFERROR(INDEX(MMWR_RATING_RO_ROLLUP[],MATCH($B46,MMWR_RATING_RO_ROLLUP[MMWR_RATING_RO_ROLLUP],0),MATCH(H$9,MMWR_RATING_RO_ROLLUP[#Headers],0)),"ERROR"))</f>
        <v>129.64437012260001</v>
      </c>
      <c r="I46" s="156">
        <f>IF($B46=" ","",IFERROR(INDEX(MMWR_RATING_RO_ROLLUP[],MATCH($B46,MMWR_RATING_RO_ROLLUP[MMWR_RATING_RO_ROLLUP],0),MATCH(I$9,MMWR_RATING_RO_ROLLUP[#Headers],0)),"ERROR"))</f>
        <v>167.60706638120001</v>
      </c>
      <c r="J46" s="42"/>
      <c r="K46" s="42"/>
      <c r="L46" s="42"/>
      <c r="M46" s="42"/>
      <c r="N46" s="42"/>
      <c r="O46" s="42"/>
      <c r="P46" s="28"/>
    </row>
    <row r="47" spans="1:16" x14ac:dyDescent="0.25">
      <c r="A47" s="25"/>
      <c r="B47" s="45" t="s">
        <v>221</v>
      </c>
      <c r="C47" s="155">
        <f>IF($B47=" ","",IFERROR(INDEX(MMWR_RATING_RO_ROLLUP[],MATCH($B47,MMWR_RATING_RO_ROLLUP[MMWR_RATING_RO_ROLLUP],0),MATCH(C$9,MMWR_RATING_RO_ROLLUP[#Headers],0)),"ERROR"))</f>
        <v>4950</v>
      </c>
      <c r="D47" s="156">
        <f>IF($B47=" ","",IFERROR(INDEX(MMWR_RATING_RO_ROLLUP[],MATCH($B47,MMWR_RATING_RO_ROLLUP[MMWR_RATING_RO_ROLLUP],0),MATCH(D$9,MMWR_RATING_RO_ROLLUP[#Headers],0)),"ERROR"))</f>
        <v>74.993333333300001</v>
      </c>
      <c r="E47" s="157">
        <f>IF($B47=" ","",IFERROR(INDEX(MMWR_RATING_RO_ROLLUP[],MATCH($B47,MMWR_RATING_RO_ROLLUP[MMWR_RATING_RO_ROLLUP],0),MATCH(E$9,MMWR_RATING_RO_ROLLUP[#Headers],0))/$C47,"ERROR"))</f>
        <v>0.11818181818181818</v>
      </c>
      <c r="F47" s="155">
        <f>IF($B47=" ","",IFERROR(INDEX(MMWR_RATING_RO_ROLLUP[],MATCH($B47,MMWR_RATING_RO_ROLLUP[MMWR_RATING_RO_ROLLUP],0),MATCH(F$9,MMWR_RATING_RO_ROLLUP[#Headers],0)),"ERROR"))</f>
        <v>774</v>
      </c>
      <c r="G47" s="155">
        <f>IF($B47=" ","",IFERROR(INDEX(MMWR_RATING_RO_ROLLUP[],MATCH($B47,MMWR_RATING_RO_ROLLUP[MMWR_RATING_RO_ROLLUP],0),MATCH(G$9,MMWR_RATING_RO_ROLLUP[#Headers],0)),"ERROR"))</f>
        <v>9416</v>
      </c>
      <c r="H47" s="156">
        <f>IF($B47=" ","",IFERROR(INDEX(MMWR_RATING_RO_ROLLUP[],MATCH($B47,MMWR_RATING_RO_ROLLUP[MMWR_RATING_RO_ROLLUP],0),MATCH(H$9,MMWR_RATING_RO_ROLLUP[#Headers],0)),"ERROR"))</f>
        <v>144.57235142120001</v>
      </c>
      <c r="I47" s="156">
        <f>IF($B47=" ","",IFERROR(INDEX(MMWR_RATING_RO_ROLLUP[],MATCH($B47,MMWR_RATING_RO_ROLLUP[MMWR_RATING_RO_ROLLUP],0),MATCH(I$9,MMWR_RATING_RO_ROLLUP[#Headers],0)),"ERROR"))</f>
        <v>130.7721962617</v>
      </c>
      <c r="J47" s="42"/>
      <c r="K47" s="42"/>
      <c r="L47" s="42"/>
      <c r="M47" s="42"/>
      <c r="N47" s="42"/>
      <c r="O47" s="42"/>
      <c r="P47" s="28"/>
    </row>
    <row r="48" spans="1:16" x14ac:dyDescent="0.25">
      <c r="A48" s="25"/>
      <c r="B48" s="47" t="s">
        <v>317</v>
      </c>
      <c r="C48" s="155">
        <f>IF($B48=" ","",IFERROR(INDEX(MMWR_RATING_RO_ROLLUP[],MATCH($B48,MMWR_RATING_RO_ROLLUP[MMWR_RATING_RO_ROLLUP],0),MATCH(C$9,MMWR_RATING_RO_ROLLUP[#Headers],0)),"ERROR"))</f>
        <v>497</v>
      </c>
      <c r="D48" s="156">
        <f>IF($B48=" ","",IFERROR(INDEX(MMWR_RATING_RO_ROLLUP[],MATCH($B48,MMWR_RATING_RO_ROLLUP[MMWR_RATING_RO_ROLLUP],0),MATCH(D$9,MMWR_RATING_RO_ROLLUP[#Headers],0)),"ERROR"))</f>
        <v>81.084507042300004</v>
      </c>
      <c r="E48" s="157">
        <f>IF($B48=" ","",IFERROR(INDEX(MMWR_RATING_RO_ROLLUP[],MATCH($B48,MMWR_RATING_RO_ROLLUP[MMWR_RATING_RO_ROLLUP],0),MATCH(E$9,MMWR_RATING_RO_ROLLUP[#Headers],0))/$C48,"ERROR"))</f>
        <v>0.16901408450704225</v>
      </c>
      <c r="F48" s="155">
        <f>IF($B48=" ","",IFERROR(INDEX(MMWR_RATING_RO_ROLLUP[],MATCH($B48,MMWR_RATING_RO_ROLLUP[MMWR_RATING_RO_ROLLUP],0),MATCH(F$9,MMWR_RATING_RO_ROLLUP[#Headers],0)),"ERROR"))</f>
        <v>141</v>
      </c>
      <c r="G48" s="155">
        <f>IF($B48=" ","",IFERROR(INDEX(MMWR_RATING_RO_ROLLUP[],MATCH($B48,MMWR_RATING_RO_ROLLUP[MMWR_RATING_RO_ROLLUP],0),MATCH(G$9,MMWR_RATING_RO_ROLLUP[#Headers],0)),"ERROR"))</f>
        <v>1897</v>
      </c>
      <c r="H48" s="156">
        <f>IF($B48=" ","",IFERROR(INDEX(MMWR_RATING_RO_ROLLUP[],MATCH($B48,MMWR_RATING_RO_ROLLUP[MMWR_RATING_RO_ROLLUP],0),MATCH(H$9,MMWR_RATING_RO_ROLLUP[#Headers],0)),"ERROR"))</f>
        <v>110.1063829787</v>
      </c>
      <c r="I48" s="156">
        <f>IF($B48=" ","",IFERROR(INDEX(MMWR_RATING_RO_ROLLUP[],MATCH($B48,MMWR_RATING_RO_ROLLUP[MMWR_RATING_RO_ROLLUP],0),MATCH(I$9,MMWR_RATING_RO_ROLLUP[#Headers],0)),"ERROR"))</f>
        <v>144.79072219290001</v>
      </c>
      <c r="J48" s="42"/>
      <c r="K48" s="42"/>
      <c r="L48" s="42"/>
      <c r="M48" s="42"/>
      <c r="N48" s="42"/>
      <c r="O48" s="42"/>
      <c r="P48" s="28"/>
    </row>
    <row r="49" spans="1:16" ht="12" customHeight="1" x14ac:dyDescent="0.25">
      <c r="A49" s="25"/>
      <c r="B49" s="26"/>
      <c r="C49" s="26"/>
      <c r="D49" s="26"/>
      <c r="E49" s="26"/>
      <c r="F49" s="26"/>
      <c r="G49" s="26"/>
      <c r="H49" s="26"/>
      <c r="I49" s="26"/>
      <c r="J49" s="26"/>
      <c r="K49" s="27" t="s">
        <v>932</v>
      </c>
      <c r="L49" s="27" t="s">
        <v>939</v>
      </c>
      <c r="M49" s="27" t="s">
        <v>940</v>
      </c>
      <c r="N49" s="27" t="s">
        <v>941</v>
      </c>
      <c r="O49" s="27" t="s">
        <v>942</v>
      </c>
      <c r="P49" s="28"/>
    </row>
    <row r="50" spans="1:16" hidden="1" x14ac:dyDescent="0.25"/>
    <row r="51" spans="1:16" hidden="1" x14ac:dyDescent="0.25"/>
    <row r="52" spans="1:16" hidden="1" x14ac:dyDescent="0.25"/>
  </sheetData>
  <sheetProtection password="BD20" sheet="1" autoFilter="0"/>
  <protectedRanges>
    <protectedRange sqref="C45:K48 C40:K43 C13:K13 C34:K38 C15:K32" name="SOJ"/>
  </protectedRanges>
  <mergeCells count="33">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I11:I12"/>
    <mergeCell ref="L11:M11"/>
    <mergeCell ref="N11:O11"/>
    <mergeCell ref="J11:J12"/>
    <mergeCell ref="K11:K12"/>
    <mergeCell ref="M7:O7"/>
  </mergeCells>
  <conditionalFormatting sqref="A1:P3 P6:P8 L6:M8 A6:J8 A5:P5 A4 C4:P4 A9:P49">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99060</xdr:colOff>
                <xdr:row>4</xdr:row>
                <xdr:rowOff>68580</xdr:rowOff>
              </from>
              <to>
                <xdr:col>1</xdr:col>
                <xdr:colOff>1897380</xdr:colOff>
                <xdr:row>5</xdr:row>
                <xdr:rowOff>121920</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5"/>
  <cols>
    <col min="1" max="1" width="2.5546875" style="9" customWidth="1"/>
    <col min="2" max="2" width="32.5546875" style="10" customWidth="1"/>
    <col min="3" max="13" width="15" style="10" customWidth="1"/>
    <col min="14" max="14" width="2.88671875" customWidth="1"/>
    <col min="15" max="16384" width="9.109375" hidden="1"/>
  </cols>
  <sheetData>
    <row r="1" spans="1:16" ht="15" customHeight="1" thickBot="1" x14ac:dyDescent="0.3">
      <c r="A1" s="25"/>
      <c r="B1" s="26"/>
      <c r="C1" s="26"/>
      <c r="D1" s="26"/>
      <c r="E1" s="26"/>
      <c r="F1" s="26"/>
      <c r="G1" s="26"/>
      <c r="H1" s="26"/>
      <c r="I1" s="26"/>
      <c r="J1" s="26"/>
      <c r="K1" s="26"/>
      <c r="L1" s="26"/>
      <c r="M1" s="26"/>
      <c r="N1" s="28"/>
    </row>
    <row r="2" spans="1:16" ht="24" customHeight="1" x14ac:dyDescent="0.4">
      <c r="A2" s="25"/>
      <c r="B2" s="29"/>
      <c r="C2" s="352" t="s">
        <v>303</v>
      </c>
      <c r="D2" s="353"/>
      <c r="E2" s="353"/>
      <c r="F2" s="353"/>
      <c r="G2" s="353"/>
      <c r="H2" s="353"/>
      <c r="I2" s="353"/>
      <c r="J2" s="352" t="s">
        <v>309</v>
      </c>
      <c r="K2" s="353"/>
      <c r="L2" s="353"/>
      <c r="M2" s="354"/>
      <c r="N2" s="28"/>
    </row>
    <row r="3" spans="1:16" ht="24" customHeight="1" thickBot="1" x14ac:dyDescent="0.45">
      <c r="A3" s="25"/>
      <c r="B3" s="29"/>
      <c r="C3" s="355"/>
      <c r="D3" s="356"/>
      <c r="E3" s="356"/>
      <c r="F3" s="356"/>
      <c r="G3" s="356"/>
      <c r="H3" s="356"/>
      <c r="I3" s="356"/>
      <c r="J3" s="355" t="str">
        <f>Transformation!B4</f>
        <v>As of: August 29, 2015</v>
      </c>
      <c r="K3" s="356"/>
      <c r="L3" s="356"/>
      <c r="M3" s="357"/>
      <c r="N3" s="28"/>
    </row>
    <row r="4" spans="1:16" ht="51" customHeight="1" thickBot="1" x14ac:dyDescent="0.45">
      <c r="A4" s="30"/>
      <c r="B4" s="249" t="s">
        <v>465</v>
      </c>
      <c r="C4" s="358" t="s">
        <v>982</v>
      </c>
      <c r="D4" s="359"/>
      <c r="E4" s="359"/>
      <c r="F4" s="359"/>
      <c r="G4" s="359"/>
      <c r="H4" s="359"/>
      <c r="I4" s="359"/>
      <c r="J4" s="359"/>
      <c r="K4" s="359"/>
      <c r="L4" s="359"/>
      <c r="M4" s="360"/>
      <c r="N4" s="28"/>
      <c r="O4" s="22"/>
      <c r="P4" s="23"/>
    </row>
    <row r="5" spans="1:16" ht="27" customHeight="1" thickBot="1" x14ac:dyDescent="0.3">
      <c r="A5" s="30"/>
      <c r="B5" s="48"/>
      <c r="C5" s="361" t="s">
        <v>1054</v>
      </c>
      <c r="D5" s="362"/>
      <c r="E5" s="362"/>
      <c r="F5" s="362"/>
      <c r="G5" s="362"/>
      <c r="H5" s="362"/>
      <c r="I5" s="362"/>
      <c r="J5" s="362"/>
      <c r="K5" s="362"/>
      <c r="L5" s="362"/>
      <c r="M5" s="362"/>
      <c r="N5" s="362"/>
      <c r="O5" s="363"/>
    </row>
    <row r="6" spans="1:16" ht="55.5" customHeight="1" x14ac:dyDescent="0.25">
      <c r="A6" s="30"/>
      <c r="B6" s="31"/>
      <c r="C6" s="32" t="s">
        <v>198</v>
      </c>
      <c r="D6" s="364" t="s">
        <v>16</v>
      </c>
      <c r="E6" s="365"/>
      <c r="F6" s="33" t="s">
        <v>201</v>
      </c>
      <c r="G6" s="364" t="s">
        <v>206</v>
      </c>
      <c r="H6" s="366"/>
      <c r="I6" s="33" t="s">
        <v>204</v>
      </c>
      <c r="J6" s="49" t="s">
        <v>14</v>
      </c>
      <c r="K6" s="33" t="s">
        <v>209</v>
      </c>
      <c r="L6" s="370" t="s">
        <v>88</v>
      </c>
      <c r="M6" s="393"/>
      <c r="N6" s="28"/>
    </row>
    <row r="7" spans="1:16" ht="51.75" customHeight="1" x14ac:dyDescent="0.25">
      <c r="A7" s="30"/>
      <c r="B7" s="34"/>
      <c r="C7" s="35" t="s">
        <v>199</v>
      </c>
      <c r="D7" s="374" t="s">
        <v>0</v>
      </c>
      <c r="E7" s="375"/>
      <c r="F7" s="36" t="s">
        <v>202</v>
      </c>
      <c r="G7" s="376" t="s">
        <v>207</v>
      </c>
      <c r="H7" s="376"/>
      <c r="I7" s="36" t="s">
        <v>205</v>
      </c>
      <c r="J7" s="50" t="s">
        <v>19</v>
      </c>
      <c r="K7" s="36" t="s">
        <v>210</v>
      </c>
      <c r="L7" s="389" t="s">
        <v>90</v>
      </c>
      <c r="M7" s="390"/>
      <c r="N7" s="28"/>
    </row>
    <row r="8" spans="1:16" ht="51.75" customHeight="1" thickBot="1" x14ac:dyDescent="0.3">
      <c r="A8" s="25"/>
      <c r="B8" s="28"/>
      <c r="C8" s="37" t="s">
        <v>200</v>
      </c>
      <c r="D8" s="377" t="s">
        <v>18</v>
      </c>
      <c r="E8" s="378"/>
      <c r="F8" s="38" t="s">
        <v>203</v>
      </c>
      <c r="G8" s="379" t="s">
        <v>17</v>
      </c>
      <c r="H8" s="379"/>
      <c r="I8" s="38" t="s">
        <v>208</v>
      </c>
      <c r="J8" s="51" t="s">
        <v>87</v>
      </c>
      <c r="K8" s="38" t="s">
        <v>211</v>
      </c>
      <c r="L8" s="391" t="s">
        <v>89</v>
      </c>
      <c r="M8" s="392"/>
      <c r="N8" s="28"/>
    </row>
    <row r="9" spans="1:16" ht="13.2" x14ac:dyDescent="0.25">
      <c r="A9" s="28"/>
      <c r="B9" s="28"/>
      <c r="C9" s="39" t="s">
        <v>709</v>
      </c>
      <c r="D9" s="39" t="s">
        <v>711</v>
      </c>
      <c r="E9" s="39" t="s">
        <v>710</v>
      </c>
      <c r="F9" s="39" t="s">
        <v>713</v>
      </c>
      <c r="G9" s="39" t="s">
        <v>712</v>
      </c>
      <c r="H9" s="39" t="s">
        <v>723</v>
      </c>
      <c r="I9" s="39" t="s">
        <v>722</v>
      </c>
      <c r="J9" s="39"/>
      <c r="K9" s="39"/>
      <c r="L9" s="39"/>
      <c r="M9" s="39"/>
      <c r="N9" s="28"/>
    </row>
    <row r="10" spans="1:16" ht="15.75" customHeight="1" x14ac:dyDescent="0.25">
      <c r="A10" s="25"/>
      <c r="B10" s="26"/>
      <c r="C10" s="380" t="s">
        <v>302</v>
      </c>
      <c r="D10" s="380"/>
      <c r="E10" s="380"/>
      <c r="F10" s="380"/>
      <c r="G10" s="380"/>
      <c r="H10" s="380"/>
      <c r="I10" s="380"/>
      <c r="J10" s="380"/>
      <c r="K10" s="380"/>
      <c r="L10" s="380"/>
      <c r="M10" s="384"/>
      <c r="N10" s="28"/>
    </row>
    <row r="11" spans="1:16" ht="64.5" customHeight="1" x14ac:dyDescent="0.25">
      <c r="A11" s="25"/>
      <c r="B11" s="26"/>
      <c r="C11" s="52" t="s">
        <v>234</v>
      </c>
      <c r="D11" s="52" t="s">
        <v>140</v>
      </c>
      <c r="E11" s="52" t="s">
        <v>235</v>
      </c>
      <c r="F11" s="52" t="s">
        <v>195</v>
      </c>
      <c r="G11" s="52" t="s">
        <v>212</v>
      </c>
      <c r="H11" s="52" t="s">
        <v>214</v>
      </c>
      <c r="I11" s="52" t="s">
        <v>215</v>
      </c>
      <c r="J11" s="386" t="s">
        <v>983</v>
      </c>
      <c r="K11" s="387"/>
      <c r="L11" s="387"/>
      <c r="M11" s="388"/>
      <c r="N11" s="28"/>
    </row>
    <row r="12" spans="1:16" ht="13.2" x14ac:dyDescent="0.25">
      <c r="A12" s="25"/>
      <c r="B12" s="41" t="s">
        <v>739</v>
      </c>
      <c r="C12" s="155">
        <f>IF($B12=" ","",IFERROR(INDEX(MMWR_RATING_RO_ROLLUP[],MATCH($B12,MMWR_RATING_RO_ROLLUP[MMWR_RATING_RO_ROLLUP],0),MATCH(C$9,MMWR_RATING_RO_ROLLUP[#Headers],0)),"ERROR"))</f>
        <v>356765</v>
      </c>
      <c r="D12" s="156">
        <f>IF($B12=" ","",IFERROR(INDEX(MMWR_RATING_RO_ROLLUP[],MATCH($B12,MMWR_RATING_RO_ROLLUP[MMWR_RATING_RO_ROLLUP],0),MATCH(D$9,MMWR_RATING_RO_ROLLUP[#Headers],0)),"ERROR"))</f>
        <v>102.84925371040001</v>
      </c>
      <c r="E12" s="157">
        <f>IF($B12=" ","",IFERROR(INDEX(MMWR_RATING_RO_ROLLUP[],MATCH($B12,MMWR_RATING_RO_ROLLUP[MMWR_RATING_RO_ROLLUP],0),MATCH(E$9,MMWR_RATING_RO_ROLLUP[#Headers],0))/$C12,"ERROR"))</f>
        <v>0.25729261558729133</v>
      </c>
      <c r="F12" s="155">
        <f>IF($B12=" ","",IFERROR(INDEX(MMWR_RATING_RO_ROLLUP[],MATCH($B12,MMWR_RATING_RO_ROLLUP[MMWR_RATING_RO_ROLLUP],0),MATCH(F$9,MMWR_RATING_RO_ROLLUP[#Headers],0)),"ERROR"))</f>
        <v>114200</v>
      </c>
      <c r="G12" s="155">
        <f>IF($B12=" ","",IFERROR(INDEX(MMWR_RATING_RO_ROLLUP[],MATCH($B12,MMWR_RATING_RO_ROLLUP[MMWR_RATING_RO_ROLLUP],0),MATCH(G$9,MMWR_RATING_RO_ROLLUP[#Headers],0)),"ERROR"))</f>
        <v>1274478</v>
      </c>
      <c r="H12" s="156">
        <f>IF($B12=" ","",IFERROR(INDEX(MMWR_RATING_RO_ROLLUP[],MATCH($B12,MMWR_RATING_RO_ROLLUP[MMWR_RATING_RO_ROLLUP],0),MATCH(H$9,MMWR_RATING_RO_ROLLUP[#Headers],0)),"ERROR"))</f>
        <v>149.13939579679999</v>
      </c>
      <c r="I12" s="156">
        <f>IF($B12=" ","",IFERROR(INDEX(MMWR_RATING_RO_ROLLUP[],MATCH($B12,MMWR_RATING_RO_ROLLUP[MMWR_RATING_RO_ROLLUP],0),MATCH(I$9,MMWR_RATING_RO_ROLLUP[#Headers],0)),"ERROR"))</f>
        <v>171.48496325549999</v>
      </c>
      <c r="J12" s="42"/>
      <c r="K12" s="42"/>
      <c r="L12" s="42"/>
      <c r="M12" s="42"/>
      <c r="N12" s="28"/>
    </row>
    <row r="13" spans="1:16" ht="13.2" x14ac:dyDescent="0.25">
      <c r="A13" s="25"/>
      <c r="B13" s="372" t="s">
        <v>742</v>
      </c>
      <c r="C13" s="373"/>
      <c r="D13" s="373"/>
      <c r="E13" s="373"/>
      <c r="F13" s="373"/>
      <c r="G13" s="373"/>
      <c r="H13" s="373"/>
      <c r="I13" s="373"/>
      <c r="J13" s="373"/>
      <c r="K13" s="373"/>
      <c r="L13" s="373"/>
      <c r="M13" s="385"/>
      <c r="N13" s="28"/>
    </row>
    <row r="14" spans="1:16" ht="13.2" x14ac:dyDescent="0.25">
      <c r="A14" s="25"/>
      <c r="B14" s="41" t="s">
        <v>738</v>
      </c>
      <c r="C14" s="155">
        <f>IF($B14=" ","",IFERROR(INDEX(MMWR_RATING_RO_ROLLUP[],MATCH($B14,MMWR_RATING_RO_ROLLUP[MMWR_RATING_RO_ROLLUP],0),MATCH(C$9,MMWR_RATING_RO_ROLLUP[#Headers],0)),"ERROR"))</f>
        <v>320436</v>
      </c>
      <c r="D14" s="156">
        <f>IF($B14=" ","",IFERROR(INDEX(MMWR_RATING_RO_ROLLUP[],MATCH($B14,MMWR_RATING_RO_ROLLUP[MMWR_RATING_RO_ROLLUP],0),MATCH(D$9,MMWR_RATING_RO_ROLLUP[#Headers],0)),"ERROR"))</f>
        <v>107.09831292360001</v>
      </c>
      <c r="E14" s="157">
        <f>IF($B14=" ","",IFERROR(INDEX(MMWR_RATING_RO_ROLLUP[],MATCH($B14,MMWR_RATING_RO_ROLLUP[MMWR_RATING_RO_ROLLUP],0),MATCH(E$9,MMWR_RATING_RO_ROLLUP[#Headers],0))/$C14,"ERROR"))</f>
        <v>0.27481930869190729</v>
      </c>
      <c r="F14" s="155">
        <f>IF($B14=" ","",IFERROR(INDEX(MMWR_RATING_RO_ROLLUP[],MATCH($B14,MMWR_RATING_RO_ROLLUP[MMWR_RATING_RO_ROLLUP],0),MATCH(F$9,MMWR_RATING_RO_ROLLUP[#Headers],0)),"ERROR"))</f>
        <v>99105</v>
      </c>
      <c r="G14" s="155">
        <f>IF($B14=" ","",IFERROR(INDEX(MMWR_RATING_RO_ROLLUP[],MATCH($B14,MMWR_RATING_RO_ROLLUP[MMWR_RATING_RO_ROLLUP],0),MATCH(G$9,MMWR_RATING_RO_ROLLUP[#Headers],0)),"ERROR"))</f>
        <v>1087530</v>
      </c>
      <c r="H14" s="156">
        <f>IF($B14=" ","",IFERROR(INDEX(MMWR_RATING_RO_ROLLUP[],MATCH($B14,MMWR_RATING_RO_ROLLUP[MMWR_RATING_RO_ROLLUP],0),MATCH(H$9,MMWR_RATING_RO_ROLLUP[#Headers],0)),"ERROR"))</f>
        <v>159.39491448460001</v>
      </c>
      <c r="I14" s="156">
        <f>IF($B14=" ","",IFERROR(INDEX(MMWR_RATING_RO_ROLLUP[],MATCH($B14,MMWR_RATING_RO_ROLLUP[MMWR_RATING_RO_ROLLUP],0),MATCH(I$9,MMWR_RATING_RO_ROLLUP[#Headers],0)),"ERROR"))</f>
        <v>186.52616663449999</v>
      </c>
      <c r="J14" s="42"/>
      <c r="K14" s="42"/>
      <c r="L14" s="42"/>
      <c r="M14" s="42"/>
      <c r="N14" s="28"/>
    </row>
    <row r="15" spans="1:16" ht="13.2" x14ac:dyDescent="0.25">
      <c r="A15" s="25"/>
      <c r="B15" s="250" t="s">
        <v>379</v>
      </c>
      <c r="C15" s="155">
        <f>IF($B15=" ","",IFERROR(INDEX(MMWR_RATING_RO_ROLLUP[],MATCH($B15,MMWR_RATING_RO_ROLLUP[MMWR_RATING_RO_ROLLUP],0),MATCH(C$9,MMWR_RATING_RO_ROLLUP[#Headers],0)),"ERROR"))</f>
        <v>70144</v>
      </c>
      <c r="D15" s="156">
        <f>IF($B15=" ","",IFERROR(INDEX(MMWR_RATING_RO_ROLLUP[],MATCH($B15,MMWR_RATING_RO_ROLLUP[MMWR_RATING_RO_ROLLUP],0),MATCH(D$9,MMWR_RATING_RO_ROLLUP[#Headers],0)),"ERROR"))</f>
        <v>107.7039803832</v>
      </c>
      <c r="E15" s="157">
        <f>IF($B15=" ","",IFERROR(INDEX(MMWR_RATING_RO_ROLLUP[],MATCH($B15,MMWR_RATING_RO_ROLLUP[MMWR_RATING_RO_ROLLUP],0),MATCH(E$9,MMWR_RATING_RO_ROLLUP[#Headers],0))/$C15,"ERROR"))</f>
        <v>0.27730098083941607</v>
      </c>
      <c r="F15" s="155">
        <f>IF($B15=" ","",IFERROR(INDEX(MMWR_RATING_RO_ROLLUP[],MATCH($B15,MMWR_RATING_RO_ROLLUP[MMWR_RATING_RO_ROLLUP],0),MATCH(F$9,MMWR_RATING_RO_ROLLUP[#Headers],0)),"ERROR"))</f>
        <v>21560</v>
      </c>
      <c r="G15" s="155">
        <f>IF($B15=" ","",IFERROR(INDEX(MMWR_RATING_RO_ROLLUP[],MATCH($B15,MMWR_RATING_RO_ROLLUP[MMWR_RATING_RO_ROLLUP],0),MATCH(G$9,MMWR_RATING_RO_ROLLUP[#Headers],0)),"ERROR"))</f>
        <v>240009</v>
      </c>
      <c r="H15" s="156">
        <f>IF($B15=" ","",IFERROR(INDEX(MMWR_RATING_RO_ROLLUP[],MATCH($B15,MMWR_RATING_RO_ROLLUP[MMWR_RATING_RO_ROLLUP],0),MATCH(H$9,MMWR_RATING_RO_ROLLUP[#Headers],0)),"ERROR"))</f>
        <v>159.26961966600001</v>
      </c>
      <c r="I15" s="156">
        <f>IF($B15=" ","",IFERROR(INDEX(MMWR_RATING_RO_ROLLUP[],MATCH($B15,MMWR_RATING_RO_ROLLUP[MMWR_RATING_RO_ROLLUP],0),MATCH(I$9,MMWR_RATING_RO_ROLLUP[#Headers],0)),"ERROR"))</f>
        <v>191.410551271</v>
      </c>
      <c r="J15" s="42"/>
      <c r="K15" s="42"/>
      <c r="L15" s="42"/>
      <c r="M15" s="42"/>
      <c r="N15" s="28"/>
    </row>
    <row r="16" spans="1:16" ht="13.2" x14ac:dyDescent="0.25">
      <c r="A16" s="25"/>
      <c r="B16" s="8" t="str">
        <f>VLOOKUP($B$15,DISTRICT_RO[],2,0)</f>
        <v>Baltimore VSC</v>
      </c>
      <c r="C16" s="155">
        <f>IF($B16=" ","",IFERROR(INDEX(MMWR_RATING_RO_ROLLUP[],MATCH($B16,MMWR_RATING_RO_ROLLUP[MMWR_RATING_RO_ROLLUP],0),MATCH(C$9,MMWR_RATING_RO_ROLLUP[#Headers],0)),"ERROR"))</f>
        <v>4624</v>
      </c>
      <c r="D16" s="156">
        <f>IF($B16=" ","",IFERROR(INDEX(MMWR_RATING_RO_ROLLUP[],MATCH($B16,MMWR_RATING_RO_ROLLUP[MMWR_RATING_RO_ROLLUP],0),MATCH(D$9,MMWR_RATING_RO_ROLLUP[#Headers],0)),"ERROR"))</f>
        <v>119.2742214533</v>
      </c>
      <c r="E16" s="157">
        <f>IF($B16=" ","",IFERROR(INDEX(MMWR_RATING_RO_ROLLUP[],MATCH($B16,MMWR_RATING_RO_ROLLUP[MMWR_RATING_RO_ROLLUP],0),MATCH(E$9,MMWR_RATING_RO_ROLLUP[#Headers],0))/$C16,"ERROR"))</f>
        <v>0.28741349480968859</v>
      </c>
      <c r="F16" s="155">
        <f>IF($B16=" ","",IFERROR(INDEX(MMWR_RATING_RO_ROLLUP[],MATCH($B16,MMWR_RATING_RO_ROLLUP[MMWR_RATING_RO_ROLLUP],0),MATCH(F$9,MMWR_RATING_RO_ROLLUP[#Headers],0)),"ERROR"))</f>
        <v>1650</v>
      </c>
      <c r="G16" s="155">
        <f>IF($B16=" ","",IFERROR(INDEX(MMWR_RATING_RO_ROLLUP[],MATCH($B16,MMWR_RATING_RO_ROLLUP[MMWR_RATING_RO_ROLLUP],0),MATCH(G$9,MMWR_RATING_RO_ROLLUP[#Headers],0)),"ERROR"))</f>
        <v>18254</v>
      </c>
      <c r="H16" s="156">
        <f>IF($B16=" ","",IFERROR(INDEX(MMWR_RATING_RO_ROLLUP[],MATCH($B16,MMWR_RATING_RO_ROLLUP[MMWR_RATING_RO_ROLLUP],0),MATCH(H$9,MMWR_RATING_RO_ROLLUP[#Headers],0)),"ERROR"))</f>
        <v>188.0472727273</v>
      </c>
      <c r="I16" s="156">
        <f>IF($B16=" ","",IFERROR(INDEX(MMWR_RATING_RO_ROLLUP[],MATCH($B16,MMWR_RATING_RO_ROLLUP[MMWR_RATING_RO_ROLLUP],0),MATCH(I$9,MMWR_RATING_RO_ROLLUP[#Headers],0)),"ERROR"))</f>
        <v>248.5977867865</v>
      </c>
      <c r="J16" s="42"/>
      <c r="K16" s="42"/>
      <c r="L16" s="42"/>
      <c r="M16" s="42"/>
      <c r="N16" s="28"/>
    </row>
    <row r="17" spans="1:14" ht="13.2" x14ac:dyDescent="0.25">
      <c r="A17" s="25"/>
      <c r="B17" s="8" t="str">
        <f>VLOOKUP($B$15,DISTRICT_RO[],3,0)</f>
        <v>Boston VSC</v>
      </c>
      <c r="C17" s="155">
        <f>IF($B17=" ","",IFERROR(INDEX(MMWR_RATING_RO_ROLLUP[],MATCH($B17,MMWR_RATING_RO_ROLLUP[MMWR_RATING_RO_ROLLUP],0),MATCH(C$9,MMWR_RATING_RO_ROLLUP[#Headers],0)),"ERROR"))</f>
        <v>3620</v>
      </c>
      <c r="D17" s="156">
        <f>IF($B17=" ","",IFERROR(INDEX(MMWR_RATING_RO_ROLLUP[],MATCH($B17,MMWR_RATING_RO_ROLLUP[MMWR_RATING_RO_ROLLUP],0),MATCH(D$9,MMWR_RATING_RO_ROLLUP[#Headers],0)),"ERROR"))</f>
        <v>106.2803867403</v>
      </c>
      <c r="E17" s="157">
        <f>IF($B17=" ","",IFERROR(INDEX(MMWR_RATING_RO_ROLLUP[],MATCH($B17,MMWR_RATING_RO_ROLLUP[MMWR_RATING_RO_ROLLUP],0),MATCH(E$9,MMWR_RATING_RO_ROLLUP[#Headers],0))/$C17,"ERROR"))</f>
        <v>0.27348066298342544</v>
      </c>
      <c r="F17" s="155">
        <f>IF($B17=" ","",IFERROR(INDEX(MMWR_RATING_RO_ROLLUP[],MATCH($B17,MMWR_RATING_RO_ROLLUP[MMWR_RATING_RO_ROLLUP],0),MATCH(F$9,MMWR_RATING_RO_ROLLUP[#Headers],0)),"ERROR"))</f>
        <v>1041</v>
      </c>
      <c r="G17" s="155">
        <f>IF($B17=" ","",IFERROR(INDEX(MMWR_RATING_RO_ROLLUP[],MATCH($B17,MMWR_RATING_RO_ROLLUP[MMWR_RATING_RO_ROLLUP],0),MATCH(G$9,MMWR_RATING_RO_ROLLUP[#Headers],0)),"ERROR"))</f>
        <v>11306</v>
      </c>
      <c r="H17" s="156">
        <f>IF($B17=" ","",IFERROR(INDEX(MMWR_RATING_RO_ROLLUP[],MATCH($B17,MMWR_RATING_RO_ROLLUP[MMWR_RATING_RO_ROLLUP],0),MATCH(H$9,MMWR_RATING_RO_ROLLUP[#Headers],0)),"ERROR"))</f>
        <v>171.27569644569999</v>
      </c>
      <c r="I17" s="156">
        <f>IF($B17=" ","",IFERROR(INDEX(MMWR_RATING_RO_ROLLUP[],MATCH($B17,MMWR_RATING_RO_ROLLUP[MMWR_RATING_RO_ROLLUP],0),MATCH(I$9,MMWR_RATING_RO_ROLLUP[#Headers],0)),"ERROR"))</f>
        <v>213.24394127010001</v>
      </c>
      <c r="J17" s="42"/>
      <c r="K17" s="42"/>
      <c r="L17" s="42"/>
      <c r="M17" s="42"/>
      <c r="N17" s="28"/>
    </row>
    <row r="18" spans="1:14" ht="13.2" x14ac:dyDescent="0.25">
      <c r="A18" s="25"/>
      <c r="B18" s="8" t="str">
        <f>VLOOKUP($B$15,DISTRICT_RO[],4,0)</f>
        <v>Buffalo VSC</v>
      </c>
      <c r="C18" s="155">
        <f>IF($B18=" ","",IFERROR(INDEX(MMWR_RATING_RO_ROLLUP[],MATCH($B18,MMWR_RATING_RO_ROLLUP[MMWR_RATING_RO_ROLLUP],0),MATCH(C$9,MMWR_RATING_RO_ROLLUP[#Headers],0)),"ERROR"))</f>
        <v>4396</v>
      </c>
      <c r="D18" s="156">
        <f>IF($B18=" ","",IFERROR(INDEX(MMWR_RATING_RO_ROLLUP[],MATCH($B18,MMWR_RATING_RO_ROLLUP[MMWR_RATING_RO_ROLLUP],0),MATCH(D$9,MMWR_RATING_RO_ROLLUP[#Headers],0)),"ERROR"))</f>
        <v>105.3746587807</v>
      </c>
      <c r="E18" s="157">
        <f>IF($B18=" ","",IFERROR(INDEX(MMWR_RATING_RO_ROLLUP[],MATCH($B18,MMWR_RATING_RO_ROLLUP[MMWR_RATING_RO_ROLLUP],0),MATCH(E$9,MMWR_RATING_RO_ROLLUP[#Headers],0))/$C18,"ERROR"))</f>
        <v>0.27343039126478619</v>
      </c>
      <c r="F18" s="155">
        <f>IF($B18=" ","",IFERROR(INDEX(MMWR_RATING_RO_ROLLUP[],MATCH($B18,MMWR_RATING_RO_ROLLUP[MMWR_RATING_RO_ROLLUP],0),MATCH(F$9,MMWR_RATING_RO_ROLLUP[#Headers],0)),"ERROR"))</f>
        <v>1033</v>
      </c>
      <c r="G18" s="155">
        <f>IF($B18=" ","",IFERROR(INDEX(MMWR_RATING_RO_ROLLUP[],MATCH($B18,MMWR_RATING_RO_ROLLUP[MMWR_RATING_RO_ROLLUP],0),MATCH(G$9,MMWR_RATING_RO_ROLLUP[#Headers],0)),"ERROR"))</f>
        <v>12370</v>
      </c>
      <c r="H18" s="156">
        <f>IF($B18=" ","",IFERROR(INDEX(MMWR_RATING_RO_ROLLUP[],MATCH($B18,MMWR_RATING_RO_ROLLUP[MMWR_RATING_RO_ROLLUP],0),MATCH(H$9,MMWR_RATING_RO_ROLLUP[#Headers],0)),"ERROR"))</f>
        <v>183.8635043562</v>
      </c>
      <c r="I18" s="156">
        <f>IF($B18=" ","",IFERROR(INDEX(MMWR_RATING_RO_ROLLUP[],MATCH($B18,MMWR_RATING_RO_ROLLUP[MMWR_RATING_RO_ROLLUP],0),MATCH(I$9,MMWR_RATING_RO_ROLLUP[#Headers],0)),"ERROR"))</f>
        <v>209.12368633790001</v>
      </c>
      <c r="J18" s="42"/>
      <c r="K18" s="42"/>
      <c r="L18" s="42"/>
      <c r="M18" s="42"/>
      <c r="N18" s="28"/>
    </row>
    <row r="19" spans="1:14" ht="13.2" x14ac:dyDescent="0.25">
      <c r="A19" s="25"/>
      <c r="B19" s="8" t="str">
        <f>VLOOKUP($B$15,DISTRICT_RO[],5,0)</f>
        <v>Hartford VSC</v>
      </c>
      <c r="C19" s="155">
        <f>IF($B19=" ","",IFERROR(INDEX(MMWR_RATING_RO_ROLLUP[],MATCH($B19,MMWR_RATING_RO_ROLLUP[MMWR_RATING_RO_ROLLUP],0),MATCH(C$9,MMWR_RATING_RO_ROLLUP[#Headers],0)),"ERROR"))</f>
        <v>1839</v>
      </c>
      <c r="D19" s="156">
        <f>IF($B19=" ","",IFERROR(INDEX(MMWR_RATING_RO_ROLLUP[],MATCH($B19,MMWR_RATING_RO_ROLLUP[MMWR_RATING_RO_ROLLUP],0),MATCH(D$9,MMWR_RATING_RO_ROLLUP[#Headers],0)),"ERROR"))</f>
        <v>90.256117455099997</v>
      </c>
      <c r="E19" s="157">
        <f>IF($B19=" ","",IFERROR(INDEX(MMWR_RATING_RO_ROLLUP[],MATCH($B19,MMWR_RATING_RO_ROLLUP[MMWR_RATING_RO_ROLLUP],0),MATCH(E$9,MMWR_RATING_RO_ROLLUP[#Headers],0))/$C19,"ERROR"))</f>
        <v>0.21207177814029363</v>
      </c>
      <c r="F19" s="155">
        <f>IF($B19=" ","",IFERROR(INDEX(MMWR_RATING_RO_ROLLUP[],MATCH($B19,MMWR_RATING_RO_ROLLUP[MMWR_RATING_RO_ROLLUP],0),MATCH(F$9,MMWR_RATING_RO_ROLLUP[#Headers],0)),"ERROR"))</f>
        <v>576</v>
      </c>
      <c r="G19" s="155">
        <f>IF($B19=" ","",IFERROR(INDEX(MMWR_RATING_RO_ROLLUP[],MATCH($B19,MMWR_RATING_RO_ROLLUP[MMWR_RATING_RO_ROLLUP],0),MATCH(G$9,MMWR_RATING_RO_ROLLUP[#Headers],0)),"ERROR"))</f>
        <v>5966</v>
      </c>
      <c r="H19" s="156">
        <f>IF($B19=" ","",IFERROR(INDEX(MMWR_RATING_RO_ROLLUP[],MATCH($B19,MMWR_RATING_RO_ROLLUP[MMWR_RATING_RO_ROLLUP],0),MATCH(H$9,MMWR_RATING_RO_ROLLUP[#Headers],0)),"ERROR"))</f>
        <v>156.5260416667</v>
      </c>
      <c r="I19" s="156">
        <f>IF($B19=" ","",IFERROR(INDEX(MMWR_RATING_RO_ROLLUP[],MATCH($B19,MMWR_RATING_RO_ROLLUP[MMWR_RATING_RO_ROLLUP],0),MATCH(I$9,MMWR_RATING_RO_ROLLUP[#Headers],0)),"ERROR"))</f>
        <v>151.10358699299999</v>
      </c>
      <c r="J19" s="42"/>
      <c r="K19" s="42"/>
      <c r="L19" s="42"/>
      <c r="M19" s="42"/>
      <c r="N19" s="28"/>
    </row>
    <row r="20" spans="1:14" ht="13.2" x14ac:dyDescent="0.25">
      <c r="A20" s="25"/>
      <c r="B20" s="8" t="str">
        <f>VLOOKUP($B$15,DISTRICT_RO[],6,0)</f>
        <v>Huntington VSC</v>
      </c>
      <c r="C20" s="155">
        <f>IF($B20=" ","",IFERROR(INDEX(MMWR_RATING_RO_ROLLUP[],MATCH($B20,MMWR_RATING_RO_ROLLUP[MMWR_RATING_RO_ROLLUP],0),MATCH(C$9,MMWR_RATING_RO_ROLLUP[#Headers],0)),"ERROR"))</f>
        <v>2089</v>
      </c>
      <c r="D20" s="156">
        <f>IF($B20=" ","",IFERROR(INDEX(MMWR_RATING_RO_ROLLUP[],MATCH($B20,MMWR_RATING_RO_ROLLUP[MMWR_RATING_RO_ROLLUP],0),MATCH(D$9,MMWR_RATING_RO_ROLLUP[#Headers],0)),"ERROR"))</f>
        <v>87.276208712300004</v>
      </c>
      <c r="E20" s="157">
        <f>IF($B20=" ","",IFERROR(INDEX(MMWR_RATING_RO_ROLLUP[],MATCH($B20,MMWR_RATING_RO_ROLLUP[MMWR_RATING_RO_ROLLUP],0),MATCH(E$9,MMWR_RATING_RO_ROLLUP[#Headers],0))/$C20,"ERROR"))</f>
        <v>0.20536141694590712</v>
      </c>
      <c r="F20" s="155">
        <f>IF($B20=" ","",IFERROR(INDEX(MMWR_RATING_RO_ROLLUP[],MATCH($B20,MMWR_RATING_RO_ROLLUP[MMWR_RATING_RO_ROLLUP],0),MATCH(F$9,MMWR_RATING_RO_ROLLUP[#Headers],0)),"ERROR"))</f>
        <v>1004</v>
      </c>
      <c r="G20" s="155">
        <f>IF($B20=" ","",IFERROR(INDEX(MMWR_RATING_RO_ROLLUP[],MATCH($B20,MMWR_RATING_RO_ROLLUP[MMWR_RATING_RO_ROLLUP],0),MATCH(G$9,MMWR_RATING_RO_ROLLUP[#Headers],0)),"ERROR"))</f>
        <v>8688</v>
      </c>
      <c r="H20" s="156">
        <f>IF($B20=" ","",IFERROR(INDEX(MMWR_RATING_RO_ROLLUP[],MATCH($B20,MMWR_RATING_RO_ROLLUP[MMWR_RATING_RO_ROLLUP],0),MATCH(H$9,MMWR_RATING_RO_ROLLUP[#Headers],0)),"ERROR"))</f>
        <v>117.7211155378</v>
      </c>
      <c r="I20" s="156">
        <f>IF($B20=" ","",IFERROR(INDEX(MMWR_RATING_RO_ROLLUP[],MATCH($B20,MMWR_RATING_RO_ROLLUP[MMWR_RATING_RO_ROLLUP],0),MATCH(I$9,MMWR_RATING_RO_ROLLUP[#Headers],0)),"ERROR"))</f>
        <v>142.54788213629999</v>
      </c>
      <c r="J20" s="42"/>
      <c r="K20" s="42"/>
      <c r="L20" s="42"/>
      <c r="M20" s="42"/>
      <c r="N20" s="28"/>
    </row>
    <row r="21" spans="1:14" ht="13.2" x14ac:dyDescent="0.25">
      <c r="A21" s="25"/>
      <c r="B21" s="8" t="str">
        <f>VLOOKUP($B$15,DISTRICT_RO[],7,0)</f>
        <v>Manchester VSC</v>
      </c>
      <c r="C21" s="155">
        <f>IF($B21=" ","",IFERROR(INDEX(MMWR_RATING_RO_ROLLUP[],MATCH($B21,MMWR_RATING_RO_ROLLUP[MMWR_RATING_RO_ROLLUP],0),MATCH(C$9,MMWR_RATING_RO_ROLLUP[#Headers],0)),"ERROR"))</f>
        <v>1273</v>
      </c>
      <c r="D21" s="156">
        <f>IF($B21=" ","",IFERROR(INDEX(MMWR_RATING_RO_ROLLUP[],MATCH($B21,MMWR_RATING_RO_ROLLUP[MMWR_RATING_RO_ROLLUP],0),MATCH(D$9,MMWR_RATING_RO_ROLLUP[#Headers],0)),"ERROR"))</f>
        <v>88.952867242699995</v>
      </c>
      <c r="E21" s="157">
        <f>IF($B21=" ","",IFERROR(INDEX(MMWR_RATING_RO_ROLLUP[],MATCH($B21,MMWR_RATING_RO_ROLLUP[MMWR_RATING_RO_ROLLUP],0),MATCH(E$9,MMWR_RATING_RO_ROLLUP[#Headers],0))/$C21,"ERROR"))</f>
        <v>0.20188531029065201</v>
      </c>
      <c r="F21" s="155">
        <f>IF($B21=" ","",IFERROR(INDEX(MMWR_RATING_RO_ROLLUP[],MATCH($B21,MMWR_RATING_RO_ROLLUP[MMWR_RATING_RO_ROLLUP],0),MATCH(F$9,MMWR_RATING_RO_ROLLUP[#Headers],0)),"ERROR"))</f>
        <v>359</v>
      </c>
      <c r="G21" s="155">
        <f>IF($B21=" ","",IFERROR(INDEX(MMWR_RATING_RO_ROLLUP[],MATCH($B21,MMWR_RATING_RO_ROLLUP[MMWR_RATING_RO_ROLLUP],0),MATCH(G$9,MMWR_RATING_RO_ROLLUP[#Headers],0)),"ERROR"))</f>
        <v>3711</v>
      </c>
      <c r="H21" s="156">
        <f>IF($B21=" ","",IFERROR(INDEX(MMWR_RATING_RO_ROLLUP[],MATCH($B21,MMWR_RATING_RO_ROLLUP[MMWR_RATING_RO_ROLLUP],0),MATCH(H$9,MMWR_RATING_RO_ROLLUP[#Headers],0)),"ERROR"))</f>
        <v>145.4540389972</v>
      </c>
      <c r="I21" s="156">
        <f>IF($B21=" ","",IFERROR(INDEX(MMWR_RATING_RO_ROLLUP[],MATCH($B21,MMWR_RATING_RO_ROLLUP[MMWR_RATING_RO_ROLLUP],0),MATCH(I$9,MMWR_RATING_RO_ROLLUP[#Headers],0)),"ERROR"))</f>
        <v>175.40420371869999</v>
      </c>
      <c r="J21" s="42"/>
      <c r="K21" s="42"/>
      <c r="L21" s="42"/>
      <c r="M21" s="42"/>
      <c r="N21" s="28"/>
    </row>
    <row r="22" spans="1:14" ht="13.2" x14ac:dyDescent="0.25">
      <c r="A22" s="25"/>
      <c r="B22" s="8" t="str">
        <f>VLOOKUP($B$15,DISTRICT_RO[],8,0)</f>
        <v>New York VSC</v>
      </c>
      <c r="C22" s="155">
        <f>IF($B22=" ","",IFERROR(INDEX(MMWR_RATING_RO_ROLLUP[],MATCH($B22,MMWR_RATING_RO_ROLLUP[MMWR_RATING_RO_ROLLUP],0),MATCH(C$9,MMWR_RATING_RO_ROLLUP[#Headers],0)),"ERROR"))</f>
        <v>4650</v>
      </c>
      <c r="D22" s="156">
        <f>IF($B22=" ","",IFERROR(INDEX(MMWR_RATING_RO_ROLLUP[],MATCH($B22,MMWR_RATING_RO_ROLLUP[MMWR_RATING_RO_ROLLUP],0),MATCH(D$9,MMWR_RATING_RO_ROLLUP[#Headers],0)),"ERROR"))</f>
        <v>106.3277419355</v>
      </c>
      <c r="E22" s="157">
        <f>IF($B22=" ","",IFERROR(INDEX(MMWR_RATING_RO_ROLLUP[],MATCH($B22,MMWR_RATING_RO_ROLLUP[MMWR_RATING_RO_ROLLUP],0),MATCH(E$9,MMWR_RATING_RO_ROLLUP[#Headers],0))/$C22,"ERROR"))</f>
        <v>0.26666666666666666</v>
      </c>
      <c r="F22" s="155">
        <f>IF($B22=" ","",IFERROR(INDEX(MMWR_RATING_RO_ROLLUP[],MATCH($B22,MMWR_RATING_RO_ROLLUP[MMWR_RATING_RO_ROLLUP],0),MATCH(F$9,MMWR_RATING_RO_ROLLUP[#Headers],0)),"ERROR"))</f>
        <v>1363</v>
      </c>
      <c r="G22" s="155">
        <f>IF($B22=" ","",IFERROR(INDEX(MMWR_RATING_RO_ROLLUP[],MATCH($B22,MMWR_RATING_RO_ROLLUP[MMWR_RATING_RO_ROLLUP],0),MATCH(G$9,MMWR_RATING_RO_ROLLUP[#Headers],0)),"ERROR"))</f>
        <v>15484</v>
      </c>
      <c r="H22" s="156">
        <f>IF($B22=" ","",IFERROR(INDEX(MMWR_RATING_RO_ROLLUP[],MATCH($B22,MMWR_RATING_RO_ROLLUP[MMWR_RATING_RO_ROLLUP],0),MATCH(H$9,MMWR_RATING_RO_ROLLUP[#Headers],0)),"ERROR"))</f>
        <v>175.4644167278</v>
      </c>
      <c r="I22" s="156">
        <f>IF($B22=" ","",IFERROR(INDEX(MMWR_RATING_RO_ROLLUP[],MATCH($B22,MMWR_RATING_RO_ROLLUP[MMWR_RATING_RO_ROLLUP],0),MATCH(I$9,MMWR_RATING_RO_ROLLUP[#Headers],0)),"ERROR"))</f>
        <v>203.89931542240001</v>
      </c>
      <c r="J22" s="42"/>
      <c r="K22" s="42"/>
      <c r="L22" s="42"/>
      <c r="M22" s="42"/>
      <c r="N22" s="28"/>
    </row>
    <row r="23" spans="1:14" ht="13.2" x14ac:dyDescent="0.25">
      <c r="A23" s="25"/>
      <c r="B23" s="8" t="str">
        <f>VLOOKUP($B$15,DISTRICT_RO[],9,0)</f>
        <v>Newark VSC</v>
      </c>
      <c r="C23" s="155">
        <f>IF($B23=" ","",IFERROR(INDEX(MMWR_RATING_RO_ROLLUP[],MATCH($B23,MMWR_RATING_RO_ROLLUP[MMWR_RATING_RO_ROLLUP],0),MATCH(C$9,MMWR_RATING_RO_ROLLUP[#Headers],0)),"ERROR"))</f>
        <v>2761</v>
      </c>
      <c r="D23" s="156">
        <f>IF($B23=" ","",IFERROR(INDEX(MMWR_RATING_RO_ROLLUP[],MATCH($B23,MMWR_RATING_RO_ROLLUP[MMWR_RATING_RO_ROLLUP],0),MATCH(D$9,MMWR_RATING_RO_ROLLUP[#Headers],0)),"ERROR"))</f>
        <v>96.640347700099994</v>
      </c>
      <c r="E23" s="157">
        <f>IF($B23=" ","",IFERROR(INDEX(MMWR_RATING_RO_ROLLUP[],MATCH($B23,MMWR_RATING_RO_ROLLUP[MMWR_RATING_RO_ROLLUP],0),MATCH(E$9,MMWR_RATING_RO_ROLLUP[#Headers],0))/$C23,"ERROR"))</f>
        <v>0.23578413618254257</v>
      </c>
      <c r="F23" s="155">
        <f>IF($B23=" ","",IFERROR(INDEX(MMWR_RATING_RO_ROLLUP[],MATCH($B23,MMWR_RATING_RO_ROLLUP[MMWR_RATING_RO_ROLLUP],0),MATCH(F$9,MMWR_RATING_RO_ROLLUP[#Headers],0)),"ERROR"))</f>
        <v>683</v>
      </c>
      <c r="G23" s="155">
        <f>IF($B23=" ","",IFERROR(INDEX(MMWR_RATING_RO_ROLLUP[],MATCH($B23,MMWR_RATING_RO_ROLLUP[MMWR_RATING_RO_ROLLUP],0),MATCH(G$9,MMWR_RATING_RO_ROLLUP[#Headers],0)),"ERROR"))</f>
        <v>6866</v>
      </c>
      <c r="H23" s="156">
        <f>IF($B23=" ","",IFERROR(INDEX(MMWR_RATING_RO_ROLLUP[],MATCH($B23,MMWR_RATING_RO_ROLLUP[MMWR_RATING_RO_ROLLUP],0),MATCH(H$9,MMWR_RATING_RO_ROLLUP[#Headers],0)),"ERROR"))</f>
        <v>170.06588579800001</v>
      </c>
      <c r="I23" s="156">
        <f>IF($B23=" ","",IFERROR(INDEX(MMWR_RATING_RO_ROLLUP[],MATCH($B23,MMWR_RATING_RO_ROLLUP[MMWR_RATING_RO_ROLLUP],0),MATCH(I$9,MMWR_RATING_RO_ROLLUP[#Headers],0)),"ERROR"))</f>
        <v>166.50786484119999</v>
      </c>
      <c r="J23" s="42"/>
      <c r="K23" s="42"/>
      <c r="L23" s="42"/>
      <c r="M23" s="42"/>
      <c r="N23" s="28"/>
    </row>
    <row r="24" spans="1:14" ht="13.2" x14ac:dyDescent="0.25">
      <c r="A24" s="25"/>
      <c r="B24" s="8" t="str">
        <f>VLOOKUP($B$15,DISTRICT_RO[],10,0)</f>
        <v>Philadelphia VSC</v>
      </c>
      <c r="C24" s="155">
        <f>IF($B24=" ","",IFERROR(INDEX(MMWR_RATING_RO_ROLLUP[],MATCH($B24,MMWR_RATING_RO_ROLLUP[MMWR_RATING_RO_ROLLUP],0),MATCH(C$9,MMWR_RATING_RO_ROLLUP[#Headers],0)),"ERROR"))</f>
        <v>7576</v>
      </c>
      <c r="D24" s="156">
        <f>IF($B24=" ","",IFERROR(INDEX(MMWR_RATING_RO_ROLLUP[],MATCH($B24,MMWR_RATING_RO_ROLLUP[MMWR_RATING_RO_ROLLUP],0),MATCH(D$9,MMWR_RATING_RO_ROLLUP[#Headers],0)),"ERROR"))</f>
        <v>128.89849524819999</v>
      </c>
      <c r="E24" s="157">
        <f>IF($B24=" ","",IFERROR(INDEX(MMWR_RATING_RO_ROLLUP[],MATCH($B24,MMWR_RATING_RO_ROLLUP[MMWR_RATING_RO_ROLLUP],0),MATCH(E$9,MMWR_RATING_RO_ROLLUP[#Headers],0))/$C24,"ERROR"))</f>
        <v>0.37130411826821541</v>
      </c>
      <c r="F24" s="155">
        <f>IF($B24=" ","",IFERROR(INDEX(MMWR_RATING_RO_ROLLUP[],MATCH($B24,MMWR_RATING_RO_ROLLUP[MMWR_RATING_RO_ROLLUP],0),MATCH(F$9,MMWR_RATING_RO_ROLLUP[#Headers],0)),"ERROR"))</f>
        <v>2193</v>
      </c>
      <c r="G24" s="155">
        <f>IF($B24=" ","",IFERROR(INDEX(MMWR_RATING_RO_ROLLUP[],MATCH($B24,MMWR_RATING_RO_ROLLUP[MMWR_RATING_RO_ROLLUP],0),MATCH(G$9,MMWR_RATING_RO_ROLLUP[#Headers],0)),"ERROR"))</f>
        <v>26841</v>
      </c>
      <c r="H24" s="156">
        <f>IF($B24=" ","",IFERROR(INDEX(MMWR_RATING_RO_ROLLUP[],MATCH($B24,MMWR_RATING_RO_ROLLUP[MMWR_RATING_RO_ROLLUP],0),MATCH(H$9,MMWR_RATING_RO_ROLLUP[#Headers],0)),"ERROR"))</f>
        <v>171.38349293210001</v>
      </c>
      <c r="I24" s="156">
        <f>IF($B24=" ","",IFERROR(INDEX(MMWR_RATING_RO_ROLLUP[],MATCH($B24,MMWR_RATING_RO_ROLLUP[MMWR_RATING_RO_ROLLUP],0),MATCH(I$9,MMWR_RATING_RO_ROLLUP[#Headers],0)),"ERROR"))</f>
        <v>226.75835475580001</v>
      </c>
      <c r="J24" s="42"/>
      <c r="K24" s="42"/>
      <c r="L24" s="42"/>
      <c r="M24" s="42"/>
      <c r="N24" s="28"/>
    </row>
    <row r="25" spans="1:14" ht="13.2" x14ac:dyDescent="0.25">
      <c r="A25" s="25"/>
      <c r="B25" s="8" t="str">
        <f>VLOOKUP($B$15,DISTRICT_RO[],11,0)</f>
        <v>Pittsburgh VSC</v>
      </c>
      <c r="C25" s="155">
        <f>IF($B25=" ","",IFERROR(INDEX(MMWR_RATING_RO_ROLLUP[],MATCH($B25,MMWR_RATING_RO_ROLLUP[MMWR_RATING_RO_ROLLUP],0),MATCH(C$9,MMWR_RATING_RO_ROLLUP[#Headers],0)),"ERROR"))</f>
        <v>4839</v>
      </c>
      <c r="D25" s="156">
        <f>IF($B25=" ","",IFERROR(INDEX(MMWR_RATING_RO_ROLLUP[],MATCH($B25,MMWR_RATING_RO_ROLLUP[MMWR_RATING_RO_ROLLUP],0),MATCH(D$9,MMWR_RATING_RO_ROLLUP[#Headers],0)),"ERROR"))</f>
        <v>127.2459185782</v>
      </c>
      <c r="E25" s="157">
        <f>IF($B25=" ","",IFERROR(INDEX(MMWR_RATING_RO_ROLLUP[],MATCH($B25,MMWR_RATING_RO_ROLLUP[MMWR_RATING_RO_ROLLUP],0),MATCH(E$9,MMWR_RATING_RO_ROLLUP[#Headers],0))/$C25,"ERROR"))</f>
        <v>0.32713370531101466</v>
      </c>
      <c r="F25" s="155">
        <f>IF($B25=" ","",IFERROR(INDEX(MMWR_RATING_RO_ROLLUP[],MATCH($B25,MMWR_RATING_RO_ROLLUP[MMWR_RATING_RO_ROLLUP],0),MATCH(F$9,MMWR_RATING_RO_ROLLUP[#Headers],0)),"ERROR"))</f>
        <v>982</v>
      </c>
      <c r="G25" s="155">
        <f>IF($B25=" ","",IFERROR(INDEX(MMWR_RATING_RO_ROLLUP[],MATCH($B25,MMWR_RATING_RO_ROLLUP[MMWR_RATING_RO_ROLLUP],0),MATCH(G$9,MMWR_RATING_RO_ROLLUP[#Headers],0)),"ERROR"))</f>
        <v>12312</v>
      </c>
      <c r="H25" s="156">
        <f>IF($B25=" ","",IFERROR(INDEX(MMWR_RATING_RO_ROLLUP[],MATCH($B25,MMWR_RATING_RO_ROLLUP[MMWR_RATING_RO_ROLLUP],0),MATCH(H$9,MMWR_RATING_RO_ROLLUP[#Headers],0)),"ERROR"))</f>
        <v>197.40224032590001</v>
      </c>
      <c r="I25" s="156">
        <f>IF($B25=" ","",IFERROR(INDEX(MMWR_RATING_RO_ROLLUP[],MATCH($B25,MMWR_RATING_RO_ROLLUP[MMWR_RATING_RO_ROLLUP],0),MATCH(I$9,MMWR_RATING_RO_ROLLUP[#Headers],0)),"ERROR"))</f>
        <v>209.64286874589999</v>
      </c>
      <c r="J25" s="42"/>
      <c r="K25" s="42"/>
      <c r="L25" s="42"/>
      <c r="M25" s="42"/>
      <c r="N25" s="28"/>
    </row>
    <row r="26" spans="1:14" ht="13.2" x14ac:dyDescent="0.25">
      <c r="A26" s="25"/>
      <c r="B26" s="8" t="str">
        <f>VLOOKUP($B$15,DISTRICT_RO[],12,0)</f>
        <v>Providence VSC</v>
      </c>
      <c r="C26" s="155">
        <f>IF($B26=" ","",IFERROR(INDEX(MMWR_RATING_RO_ROLLUP[],MATCH($B26,MMWR_RATING_RO_ROLLUP[MMWR_RATING_RO_ROLLUP],0),MATCH(C$9,MMWR_RATING_RO_ROLLUP[#Headers],0)),"ERROR"))</f>
        <v>1989</v>
      </c>
      <c r="D26" s="156">
        <f>IF($B26=" ","",IFERROR(INDEX(MMWR_RATING_RO_ROLLUP[],MATCH($B26,MMWR_RATING_RO_ROLLUP[MMWR_RATING_RO_ROLLUP],0),MATCH(D$9,MMWR_RATING_RO_ROLLUP[#Headers],0)),"ERROR"))</f>
        <v>90.503267973899995</v>
      </c>
      <c r="E26" s="157">
        <f>IF($B26=" ","",IFERROR(INDEX(MMWR_RATING_RO_ROLLUP[],MATCH($B26,MMWR_RATING_RO_ROLLUP[MMWR_RATING_RO_ROLLUP],0),MATCH(E$9,MMWR_RATING_RO_ROLLUP[#Headers],0))/$C26,"ERROR"))</f>
        <v>0.2594268476621418</v>
      </c>
      <c r="F26" s="155">
        <f>IF($B26=" ","",IFERROR(INDEX(MMWR_RATING_RO_ROLLUP[],MATCH($B26,MMWR_RATING_RO_ROLLUP[MMWR_RATING_RO_ROLLUP],0),MATCH(F$9,MMWR_RATING_RO_ROLLUP[#Headers],0)),"ERROR"))</f>
        <v>1704</v>
      </c>
      <c r="G26" s="155">
        <f>IF($B26=" ","",IFERROR(INDEX(MMWR_RATING_RO_ROLLUP[],MATCH($B26,MMWR_RATING_RO_ROLLUP[MMWR_RATING_RO_ROLLUP],0),MATCH(G$9,MMWR_RATING_RO_ROLLUP[#Headers],0)),"ERROR"))</f>
        <v>22129</v>
      </c>
      <c r="H26" s="156">
        <f>IF($B26=" ","",IFERROR(INDEX(MMWR_RATING_RO_ROLLUP[],MATCH($B26,MMWR_RATING_RO_ROLLUP[MMWR_RATING_RO_ROLLUP],0),MATCH(H$9,MMWR_RATING_RO_ROLLUP[#Headers],0)),"ERROR"))</f>
        <v>48.187793427199999</v>
      </c>
      <c r="I26" s="156">
        <f>IF($B26=" ","",IFERROR(INDEX(MMWR_RATING_RO_ROLLUP[],MATCH($B26,MMWR_RATING_RO_ROLLUP[MMWR_RATING_RO_ROLLUP],0),MATCH(I$9,MMWR_RATING_RO_ROLLUP[#Headers],0)),"ERROR"))</f>
        <v>55.045867413800003</v>
      </c>
      <c r="J26" s="42"/>
      <c r="K26" s="42"/>
      <c r="L26" s="42"/>
      <c r="M26" s="42"/>
      <c r="N26" s="28"/>
    </row>
    <row r="27" spans="1:14" ht="13.2" x14ac:dyDescent="0.25">
      <c r="A27" s="25"/>
      <c r="B27" s="8" t="str">
        <f>VLOOKUP($B$15,DISTRICT_RO[],13,0)</f>
        <v>Roanoke VSC</v>
      </c>
      <c r="C27" s="155">
        <f>IF($B27=" ","",IFERROR(INDEX(MMWR_RATING_RO_ROLLUP[],MATCH($B27,MMWR_RATING_RO_ROLLUP[MMWR_RATING_RO_ROLLUP],0),MATCH(C$9,MMWR_RATING_RO_ROLLUP[#Headers],0)),"ERROR"))</f>
        <v>10593</v>
      </c>
      <c r="D27" s="156">
        <f>IF($B27=" ","",IFERROR(INDEX(MMWR_RATING_RO_ROLLUP[],MATCH($B27,MMWR_RATING_RO_ROLLUP[MMWR_RATING_RO_ROLLUP],0),MATCH(D$9,MMWR_RATING_RO_ROLLUP[#Headers],0)),"ERROR"))</f>
        <v>96.646653450399995</v>
      </c>
      <c r="E27" s="157">
        <f>IF($B27=" ","",IFERROR(INDEX(MMWR_RATING_RO_ROLLUP[],MATCH($B27,MMWR_RATING_RO_ROLLUP[MMWR_RATING_RO_ROLLUP],0),MATCH(E$9,MMWR_RATING_RO_ROLLUP[#Headers],0))/$C27,"ERROR"))</f>
        <v>0.23996979137166052</v>
      </c>
      <c r="F27" s="155">
        <f>IF($B27=" ","",IFERROR(INDEX(MMWR_RATING_RO_ROLLUP[],MATCH($B27,MMWR_RATING_RO_ROLLUP[MMWR_RATING_RO_ROLLUP],0),MATCH(F$9,MMWR_RATING_RO_ROLLUP[#Headers],0)),"ERROR"))</f>
        <v>3397</v>
      </c>
      <c r="G27" s="155">
        <f>IF($B27=" ","",IFERROR(INDEX(MMWR_RATING_RO_ROLLUP[],MATCH($B27,MMWR_RATING_RO_ROLLUP[MMWR_RATING_RO_ROLLUP],0),MATCH(G$9,MMWR_RATING_RO_ROLLUP[#Headers],0)),"ERROR"))</f>
        <v>35946</v>
      </c>
      <c r="H27" s="156">
        <f>IF($B27=" ","",IFERROR(INDEX(MMWR_RATING_RO_ROLLUP[],MATCH($B27,MMWR_RATING_RO_ROLLUP[MMWR_RATING_RO_ROLLUP],0),MATCH(H$9,MMWR_RATING_RO_ROLLUP[#Headers],0)),"ERROR"))</f>
        <v>166.34147777449999</v>
      </c>
      <c r="I27" s="156">
        <f>IF($B27=" ","",IFERROR(INDEX(MMWR_RATING_RO_ROLLUP[],MATCH($B27,MMWR_RATING_RO_ROLLUP[MMWR_RATING_RO_ROLLUP],0),MATCH(I$9,MMWR_RATING_RO_ROLLUP[#Headers],0)),"ERROR"))</f>
        <v>207.4548211206</v>
      </c>
      <c r="J27" s="42"/>
      <c r="K27" s="42"/>
      <c r="L27" s="42"/>
      <c r="M27" s="42"/>
      <c r="N27" s="28"/>
    </row>
    <row r="28" spans="1:14" ht="13.2" x14ac:dyDescent="0.25">
      <c r="A28" s="25"/>
      <c r="B28" s="8" t="str">
        <f>VLOOKUP($B$15,DISTRICT_RO[],14,0)</f>
        <v>Togus VSC</v>
      </c>
      <c r="C28" s="155">
        <f>IF($B28=" ","",IFERROR(INDEX(MMWR_RATING_RO_ROLLUP[],MATCH($B28,MMWR_RATING_RO_ROLLUP[MMWR_RATING_RO_ROLLUP],0),MATCH(C$9,MMWR_RATING_RO_ROLLUP[#Headers],0)),"ERROR"))</f>
        <v>1350</v>
      </c>
      <c r="D28" s="156">
        <f>IF($B28=" ","",IFERROR(INDEX(MMWR_RATING_RO_ROLLUP[],MATCH($B28,MMWR_RATING_RO_ROLLUP[MMWR_RATING_RO_ROLLUP],0),MATCH(D$9,MMWR_RATING_RO_ROLLUP[#Headers],0)),"ERROR"))</f>
        <v>75.6466666667</v>
      </c>
      <c r="E28" s="157">
        <f>IF($B28=" ","",IFERROR(INDEX(MMWR_RATING_RO_ROLLUP[],MATCH($B28,MMWR_RATING_RO_ROLLUP[MMWR_RATING_RO_ROLLUP],0),MATCH(E$9,MMWR_RATING_RO_ROLLUP[#Headers],0))/$C28,"ERROR"))</f>
        <v>0.11185185185185186</v>
      </c>
      <c r="F28" s="155">
        <f>IF($B28=" ","",IFERROR(INDEX(MMWR_RATING_RO_ROLLUP[],MATCH($B28,MMWR_RATING_RO_ROLLUP[MMWR_RATING_RO_ROLLUP],0),MATCH(F$9,MMWR_RATING_RO_ROLLUP[#Headers],0)),"ERROR"))</f>
        <v>458</v>
      </c>
      <c r="G28" s="155">
        <f>IF($B28=" ","",IFERROR(INDEX(MMWR_RATING_RO_ROLLUP[],MATCH($B28,MMWR_RATING_RO_ROLLUP[MMWR_RATING_RO_ROLLUP],0),MATCH(G$9,MMWR_RATING_RO_ROLLUP[#Headers],0)),"ERROR"))</f>
        <v>4144</v>
      </c>
      <c r="H28" s="156">
        <f>IF($B28=" ","",IFERROR(INDEX(MMWR_RATING_RO_ROLLUP[],MATCH($B28,MMWR_RATING_RO_ROLLUP[MMWR_RATING_RO_ROLLUP],0),MATCH(H$9,MMWR_RATING_RO_ROLLUP[#Headers],0)),"ERROR"))</f>
        <v>130</v>
      </c>
      <c r="I28" s="156">
        <f>IF($B28=" ","",IFERROR(INDEX(MMWR_RATING_RO_ROLLUP[],MATCH($B28,MMWR_RATING_RO_ROLLUP[MMWR_RATING_RO_ROLLUP],0),MATCH(I$9,MMWR_RATING_RO_ROLLUP[#Headers],0)),"ERROR"))</f>
        <v>130.4317084942</v>
      </c>
      <c r="J28" s="42"/>
      <c r="K28" s="42"/>
      <c r="L28" s="42"/>
      <c r="M28" s="42"/>
      <c r="N28" s="28"/>
    </row>
    <row r="29" spans="1:14" ht="13.2" x14ac:dyDescent="0.25">
      <c r="A29" s="25"/>
      <c r="B29" s="8" t="str">
        <f>VLOOKUP($B$15,DISTRICT_RO[],15,0)</f>
        <v>White River Junction VSC</v>
      </c>
      <c r="C29" s="155">
        <f>IF($B29=" ","",IFERROR(INDEX(MMWR_RATING_RO_ROLLUP[],MATCH($B29,MMWR_RATING_RO_ROLLUP[MMWR_RATING_RO_ROLLUP],0),MATCH(C$9,MMWR_RATING_RO_ROLLUP[#Headers],0)),"ERROR"))</f>
        <v>364</v>
      </c>
      <c r="D29" s="156">
        <f>IF($B29=" ","",IFERROR(INDEX(MMWR_RATING_RO_ROLLUP[],MATCH($B29,MMWR_RATING_RO_ROLLUP[MMWR_RATING_RO_ROLLUP],0),MATCH(D$9,MMWR_RATING_RO_ROLLUP[#Headers],0)),"ERROR"))</f>
        <v>103.4395604396</v>
      </c>
      <c r="E29" s="157">
        <f>IF($B29=" ","",IFERROR(INDEX(MMWR_RATING_RO_ROLLUP[],MATCH($B29,MMWR_RATING_RO_ROLLUP[MMWR_RATING_RO_ROLLUP],0),MATCH(E$9,MMWR_RATING_RO_ROLLUP[#Headers],0))/$C29,"ERROR"))</f>
        <v>0.31043956043956045</v>
      </c>
      <c r="F29" s="155">
        <f>IF($B29=" ","",IFERROR(INDEX(MMWR_RATING_RO_ROLLUP[],MATCH($B29,MMWR_RATING_RO_ROLLUP[MMWR_RATING_RO_ROLLUP],0),MATCH(F$9,MMWR_RATING_RO_ROLLUP[#Headers],0)),"ERROR"))</f>
        <v>112</v>
      </c>
      <c r="G29" s="155">
        <f>IF($B29=" ","",IFERROR(INDEX(MMWR_RATING_RO_ROLLUP[],MATCH($B29,MMWR_RATING_RO_ROLLUP[MMWR_RATING_RO_ROLLUP],0),MATCH(G$9,MMWR_RATING_RO_ROLLUP[#Headers],0)),"ERROR"))</f>
        <v>1425</v>
      </c>
      <c r="H29" s="156">
        <f>IF($B29=" ","",IFERROR(INDEX(MMWR_RATING_RO_ROLLUP[],MATCH($B29,MMWR_RATING_RO_ROLLUP[MMWR_RATING_RO_ROLLUP],0),MATCH(H$9,MMWR_RATING_RO_ROLLUP[#Headers],0)),"ERROR"))</f>
        <v>133.33928571429999</v>
      </c>
      <c r="I29" s="156">
        <f>IF($B29=" ","",IFERROR(INDEX(MMWR_RATING_RO_ROLLUP[],MATCH($B29,MMWR_RATING_RO_ROLLUP[MMWR_RATING_RO_ROLLUP],0),MATCH(I$9,MMWR_RATING_RO_ROLLUP[#Headers],0)),"ERROR"))</f>
        <v>167.01333333330001</v>
      </c>
      <c r="J29" s="42"/>
      <c r="K29" s="42"/>
      <c r="L29" s="42"/>
      <c r="M29" s="42"/>
      <c r="N29" s="28"/>
    </row>
    <row r="30" spans="1:14" ht="13.2" x14ac:dyDescent="0.25">
      <c r="A30" s="25"/>
      <c r="B30" s="8" t="str">
        <f>VLOOKUP($B$15,DISTRICT_RO[],16,0)</f>
        <v>Wilmington VSC</v>
      </c>
      <c r="C30" s="155">
        <f>IF($B30=" ","",IFERROR(INDEX(MMWR_RATING_RO_ROLLUP[],MATCH($B30,MMWR_RATING_RO_ROLLUP[MMWR_RATING_RO_ROLLUP],0),MATCH(C$9,MMWR_RATING_RO_ROLLUP[#Headers],0)),"ERROR"))</f>
        <v>843</v>
      </c>
      <c r="D30" s="156">
        <f>IF($B30=" ","",IFERROR(INDEX(MMWR_RATING_RO_ROLLUP[],MATCH($B30,MMWR_RATING_RO_ROLLUP[MMWR_RATING_RO_ROLLUP],0),MATCH(D$9,MMWR_RATING_RO_ROLLUP[#Headers],0)),"ERROR"))</f>
        <v>110.7366548043</v>
      </c>
      <c r="E30" s="157">
        <f>IF($B30=" ","",IFERROR(INDEX(MMWR_RATING_RO_ROLLUP[],MATCH($B30,MMWR_RATING_RO_ROLLUP[MMWR_RATING_RO_ROLLUP],0),MATCH(E$9,MMWR_RATING_RO_ROLLUP[#Headers],0))/$C30,"ERROR"))</f>
        <v>0.30604982206405695</v>
      </c>
      <c r="F30" s="155">
        <f>IF($B30=" ","",IFERROR(INDEX(MMWR_RATING_RO_ROLLUP[],MATCH($B30,MMWR_RATING_RO_ROLLUP[MMWR_RATING_RO_ROLLUP],0),MATCH(F$9,MMWR_RATING_RO_ROLLUP[#Headers],0)),"ERROR"))</f>
        <v>234</v>
      </c>
      <c r="G30" s="155">
        <f>IF($B30=" ","",IFERROR(INDEX(MMWR_RATING_RO_ROLLUP[],MATCH($B30,MMWR_RATING_RO_ROLLUP[MMWR_RATING_RO_ROLLUP],0),MATCH(G$9,MMWR_RATING_RO_ROLLUP[#Headers],0)),"ERROR"))</f>
        <v>2502</v>
      </c>
      <c r="H30" s="156">
        <f>IF($B30=" ","",IFERROR(INDEX(MMWR_RATING_RO_ROLLUP[],MATCH($B30,MMWR_RATING_RO_ROLLUP[MMWR_RATING_RO_ROLLUP],0),MATCH(H$9,MMWR_RATING_RO_ROLLUP[#Headers],0)),"ERROR"))</f>
        <v>184.08974358969999</v>
      </c>
      <c r="I30" s="156">
        <f>IF($B30=" ","",IFERROR(INDEX(MMWR_RATING_RO_ROLLUP[],MATCH($B30,MMWR_RATING_RO_ROLLUP[MMWR_RATING_RO_ROLLUP],0),MATCH(I$9,MMWR_RATING_RO_ROLLUP[#Headers],0)),"ERROR"))</f>
        <v>221.1942446043</v>
      </c>
      <c r="J30" s="42"/>
      <c r="K30" s="42"/>
      <c r="L30" s="42"/>
      <c r="M30" s="42"/>
      <c r="N30" s="28"/>
    </row>
    <row r="31" spans="1:14" ht="13.2" x14ac:dyDescent="0.25">
      <c r="A31" s="25"/>
      <c r="B31" s="8" t="str">
        <f>VLOOKUP($B$15,DISTRICT_RO[],17,0)</f>
        <v>Winston-Salem VSC</v>
      </c>
      <c r="C31" s="155">
        <f>IF($B31=" ","",IFERROR(INDEX(MMWR_RATING_RO_ROLLUP[],MATCH($B31,MMWR_RATING_RO_ROLLUP[MMWR_RATING_RO_ROLLUP],0),MATCH(C$9,MMWR_RATING_RO_ROLLUP[#Headers],0)),"ERROR"))</f>
        <v>17338</v>
      </c>
      <c r="D31" s="156">
        <f>IF($B31=" ","",IFERROR(INDEX(MMWR_RATING_RO_ROLLUP[],MATCH($B31,MMWR_RATING_RO_ROLLUP[MMWR_RATING_RO_ROLLUP],0),MATCH(D$9,MMWR_RATING_RO_ROLLUP[#Headers],0)),"ERROR"))</f>
        <v>109.77754066209999</v>
      </c>
      <c r="E31" s="157">
        <f>IF($B31=" ","",IFERROR(INDEX(MMWR_RATING_RO_ROLLUP[],MATCH($B31,MMWR_RATING_RO_ROLLUP[MMWR_RATING_RO_ROLLUP],0),MATCH(E$9,MMWR_RATING_RO_ROLLUP[#Headers],0))/$C31,"ERROR"))</f>
        <v>0.28763409851193911</v>
      </c>
      <c r="F31" s="155">
        <f>IF($B31=" ","",IFERROR(INDEX(MMWR_RATING_RO_ROLLUP[],MATCH($B31,MMWR_RATING_RO_ROLLUP[MMWR_RATING_RO_ROLLUP],0),MATCH(F$9,MMWR_RATING_RO_ROLLUP[#Headers],0)),"ERROR"))</f>
        <v>4771</v>
      </c>
      <c r="G31" s="155">
        <f>IF($B31=" ","",IFERROR(INDEX(MMWR_RATING_RO_ROLLUP[],MATCH($B31,MMWR_RATING_RO_ROLLUP[MMWR_RATING_RO_ROLLUP],0),MATCH(G$9,MMWR_RATING_RO_ROLLUP[#Headers],0)),"ERROR"))</f>
        <v>52065</v>
      </c>
      <c r="H31" s="156">
        <f>IF($B31=" ","",IFERROR(INDEX(MMWR_RATING_RO_ROLLUP[],MATCH($B31,MMWR_RATING_RO_ROLLUP[MMWR_RATING_RO_ROLLUP],0),MATCH(H$9,MMWR_RATING_RO_ROLLUP[#Headers],0)),"ERROR"))</f>
        <v>168.73737162020001</v>
      </c>
      <c r="I31" s="156">
        <f>IF($B31=" ","",IFERROR(INDEX(MMWR_RATING_RO_ROLLUP[],MATCH($B31,MMWR_RATING_RO_ROLLUP[MMWR_RATING_RO_ROLLUP],0),MATCH(I$9,MMWR_RATING_RO_ROLLUP[#Headers],0)),"ERROR"))</f>
        <v>204.3313934505</v>
      </c>
      <c r="J31" s="42"/>
      <c r="K31" s="42"/>
      <c r="L31" s="42"/>
      <c r="M31" s="42"/>
      <c r="N31" s="28"/>
    </row>
    <row r="32" spans="1:14" ht="13.2" x14ac:dyDescent="0.25">
      <c r="A32" s="25"/>
      <c r="B32" s="372" t="s">
        <v>743</v>
      </c>
      <c r="C32" s="373"/>
      <c r="D32" s="373"/>
      <c r="E32" s="373"/>
      <c r="F32" s="373"/>
      <c r="G32" s="373"/>
      <c r="H32" s="373"/>
      <c r="I32" s="373"/>
      <c r="J32" s="373"/>
      <c r="K32" s="373"/>
      <c r="L32" s="373"/>
      <c r="M32" s="385"/>
      <c r="N32" s="28"/>
    </row>
    <row r="33" spans="1:14" ht="13.2" x14ac:dyDescent="0.25">
      <c r="A33" s="25"/>
      <c r="B33" s="11" t="s">
        <v>706</v>
      </c>
      <c r="C33" s="155">
        <f>IF($B33=" ","",IFERROR(INDEX(MMWR_RATING_RO_ROLLUP[],MATCH($B33,MMWR_RATING_RO_ROLLUP[MMWR_RATING_RO_ROLLUP],0),MATCH(C$9,MMWR_RATING_RO_ROLLUP[#Headers],0)),"ERROR"))</f>
        <v>19542</v>
      </c>
      <c r="D33" s="156">
        <f>IF($B33=" ","",IFERROR(INDEX(MMWR_RATING_RO_ROLLUP[],MATCH($B33,MMWR_RATING_RO_ROLLUP[MMWR_RATING_RO_ROLLUP],0),MATCH(D$9,MMWR_RATING_RO_ROLLUP[#Headers],0)),"ERROR"))</f>
        <v>59.964896121199999</v>
      </c>
      <c r="E33" s="157">
        <f>IF($B33=" ","",IFERROR(INDEX(MMWR_RATING_RO_ROLLUP[],MATCH($B33,MMWR_RATING_RO_ROLLUP[MMWR_RATING_RO_ROLLUP],0),MATCH(E$9,MMWR_RATING_RO_ROLLUP[#Headers],0))/$C33,"ERROR"))</f>
        <v>9.4156176440487155E-2</v>
      </c>
      <c r="F33" s="155">
        <f>IF($B33=" ","",IFERROR(INDEX(MMWR_RATING_RO_ROLLUP[],MATCH($B33,MMWR_RATING_RO_ROLLUP[MMWR_RATING_RO_ROLLUP],0),MATCH(F$9,MMWR_RATING_RO_ROLLUP[#Headers],0)),"ERROR"))</f>
        <v>11416</v>
      </c>
      <c r="G33" s="155">
        <f>IF($B33=" ","",IFERROR(INDEX(MMWR_RATING_RO_ROLLUP[],MATCH($B33,MMWR_RATING_RO_ROLLUP[MMWR_RATING_RO_ROLLUP],0),MATCH(G$9,MMWR_RATING_RO_ROLLUP[#Headers],0)),"ERROR"))</f>
        <v>139914</v>
      </c>
      <c r="H33" s="156">
        <f>IF($B33=" ","",IFERROR(INDEX(MMWR_RATING_RO_ROLLUP[],MATCH($B33,MMWR_RATING_RO_ROLLUP[MMWR_RATING_RO_ROLLUP],0),MATCH(H$9,MMWR_RATING_RO_ROLLUP[#Headers],0)),"ERROR"))</f>
        <v>66.277154870399997</v>
      </c>
      <c r="I33" s="156">
        <f>IF($B33=" ","",IFERROR(INDEX(MMWR_RATING_RO_ROLLUP[],MATCH($B33,MMWR_RATING_RO_ROLLUP[MMWR_RATING_RO_ROLLUP],0),MATCH(I$9,MMWR_RATING_RO_ROLLUP[#Headers],0)),"ERROR"))</f>
        <v>64.475392026500003</v>
      </c>
      <c r="J33" s="42"/>
      <c r="K33" s="42"/>
      <c r="L33" s="42"/>
      <c r="M33" s="42"/>
      <c r="N33" s="28"/>
    </row>
    <row r="34" spans="1:14" ht="13.2" x14ac:dyDescent="0.25">
      <c r="A34" s="25"/>
      <c r="B34" s="12" t="s">
        <v>218</v>
      </c>
      <c r="C34" s="155">
        <f>IF($B34=" ","",IFERROR(INDEX(MMWR_RATING_RO_ROLLUP[],MATCH($B34,MMWR_RATING_RO_ROLLUP[MMWR_RATING_RO_ROLLUP],0),MATCH(C$9,MMWR_RATING_RO_ROLLUP[#Headers],0)),"ERROR"))</f>
        <v>6027</v>
      </c>
      <c r="D34" s="156">
        <f>IF($B34=" ","",IFERROR(INDEX(MMWR_RATING_RO_ROLLUP[],MATCH($B34,MMWR_RATING_RO_ROLLUP[MMWR_RATING_RO_ROLLUP],0),MATCH(D$9,MMWR_RATING_RO_ROLLUP[#Headers],0)),"ERROR"))</f>
        <v>64.457275593199995</v>
      </c>
      <c r="E34" s="157">
        <f>IF($B34=" ","",IFERROR(INDEX(MMWR_RATING_RO_ROLLUP[],MATCH($B34,MMWR_RATING_RO_ROLLUP[MMWR_RATING_RO_ROLLUP],0),MATCH(E$9,MMWR_RATING_RO_ROLLUP[#Headers],0))/$C34,"ERROR"))</f>
        <v>0.10270449643271944</v>
      </c>
      <c r="F34" s="155">
        <f>IF($B34=" ","",IFERROR(INDEX(MMWR_RATING_RO_ROLLUP[],MATCH($B34,MMWR_RATING_RO_ROLLUP[MMWR_RATING_RO_ROLLUP],0),MATCH(F$9,MMWR_RATING_RO_ROLLUP[#Headers],0)),"ERROR"))</f>
        <v>3580</v>
      </c>
      <c r="G34" s="155">
        <f>IF($B34=" ","",IFERROR(INDEX(MMWR_RATING_RO_ROLLUP[],MATCH($B34,MMWR_RATING_RO_ROLLUP[MMWR_RATING_RO_ROLLUP],0),MATCH(G$9,MMWR_RATING_RO_ROLLUP[#Headers],0)),"ERROR"))</f>
        <v>44429</v>
      </c>
      <c r="H34" s="156">
        <f>IF($B34=" ","",IFERROR(INDEX(MMWR_RATING_RO_ROLLUP[],MATCH($B34,MMWR_RATING_RO_ROLLUP[MMWR_RATING_RO_ROLLUP],0),MATCH(H$9,MMWR_RATING_RO_ROLLUP[#Headers],0)),"ERROR"))</f>
        <v>75.460614525099999</v>
      </c>
      <c r="I34" s="156">
        <f>IF($B34=" ","",IFERROR(INDEX(MMWR_RATING_RO_ROLLUP[],MATCH($B34,MMWR_RATING_RO_ROLLUP[MMWR_RATING_RO_ROLLUP],0),MATCH(I$9,MMWR_RATING_RO_ROLLUP[#Headers],0)),"ERROR"))</f>
        <v>72.382160300699994</v>
      </c>
      <c r="J34" s="42"/>
      <c r="K34" s="42"/>
      <c r="L34" s="42"/>
      <c r="M34" s="42"/>
      <c r="N34" s="28"/>
    </row>
    <row r="35" spans="1:14" ht="13.2" x14ac:dyDescent="0.25">
      <c r="A35" s="43"/>
      <c r="B35" s="12" t="s">
        <v>217</v>
      </c>
      <c r="C35" s="155">
        <f>IF($B35=" ","",IFERROR(INDEX(MMWR_RATING_RO_ROLLUP[],MATCH($B35,MMWR_RATING_RO_ROLLUP[MMWR_RATING_RO_ROLLUP],0),MATCH(C$9,MMWR_RATING_RO_ROLLUP[#Headers],0)),"ERROR"))</f>
        <v>5040</v>
      </c>
      <c r="D35" s="156">
        <f>IF($B35=" ","",IFERROR(INDEX(MMWR_RATING_RO_ROLLUP[],MATCH($B35,MMWR_RATING_RO_ROLLUP[MMWR_RATING_RO_ROLLUP],0),MATCH(D$9,MMWR_RATING_RO_ROLLUP[#Headers],0)),"ERROR"))</f>
        <v>56.577380952399999</v>
      </c>
      <c r="E35" s="157">
        <f>IF($B35=" ","",IFERROR(INDEX(MMWR_RATING_RO_ROLLUP[],MATCH($B35,MMWR_RATING_RO_ROLLUP[MMWR_RATING_RO_ROLLUP],0),MATCH(E$9,MMWR_RATING_RO_ROLLUP[#Headers],0))/$C35,"ERROR"))</f>
        <v>9.4444444444444442E-2</v>
      </c>
      <c r="F35" s="155">
        <f>IF($B35=" ","",IFERROR(INDEX(MMWR_RATING_RO_ROLLUP[],MATCH($B35,MMWR_RATING_RO_ROLLUP[MMWR_RATING_RO_ROLLUP],0),MATCH(F$9,MMWR_RATING_RO_ROLLUP[#Headers],0)),"ERROR"))</f>
        <v>2821</v>
      </c>
      <c r="G35" s="155">
        <f>IF($B35=" ","",IFERROR(INDEX(MMWR_RATING_RO_ROLLUP[],MATCH($B35,MMWR_RATING_RO_ROLLUP[MMWR_RATING_RO_ROLLUP],0),MATCH(G$9,MMWR_RATING_RO_ROLLUP[#Headers],0)),"ERROR"))</f>
        <v>39247</v>
      </c>
      <c r="H35" s="156">
        <f>IF($B35=" ","",IFERROR(INDEX(MMWR_RATING_RO_ROLLUP[],MATCH($B35,MMWR_RATING_RO_ROLLUP[MMWR_RATING_RO_ROLLUP],0),MATCH(H$9,MMWR_RATING_RO_ROLLUP[#Headers],0)),"ERROR"))</f>
        <v>55.874158100000002</v>
      </c>
      <c r="I35" s="156">
        <f>IF($B35=" ","",IFERROR(INDEX(MMWR_RATING_RO_ROLLUP[],MATCH($B35,MMWR_RATING_RO_ROLLUP[MMWR_RATING_RO_ROLLUP],0),MATCH(I$9,MMWR_RATING_RO_ROLLUP[#Headers],0)),"ERROR"))</f>
        <v>54.753204066599999</v>
      </c>
      <c r="J35" s="42"/>
      <c r="K35" s="42"/>
      <c r="L35" s="42"/>
      <c r="M35" s="42"/>
      <c r="N35" s="28"/>
    </row>
    <row r="36" spans="1:14" ht="13.2" x14ac:dyDescent="0.25">
      <c r="A36" s="25"/>
      <c r="B36" s="12" t="s">
        <v>220</v>
      </c>
      <c r="C36" s="155">
        <f>IF($B36=" ","",IFERROR(INDEX(MMWR_RATING_RO_ROLLUP[],MATCH($B36,MMWR_RATING_RO_ROLLUP[MMWR_RATING_RO_ROLLUP],0),MATCH(C$9,MMWR_RATING_RO_ROLLUP[#Headers],0)),"ERROR"))</f>
        <v>7961</v>
      </c>
      <c r="D36" s="156">
        <f>IF($B36=" ","",IFERROR(INDEX(MMWR_RATING_RO_ROLLUP[],MATCH($B36,MMWR_RATING_RO_ROLLUP[MMWR_RATING_RO_ROLLUP],0),MATCH(D$9,MMWR_RATING_RO_ROLLUP[#Headers],0)),"ERROR"))</f>
        <v>51.885190302700003</v>
      </c>
      <c r="E36" s="157">
        <f>IF($B36=" ","",IFERROR(INDEX(MMWR_RATING_RO_ROLLUP[],MATCH($B36,MMWR_RATING_RO_ROLLUP[MMWR_RATING_RO_ROLLUP],0),MATCH(E$9,MMWR_RATING_RO_ROLLUP[#Headers],0))/$C36,"ERROR"))</f>
        <v>6.4062303730687095E-2</v>
      </c>
      <c r="F36" s="155">
        <f>IF($B36=" ","",IFERROR(INDEX(MMWR_RATING_RO_ROLLUP[],MATCH($B36,MMWR_RATING_RO_ROLLUP[MMWR_RATING_RO_ROLLUP],0),MATCH(F$9,MMWR_RATING_RO_ROLLUP[#Headers],0)),"ERROR"))</f>
        <v>4644</v>
      </c>
      <c r="G36" s="155">
        <f>IF($B36=" ","",IFERROR(INDEX(MMWR_RATING_RO_ROLLUP[],MATCH($B36,MMWR_RATING_RO_ROLLUP[MMWR_RATING_RO_ROLLUP],0),MATCH(G$9,MMWR_RATING_RO_ROLLUP[#Headers],0)),"ERROR"))</f>
        <v>51071</v>
      </c>
      <c r="H36" s="156">
        <f>IF($B36=" ","",IFERROR(INDEX(MMWR_RATING_RO_ROLLUP[],MATCH($B36,MMWR_RATING_RO_ROLLUP[MMWR_RATING_RO_ROLLUP],0),MATCH(H$9,MMWR_RATING_RO_ROLLUP[#Headers],0)),"ERROR"))</f>
        <v>65.503660637400003</v>
      </c>
      <c r="I36" s="156">
        <f>IF($B36=" ","",IFERROR(INDEX(MMWR_RATING_RO_ROLLUP[],MATCH($B36,MMWR_RATING_RO_ROLLUP[MMWR_RATING_RO_ROLLUP],0),MATCH(I$9,MMWR_RATING_RO_ROLLUP[#Headers],0)),"ERROR"))</f>
        <v>64.723443833100006</v>
      </c>
      <c r="J36" s="42"/>
      <c r="K36" s="42"/>
      <c r="L36" s="42"/>
      <c r="M36" s="42"/>
      <c r="N36" s="28"/>
    </row>
    <row r="37" spans="1:14" ht="13.2" x14ac:dyDescent="0.25">
      <c r="A37" s="25"/>
      <c r="B37" s="13" t="s">
        <v>232</v>
      </c>
      <c r="C37" s="155">
        <f>IF($B37=" ","",IFERROR(INDEX(MMWR_RATING_RO_ROLLUP[],MATCH($B37,MMWR_RATING_RO_ROLLUP[MMWR_RATING_RO_ROLLUP],0),MATCH(C$9,MMWR_RATING_RO_ROLLUP[#Headers],0)),"ERROR"))</f>
        <v>514</v>
      </c>
      <c r="D37" s="156">
        <f>IF($B37=" ","",IFERROR(INDEX(MMWR_RATING_RO_ROLLUP[],MATCH($B37,MMWR_RATING_RO_ROLLUP[MMWR_RATING_RO_ROLLUP],0),MATCH(D$9,MMWR_RATING_RO_ROLLUP[#Headers],0)),"ERROR"))</f>
        <v>165.6459143969</v>
      </c>
      <c r="E37" s="157">
        <f>IF($B37=" ","",IFERROR(INDEX(MMWR_RATING_RO_ROLLUP[],MATCH($B37,MMWR_RATING_RO_ROLLUP[MMWR_RATING_RO_ROLLUP],0),MATCH(E$9,MMWR_RATING_RO_ROLLUP[#Headers],0))/$C37,"ERROR"))</f>
        <v>0.45719844357976652</v>
      </c>
      <c r="F37" s="155">
        <f>IF($B37=" ","",IFERROR(INDEX(MMWR_RATING_RO_ROLLUP[],MATCH($B37,MMWR_RATING_RO_ROLLUP[MMWR_RATING_RO_ROLLUP],0),MATCH(F$9,MMWR_RATING_RO_ROLLUP[#Headers],0)),"ERROR"))</f>
        <v>371</v>
      </c>
      <c r="G37" s="155">
        <f>IF($B37=" ","",IFERROR(INDEX(MMWR_RATING_RO_ROLLUP[],MATCH($B37,MMWR_RATING_RO_ROLLUP[MMWR_RATING_RO_ROLLUP],0),MATCH(G$9,MMWR_RATING_RO_ROLLUP[#Headers],0)),"ERROR"))</f>
        <v>5167</v>
      </c>
      <c r="H37" s="156">
        <f>IF($B37=" ","",IFERROR(INDEX(MMWR_RATING_RO_ROLLUP[],MATCH($B37,MMWR_RATING_RO_ROLLUP[MMWR_RATING_RO_ROLLUP],0),MATCH(H$9,MMWR_RATING_RO_ROLLUP[#Headers],0)),"ERROR"))</f>
        <v>66.444743935299996</v>
      </c>
      <c r="I37" s="156">
        <f>IF($B37=" ","",IFERROR(INDEX(MMWR_RATING_RO_ROLLUP[],MATCH($B37,MMWR_RATING_RO_ROLLUP[MMWR_RATING_RO_ROLLUP],0),MATCH(I$9,MMWR_RATING_RO_ROLLUP[#Headers],0)),"ERROR"))</f>
        <v>67.883297851799995</v>
      </c>
      <c r="J37" s="42"/>
      <c r="K37" s="42"/>
      <c r="L37" s="42"/>
      <c r="M37" s="42"/>
      <c r="N37" s="28"/>
    </row>
    <row r="38" spans="1:14" ht="13.2" x14ac:dyDescent="0.25">
      <c r="A38" s="25"/>
      <c r="B38" s="372" t="s">
        <v>926</v>
      </c>
      <c r="C38" s="373"/>
      <c r="D38" s="373"/>
      <c r="E38" s="373"/>
      <c r="F38" s="373"/>
      <c r="G38" s="373"/>
      <c r="H38" s="373"/>
      <c r="I38" s="373"/>
      <c r="J38" s="373"/>
      <c r="K38" s="373"/>
      <c r="L38" s="373"/>
      <c r="M38" s="385"/>
      <c r="N38" s="28"/>
    </row>
    <row r="39" spans="1:14" ht="13.2" x14ac:dyDescent="0.25">
      <c r="A39" s="25"/>
      <c r="B39" s="44" t="s">
        <v>707</v>
      </c>
      <c r="C39" s="155">
        <f>IF($B39=" ","",IFERROR(INDEX(MMWR_RATING_RO_ROLLUP[],MATCH($B39,MMWR_RATING_RO_ROLLUP[MMWR_RATING_RO_ROLLUP],0),MATCH(C$9,MMWR_RATING_RO_ROLLUP[#Headers],0)),"ERROR"))</f>
        <v>8040</v>
      </c>
      <c r="D39" s="156">
        <f>IF($B39=" ","",IFERROR(INDEX(MMWR_RATING_RO_ROLLUP[],MATCH($B39,MMWR_RATING_RO_ROLLUP[MMWR_RATING_RO_ROLLUP],0),MATCH(D$9,MMWR_RATING_RO_ROLLUP[#Headers],0)),"ERROR"))</f>
        <v>71.286940298499999</v>
      </c>
      <c r="E39" s="157">
        <f>IF($B39=" ","",IFERROR(INDEX(MMWR_RATING_RO_ROLLUP[],MATCH($B39,MMWR_RATING_RO_ROLLUP[MMWR_RATING_RO_ROLLUP],0),MATCH(E$9,MMWR_RATING_RO_ROLLUP[#Headers],0))/$C39,"ERROR"))</f>
        <v>0.12388059701492538</v>
      </c>
      <c r="F39" s="155">
        <f>IF($B39=" ","",IFERROR(INDEX(MMWR_RATING_RO_ROLLUP[],MATCH($B39,MMWR_RATING_RO_ROLLUP[MMWR_RATING_RO_ROLLUP],0),MATCH(F$9,MMWR_RATING_RO_ROLLUP[#Headers],0)),"ERROR"))</f>
        <v>1867</v>
      </c>
      <c r="G39" s="155">
        <f>IF($B39=" ","",IFERROR(INDEX(MMWR_RATING_RO_ROLLUP[],MATCH($B39,MMWR_RATING_RO_ROLLUP[MMWR_RATING_RO_ROLLUP],0),MATCH(G$9,MMWR_RATING_RO_ROLLUP[#Headers],0)),"ERROR"))</f>
        <v>23579</v>
      </c>
      <c r="H39" s="156">
        <f>IF($B39=" ","",IFERROR(INDEX(MMWR_RATING_RO_ROLLUP[],MATCH($B39,MMWR_RATING_RO_ROLLUP[MMWR_RATING_RO_ROLLUP],0),MATCH(H$9,MMWR_RATING_RO_ROLLUP[#Headers],0)),"ERROR"))</f>
        <v>125.6298875201</v>
      </c>
      <c r="I39" s="156">
        <f>IF($B39=" ","",IFERROR(INDEX(MMWR_RATING_RO_ROLLUP[],MATCH($B39,MMWR_RATING_RO_ROLLUP[MMWR_RATING_RO_ROLLUP],0),MATCH(I$9,MMWR_RATING_RO_ROLLUP[#Headers],0)),"ERROR"))</f>
        <v>133.12256669070001</v>
      </c>
      <c r="J39" s="42"/>
      <c r="K39" s="42"/>
      <c r="L39" s="42"/>
      <c r="M39" s="42"/>
      <c r="N39" s="28"/>
    </row>
    <row r="40" spans="1:14" ht="13.2" x14ac:dyDescent="0.25">
      <c r="A40" s="25"/>
      <c r="B40" s="53" t="s">
        <v>968</v>
      </c>
      <c r="C40" s="155">
        <f>IF($B40=" ","",IFERROR(INDEX(MMWR_RATING_RO_ROLLUP[],MATCH($B40,MMWR_RATING_RO_ROLLUP[MMWR_RATING_RO_ROLLUP],0),MATCH(C$9,MMWR_RATING_RO_ROLLUP[#Headers],0)),"ERROR"))</f>
        <v>2658</v>
      </c>
      <c r="D40" s="156">
        <f>IF($B40=" ","",IFERROR(INDEX(MMWR_RATING_RO_ROLLUP[],MATCH($B40,MMWR_RATING_RO_ROLLUP[MMWR_RATING_RO_ROLLUP],0),MATCH(D$9,MMWR_RATING_RO_ROLLUP[#Headers],0)),"ERROR"))</f>
        <v>65.214446952599999</v>
      </c>
      <c r="E40" s="157">
        <f>IF($B40=" ","",IFERROR(INDEX(MMWR_RATING_RO_ROLLUP[],MATCH($B40,MMWR_RATING_RO_ROLLUP[MMWR_RATING_RO_ROLLUP],0),MATCH(E$9,MMWR_RATING_RO_ROLLUP[#Headers],0))/$C40,"ERROR"))</f>
        <v>0.10835214446952596</v>
      </c>
      <c r="F40" s="155">
        <f>IF($B40=" ","",IFERROR(INDEX(MMWR_RATING_RO_ROLLUP[],MATCH($B40,MMWR_RATING_RO_ROLLUP[MMWR_RATING_RO_ROLLUP],0),MATCH(F$9,MMWR_RATING_RO_ROLLUP[#Headers],0)),"ERROR"))</f>
        <v>752</v>
      </c>
      <c r="G40" s="155">
        <f>IF($B40=" ","",IFERROR(INDEX(MMWR_RATING_RO_ROLLUP[],MATCH($B40,MMWR_RATING_RO_ROLLUP[MMWR_RATING_RO_ROLLUP],0),MATCH(G$9,MMWR_RATING_RO_ROLLUP[#Headers],0)),"ERROR"))</f>
        <v>9822</v>
      </c>
      <c r="H40" s="156">
        <f>IF($B40=" ","",IFERROR(INDEX(MMWR_RATING_RO_ROLLUP[],MATCH($B40,MMWR_RATING_RO_ROLLUP[MMWR_RATING_RO_ROLLUP],0),MATCH(H$9,MMWR_RATING_RO_ROLLUP[#Headers],0)),"ERROR"))</f>
        <v>103.92553191490001</v>
      </c>
      <c r="I40" s="156">
        <f>IF($B40=" ","",IFERROR(INDEX(MMWR_RATING_RO_ROLLUP[],MATCH($B40,MMWR_RATING_RO_ROLLUP[MMWR_RATING_RO_ROLLUP],0),MATCH(I$9,MMWR_RATING_RO_ROLLUP[#Headers],0)),"ERROR"))</f>
        <v>118.3565465282</v>
      </c>
      <c r="J40" s="42"/>
      <c r="K40" s="42"/>
      <c r="L40" s="42"/>
      <c r="M40" s="42"/>
      <c r="N40" s="28"/>
    </row>
    <row r="41" spans="1:14" ht="13.2" x14ac:dyDescent="0.25">
      <c r="A41" s="25"/>
      <c r="B41" s="53" t="s">
        <v>969</v>
      </c>
      <c r="C41" s="155">
        <f>IF($B41=" ","",IFERROR(INDEX(MMWR_RATING_RO_ROLLUP[],MATCH($B41,MMWR_RATING_RO_ROLLUP[MMWR_RATING_RO_ROLLUP],0),MATCH(C$9,MMWR_RATING_RO_ROLLUP[#Headers],0)),"ERROR"))</f>
        <v>2736</v>
      </c>
      <c r="D41" s="156">
        <f>IF($B41=" ","",IFERROR(INDEX(MMWR_RATING_RO_ROLLUP[],MATCH($B41,MMWR_RATING_RO_ROLLUP[MMWR_RATING_RO_ROLLUP],0),MATCH(D$9,MMWR_RATING_RO_ROLLUP[#Headers],0)),"ERROR"))</f>
        <v>80.375730994199998</v>
      </c>
      <c r="E41" s="157">
        <f>IF($B41=" ","",IFERROR(INDEX(MMWR_RATING_RO_ROLLUP[],MATCH($B41,MMWR_RATING_RO_ROLLUP[MMWR_RATING_RO_ROLLUP],0),MATCH(E$9,MMWR_RATING_RO_ROLLUP[#Headers],0))/$C41,"ERROR"))</f>
        <v>0.15789473684210525</v>
      </c>
      <c r="F41" s="155">
        <f>IF($B41=" ","",IFERROR(INDEX(MMWR_RATING_RO_ROLLUP[],MATCH($B41,MMWR_RATING_RO_ROLLUP[MMWR_RATING_RO_ROLLUP],0),MATCH(F$9,MMWR_RATING_RO_ROLLUP[#Headers],0)),"ERROR"))</f>
        <v>588</v>
      </c>
      <c r="G41" s="155">
        <f>IF($B41=" ","",IFERROR(INDEX(MMWR_RATING_RO_ROLLUP[],MATCH($B41,MMWR_RATING_RO_ROLLUP[MMWR_RATING_RO_ROLLUP],0),MATCH(G$9,MMWR_RATING_RO_ROLLUP[#Headers],0)),"ERROR"))</f>
        <v>10029</v>
      </c>
      <c r="H41" s="156">
        <f>IF($B41=" ","",IFERROR(INDEX(MMWR_RATING_RO_ROLLUP[],MATCH($B41,MMWR_RATING_RO_ROLLUP[MMWR_RATING_RO_ROLLUP],0),MATCH(H$9,MMWR_RATING_RO_ROLLUP[#Headers],0)),"ERROR"))</f>
        <v>159.15986394559999</v>
      </c>
      <c r="I41" s="156">
        <f>IF($B41=" ","",IFERROR(INDEX(MMWR_RATING_RO_ROLLUP[],MATCH($B41,MMWR_RATING_RO_ROLLUP[MMWR_RATING_RO_ROLLUP],0),MATCH(I$9,MMWR_RATING_RO_ROLLUP[#Headers],0)),"ERROR"))</f>
        <v>151.16502143779999</v>
      </c>
      <c r="J41" s="42"/>
      <c r="K41" s="42"/>
      <c r="L41" s="42"/>
      <c r="M41" s="42"/>
      <c r="N41" s="28"/>
    </row>
    <row r="42" spans="1:14" ht="13.2" x14ac:dyDescent="0.25">
      <c r="A42" s="25"/>
      <c r="B42" s="46" t="s">
        <v>316</v>
      </c>
      <c r="C42" s="155">
        <f>IF($B42=" ","",IFERROR(INDEX(MMWR_RATING_RO_ROLLUP[],MATCH($B42,MMWR_RATING_RO_ROLLUP[MMWR_RATING_RO_ROLLUP],0),MATCH(C$9,MMWR_RATING_RO_ROLLUP[#Headers],0)),"ERROR"))</f>
        <v>2646</v>
      </c>
      <c r="D42" s="156">
        <f>IF($B42=" ","",IFERROR(INDEX(MMWR_RATING_RO_ROLLUP[],MATCH($B42,MMWR_RATING_RO_ROLLUP[MMWR_RATING_RO_ROLLUP],0),MATCH(D$9,MMWR_RATING_RO_ROLLUP[#Headers],0)),"ERROR"))</f>
        <v>67.989040060500002</v>
      </c>
      <c r="E42" s="157">
        <f>IF($B42=" ","",IFERROR(INDEX(MMWR_RATING_RO_ROLLUP[],MATCH($B42,MMWR_RATING_RO_ROLLUP[MMWR_RATING_RO_ROLLUP],0),MATCH(E$9,MMWR_RATING_RO_ROLLUP[#Headers],0))/$C42,"ERROR"))</f>
        <v>0.10430839002267574</v>
      </c>
      <c r="F42" s="155">
        <f>IF($B42=" ","",IFERROR(INDEX(MMWR_RATING_RO_ROLLUP[],MATCH($B42,MMWR_RATING_RO_ROLLUP[MMWR_RATING_RO_ROLLUP],0),MATCH(F$9,MMWR_RATING_RO_ROLLUP[#Headers],0)),"ERROR"))</f>
        <v>527</v>
      </c>
      <c r="G42" s="155">
        <f>IF($B42=" ","",IFERROR(INDEX(MMWR_RATING_RO_ROLLUP[],MATCH($B42,MMWR_RATING_RO_ROLLUP[MMWR_RATING_RO_ROLLUP],0),MATCH(G$9,MMWR_RATING_RO_ROLLUP[#Headers],0)),"ERROR"))</f>
        <v>3728</v>
      </c>
      <c r="H42" s="156">
        <f>IF($B42=" ","",IFERROR(INDEX(MMWR_RATING_RO_ROLLUP[],MATCH($B42,MMWR_RATING_RO_ROLLUP[MMWR_RATING_RO_ROLLUP],0),MATCH(H$9,MMWR_RATING_RO_ROLLUP[#Headers],0)),"ERROR"))</f>
        <v>119.18975332070001</v>
      </c>
      <c r="I42" s="156">
        <f>IF($B42=" ","",IFERROR(INDEX(MMWR_RATING_RO_ROLLUP[],MATCH($B42,MMWR_RATING_RO_ROLLUP[MMWR_RATING_RO_ROLLUP],0),MATCH(I$9,MMWR_RATING_RO_ROLLUP[#Headers],0)),"ERROR"))</f>
        <v>123.4884656652</v>
      </c>
      <c r="J42" s="42"/>
      <c r="K42" s="42"/>
      <c r="L42" s="42"/>
      <c r="M42" s="42"/>
      <c r="N42" s="28"/>
    </row>
    <row r="43" spans="1:14" ht="13.2" x14ac:dyDescent="0.25">
      <c r="A43" s="25"/>
      <c r="B43" s="372" t="s">
        <v>744</v>
      </c>
      <c r="C43" s="373"/>
      <c r="D43" s="373"/>
      <c r="E43" s="373"/>
      <c r="F43" s="373"/>
      <c r="G43" s="373"/>
      <c r="H43" s="373"/>
      <c r="I43" s="373"/>
      <c r="J43" s="373"/>
      <c r="K43" s="373"/>
      <c r="L43" s="373"/>
      <c r="M43" s="385"/>
      <c r="N43" s="28"/>
    </row>
    <row r="44" spans="1:14" ht="13.2" x14ac:dyDescent="0.25">
      <c r="A44" s="25"/>
      <c r="B44" s="44" t="s">
        <v>705</v>
      </c>
      <c r="C44" s="155">
        <f>IF($B44=" ","",IFERROR(INDEX(MMWR_RATING_RO_ROLLUP[],MATCH($B44,MMWR_RATING_RO_ROLLUP[MMWR_RATING_RO_ROLLUP],0),MATCH(C$9,MMWR_RATING_RO_ROLLUP[#Headers],0)),"ERROR"))</f>
        <v>8747</v>
      </c>
      <c r="D44" s="156">
        <f>IF($B44=" ","",IFERROR(INDEX(MMWR_RATING_RO_ROLLUP[],MATCH($B44,MMWR_RATING_RO_ROLLUP[MMWR_RATING_RO_ROLLUP],0),MATCH(D$9,MMWR_RATING_RO_ROLLUP[#Headers],0)),"ERROR"))</f>
        <v>72.010746541700001</v>
      </c>
      <c r="E44" s="157">
        <f>IF($B44=" ","",IFERROR(INDEX(MMWR_RATING_RO_ROLLUP[],MATCH($B44,MMWR_RATING_RO_ROLLUP[MMWR_RATING_RO_ROLLUP],0),MATCH(E$9,MMWR_RATING_RO_ROLLUP[#Headers],0))/$C44,"ERROR"))</f>
        <v>0.10232079570138333</v>
      </c>
      <c r="F44" s="155">
        <f>IF($B44=" ","",IFERROR(INDEX(MMWR_RATING_RO_ROLLUP[],MATCH($B44,MMWR_RATING_RO_ROLLUP[MMWR_RATING_RO_ROLLUP],0),MATCH(F$9,MMWR_RATING_RO_ROLLUP[#Headers],0)),"ERROR"))</f>
        <v>1812</v>
      </c>
      <c r="G44" s="155">
        <f>IF($B44=" ","",IFERROR(INDEX(MMWR_RATING_RO_ROLLUP[],MATCH($B44,MMWR_RATING_RO_ROLLUP[MMWR_RATING_RO_ROLLUP],0),MATCH(G$9,MMWR_RATING_RO_ROLLUP[#Headers],0)),"ERROR"))</f>
        <v>23455</v>
      </c>
      <c r="H44" s="156">
        <f>IF($B44=" ","",IFERROR(INDEX(MMWR_RATING_RO_ROLLUP[],MATCH($B44,MMWR_RATING_RO_ROLLUP[MMWR_RATING_RO_ROLLUP],0),MATCH(H$9,MMWR_RATING_RO_ROLLUP[#Headers],0)),"ERROR"))</f>
        <v>134.50055187640001</v>
      </c>
      <c r="I44" s="156">
        <f>IF($B44=" ","",IFERROR(INDEX(MMWR_RATING_RO_ROLLUP[],MATCH($B44,MMWR_RATING_RO_ROLLUP[MMWR_RATING_RO_ROLLUP],0),MATCH(I$9,MMWR_RATING_RO_ROLLUP[#Headers],0)),"ERROR"))</f>
        <v>150.97437646559999</v>
      </c>
      <c r="J44" s="42"/>
      <c r="K44" s="42"/>
      <c r="L44" s="42"/>
      <c r="M44" s="42"/>
      <c r="N44" s="28"/>
    </row>
    <row r="45" spans="1:14" ht="13.2" x14ac:dyDescent="0.25">
      <c r="A45" s="25"/>
      <c r="B45" s="45" t="s">
        <v>219</v>
      </c>
      <c r="C45" s="155">
        <f>IF($B45=" ","",IFERROR(INDEX(MMWR_RATING_RO_ROLLUP[],MATCH($B45,MMWR_RATING_RO_ROLLUP[MMWR_RATING_RO_ROLLUP],0),MATCH(C$9,MMWR_RATING_RO_ROLLUP[#Headers],0)),"ERROR"))</f>
        <v>3015</v>
      </c>
      <c r="D45" s="156">
        <f>IF($B45=" ","",IFERROR(INDEX(MMWR_RATING_RO_ROLLUP[],MATCH($B45,MMWR_RATING_RO_ROLLUP[MMWR_RATING_RO_ROLLUP],0),MATCH(D$9,MMWR_RATING_RO_ROLLUP[#Headers],0)),"ERROR"))</f>
        <v>68.476948590399999</v>
      </c>
      <c r="E45" s="157">
        <f>IF($B45=" ","",IFERROR(INDEX(MMWR_RATING_RO_ROLLUP[],MATCH($B45,MMWR_RATING_RO_ROLLUP[MMWR_RATING_RO_ROLLUP],0),MATCH(E$9,MMWR_RATING_RO_ROLLUP[#Headers],0))/$C45,"ERROR"))</f>
        <v>7.4295190713101159E-2</v>
      </c>
      <c r="F45" s="155">
        <f>IF($B45=" ","",IFERROR(INDEX(MMWR_RATING_RO_ROLLUP[],MATCH($B45,MMWR_RATING_RO_ROLLUP[MMWR_RATING_RO_ROLLUP],0),MATCH(F$9,MMWR_RATING_RO_ROLLUP[#Headers],0)),"ERROR"))</f>
        <v>891</v>
      </c>
      <c r="G45" s="155">
        <f>IF($B45=" ","",IFERROR(INDEX(MMWR_RATING_RO_ROLLUP[],MATCH($B45,MMWR_RATING_RO_ROLLUP[MMWR_RATING_RO_ROLLUP],0),MATCH(G$9,MMWR_RATING_RO_ROLLUP[#Headers],0)),"ERROR"))</f>
        <v>12137</v>
      </c>
      <c r="H45" s="156">
        <f>IF($B45=" ","",IFERROR(INDEX(MMWR_RATING_RO_ROLLUP[],MATCH($B45,MMWR_RATING_RO_ROLLUP[MMWR_RATING_RO_ROLLUP],0),MATCH(H$9,MMWR_RATING_RO_ROLLUP[#Headers],0)),"ERROR"))</f>
        <v>129.1436588103</v>
      </c>
      <c r="I45" s="156">
        <f>IF($B45=" ","",IFERROR(INDEX(MMWR_RATING_RO_ROLLUP[],MATCH($B45,MMWR_RATING_RO_ROLLUP[MMWR_RATING_RO_ROLLUP],0),MATCH(I$9,MMWR_RATING_RO_ROLLUP[#Headers],0)),"ERROR"))</f>
        <v>167.4136112713</v>
      </c>
      <c r="J45" s="42"/>
      <c r="K45" s="42"/>
      <c r="L45" s="42"/>
      <c r="M45" s="42"/>
      <c r="N45" s="28"/>
    </row>
    <row r="46" spans="1:14" ht="13.2" x14ac:dyDescent="0.25">
      <c r="A46" s="25"/>
      <c r="B46" s="45" t="s">
        <v>221</v>
      </c>
      <c r="C46" s="155">
        <f>IF($B46=" ","",IFERROR(INDEX(MMWR_RATING_RO_ROLLUP[],MATCH($B46,MMWR_RATING_RO_ROLLUP[MMWR_RATING_RO_ROLLUP],0),MATCH(C$9,MMWR_RATING_RO_ROLLUP[#Headers],0)),"ERROR"))</f>
        <v>3991</v>
      </c>
      <c r="D46" s="156">
        <f>IF($B46=" ","",IFERROR(INDEX(MMWR_RATING_RO_ROLLUP[],MATCH($B46,MMWR_RATING_RO_ROLLUP[MMWR_RATING_RO_ROLLUP],0),MATCH(D$9,MMWR_RATING_RO_ROLLUP[#Headers],0)),"ERROR"))</f>
        <v>76.0846905537</v>
      </c>
      <c r="E46" s="157">
        <f>IF($B46=" ","",IFERROR(INDEX(MMWR_RATING_RO_ROLLUP[],MATCH($B46,MMWR_RATING_RO_ROLLUP[MMWR_RATING_RO_ROLLUP],0),MATCH(E$9,MMWR_RATING_RO_ROLLUP[#Headers],0))/$C46,"ERROR"))</f>
        <v>0.12052117263843648</v>
      </c>
      <c r="F46" s="155">
        <f>IF($B46=" ","",IFERROR(INDEX(MMWR_RATING_RO_ROLLUP[],MATCH($B46,MMWR_RATING_RO_ROLLUP[MMWR_RATING_RO_ROLLUP],0),MATCH(F$9,MMWR_RATING_RO_ROLLUP[#Headers],0)),"ERROR"))</f>
        <v>634</v>
      </c>
      <c r="G46" s="155">
        <f>IF($B46=" ","",IFERROR(INDEX(MMWR_RATING_RO_ROLLUP[],MATCH($B46,MMWR_RATING_RO_ROLLUP[MMWR_RATING_RO_ROLLUP],0),MATCH(G$9,MMWR_RATING_RO_ROLLUP[#Headers],0)),"ERROR"))</f>
        <v>8955</v>
      </c>
      <c r="H46" s="156">
        <f>IF($B46=" ","",IFERROR(INDEX(MMWR_RATING_RO_ROLLUP[],MATCH($B46,MMWR_RATING_RO_ROLLUP[MMWR_RATING_RO_ROLLUP],0),MATCH(H$9,MMWR_RATING_RO_ROLLUP[#Headers],0)),"ERROR"))</f>
        <v>145.20189274449999</v>
      </c>
      <c r="I46" s="156">
        <f>IF($B46=" ","",IFERROR(INDEX(MMWR_RATING_RO_ROLLUP[],MATCH($B46,MMWR_RATING_RO_ROLLUP[MMWR_RATING_RO_ROLLUP],0),MATCH(I$9,MMWR_RATING_RO_ROLLUP[#Headers],0)),"ERROR"))</f>
        <v>130.62657733110001</v>
      </c>
      <c r="J46" s="42"/>
      <c r="K46" s="42"/>
      <c r="L46" s="42"/>
      <c r="M46" s="42"/>
      <c r="N46" s="28"/>
    </row>
    <row r="47" spans="1:14" ht="13.2" x14ac:dyDescent="0.25">
      <c r="A47" s="25"/>
      <c r="B47" s="47" t="s">
        <v>317</v>
      </c>
      <c r="C47" s="155">
        <f>IF($B47=" ","",IFERROR(INDEX(MMWR_RATING_RO_ROLLUP[],MATCH($B47,MMWR_RATING_RO_ROLLUP[MMWR_RATING_RO_ROLLUP],0),MATCH(C$9,MMWR_RATING_RO_ROLLUP[#Headers],0)),"ERROR"))</f>
        <v>1741</v>
      </c>
      <c r="D47" s="156">
        <f>IF($B47=" ","",IFERROR(INDEX(MMWR_RATING_RO_ROLLUP[],MATCH($B47,MMWR_RATING_RO_ROLLUP[MMWR_RATING_RO_ROLLUP],0),MATCH(D$9,MMWR_RATING_RO_ROLLUP[#Headers],0)),"ERROR"))</f>
        <v>68.791499138399999</v>
      </c>
      <c r="E47" s="157">
        <f>IF($B47=" ","",IFERROR(INDEX(MMWR_RATING_RO_ROLLUP[],MATCH($B47,MMWR_RATING_RO_ROLLUP[MMWR_RATING_RO_ROLLUP],0),MATCH(E$9,MMWR_RATING_RO_ROLLUP[#Headers],0))/$C47,"ERROR"))</f>
        <v>0.10913268236645605</v>
      </c>
      <c r="F47" s="155">
        <f>IF($B47=" ","",IFERROR(INDEX(MMWR_RATING_RO_ROLLUP[],MATCH($B47,MMWR_RATING_RO_ROLLUP[MMWR_RATING_RO_ROLLUP],0),MATCH(F$9,MMWR_RATING_RO_ROLLUP[#Headers],0)),"ERROR"))</f>
        <v>287</v>
      </c>
      <c r="G47" s="155">
        <f>IF($B47=" ","",IFERROR(INDEX(MMWR_RATING_RO_ROLLUP[],MATCH($B47,MMWR_RATING_RO_ROLLUP[MMWR_RATING_RO_ROLLUP],0),MATCH(G$9,MMWR_RATING_RO_ROLLUP[#Headers],0)),"ERROR"))</f>
        <v>2363</v>
      </c>
      <c r="H47" s="156">
        <f>IF($B47=" ","",IFERROR(INDEX(MMWR_RATING_RO_ROLLUP[],MATCH($B47,MMWR_RATING_RO_ROLLUP[MMWR_RATING_RO_ROLLUP],0),MATCH(H$9,MMWR_RATING_RO_ROLLUP[#Headers],0)),"ERROR"))</f>
        <v>127.4912891986</v>
      </c>
      <c r="I47" s="156">
        <f>IF($B47=" ","",IFERROR(INDEX(MMWR_RATING_RO_ROLLUP[],MATCH($B47,MMWR_RATING_RO_ROLLUP[MMWR_RATING_RO_ROLLUP],0),MATCH(I$9,MMWR_RATING_RO_ROLLUP[#Headers],0)),"ERROR"))</f>
        <v>143.64959796869999</v>
      </c>
      <c r="J47" s="42"/>
      <c r="K47" s="42"/>
      <c r="L47" s="42"/>
      <c r="M47" s="42"/>
      <c r="N47" s="28"/>
    </row>
    <row r="48" spans="1:14" ht="12" customHeight="1" x14ac:dyDescent="0.25">
      <c r="A48" s="25"/>
      <c r="B48" s="26"/>
      <c r="C48" s="26"/>
      <c r="D48" s="26"/>
      <c r="E48" s="26"/>
      <c r="F48" s="26"/>
      <c r="G48" s="26"/>
      <c r="H48" s="26"/>
      <c r="I48" s="26"/>
      <c r="J48" s="26"/>
      <c r="K48" s="26"/>
      <c r="L48" s="26"/>
      <c r="M48" s="26"/>
      <c r="N48" s="28"/>
    </row>
    <row r="49" ht="13.2" hidden="1" x14ac:dyDescent="0.25"/>
    <row r="50" ht="13.2" hidden="1" x14ac:dyDescent="0.25"/>
    <row r="51" ht="13.2" hidden="1" x14ac:dyDescent="0.25"/>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106680</xdr:colOff>
                <xdr:row>4</xdr:row>
                <xdr:rowOff>76200</xdr:rowOff>
              </from>
              <to>
                <xdr:col>1</xdr:col>
                <xdr:colOff>1905000</xdr:colOff>
                <xdr:row>5</xdr:row>
                <xdr:rowOff>129540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5"/>
  <cols>
    <col min="1" max="1" width="2.5546875" customWidth="1"/>
    <col min="2" max="2" width="32.5546875" customWidth="1"/>
    <col min="3" max="13" width="15" customWidth="1"/>
    <col min="14" max="14" width="2.88671875" customWidth="1"/>
    <col min="15" max="16384" width="9.109375" hidden="1"/>
  </cols>
  <sheetData>
    <row r="1" spans="1:15" ht="15" customHeight="1" thickBot="1" x14ac:dyDescent="0.3">
      <c r="A1" s="25"/>
      <c r="B1" s="26"/>
      <c r="C1" s="26"/>
      <c r="D1" s="26"/>
      <c r="E1" s="26"/>
      <c r="F1" s="26"/>
      <c r="G1" s="26"/>
      <c r="H1" s="26"/>
      <c r="I1" s="26"/>
      <c r="J1" s="26"/>
      <c r="K1" s="26"/>
      <c r="L1" s="26"/>
      <c r="M1" s="26"/>
      <c r="N1" s="28"/>
    </row>
    <row r="2" spans="1:15" ht="24" customHeight="1" x14ac:dyDescent="0.4">
      <c r="A2" s="25"/>
      <c r="B2" s="29"/>
      <c r="C2" s="352" t="s">
        <v>990</v>
      </c>
      <c r="D2" s="353"/>
      <c r="E2" s="353"/>
      <c r="F2" s="353"/>
      <c r="G2" s="353"/>
      <c r="H2" s="353"/>
      <c r="I2" s="353"/>
      <c r="J2" s="352" t="s">
        <v>309</v>
      </c>
      <c r="K2" s="353"/>
      <c r="L2" s="353"/>
      <c r="M2" s="354"/>
      <c r="N2" s="28"/>
    </row>
    <row r="3" spans="1:15" ht="24" customHeight="1" thickBot="1" x14ac:dyDescent="0.45">
      <c r="A3" s="25"/>
      <c r="B3" s="29"/>
      <c r="C3" s="355"/>
      <c r="D3" s="356"/>
      <c r="E3" s="356"/>
      <c r="F3" s="356"/>
      <c r="G3" s="356"/>
      <c r="H3" s="356"/>
      <c r="I3" s="356"/>
      <c r="J3" s="355" t="str">
        <f>Transformation!B4</f>
        <v>As of: August 29, 2015</v>
      </c>
      <c r="K3" s="356"/>
      <c r="L3" s="356"/>
      <c r="M3" s="357"/>
      <c r="N3" s="28"/>
    </row>
    <row r="4" spans="1:15" ht="51.75" customHeight="1" thickBot="1" x14ac:dyDescent="0.45">
      <c r="A4" s="30"/>
      <c r="B4" s="249" t="s">
        <v>465</v>
      </c>
      <c r="C4" s="358" t="s">
        <v>441</v>
      </c>
      <c r="D4" s="359"/>
      <c r="E4" s="359"/>
      <c r="F4" s="359"/>
      <c r="G4" s="359"/>
      <c r="H4" s="359"/>
      <c r="I4" s="359"/>
      <c r="J4" s="359"/>
      <c r="K4" s="359"/>
      <c r="L4" s="359"/>
      <c r="M4" s="360"/>
      <c r="N4" s="28"/>
    </row>
    <row r="5" spans="1:15" ht="27" customHeight="1" thickBot="1" x14ac:dyDescent="0.3">
      <c r="A5" s="30"/>
      <c r="B5" s="248" t="s">
        <v>379</v>
      </c>
      <c r="C5" s="361" t="s">
        <v>1054</v>
      </c>
      <c r="D5" s="362"/>
      <c r="E5" s="362"/>
      <c r="F5" s="362"/>
      <c r="G5" s="362"/>
      <c r="H5" s="362"/>
      <c r="I5" s="362"/>
      <c r="J5" s="362"/>
      <c r="K5" s="362"/>
      <c r="L5" s="362"/>
      <c r="M5" s="362"/>
      <c r="N5" s="362"/>
      <c r="O5" s="363"/>
    </row>
    <row r="6" spans="1:15" ht="55.5" customHeight="1" x14ac:dyDescent="0.25">
      <c r="A6" s="30"/>
      <c r="B6" s="31"/>
      <c r="C6" s="32" t="s">
        <v>198</v>
      </c>
      <c r="D6" s="364" t="s">
        <v>16</v>
      </c>
      <c r="E6" s="365"/>
      <c r="F6" s="33" t="s">
        <v>201</v>
      </c>
      <c r="G6" s="364" t="s">
        <v>206</v>
      </c>
      <c r="H6" s="366"/>
      <c r="I6" s="33" t="s">
        <v>204</v>
      </c>
      <c r="J6" s="49" t="s">
        <v>14</v>
      </c>
      <c r="K6" s="33" t="s">
        <v>209</v>
      </c>
      <c r="L6" s="370" t="s">
        <v>88</v>
      </c>
      <c r="M6" s="393"/>
      <c r="N6" s="28"/>
    </row>
    <row r="7" spans="1:15" ht="51.75" customHeight="1" x14ac:dyDescent="0.25">
      <c r="A7" s="30"/>
      <c r="B7" s="34"/>
      <c r="C7" s="35" t="s">
        <v>199</v>
      </c>
      <c r="D7" s="374" t="s">
        <v>0</v>
      </c>
      <c r="E7" s="375"/>
      <c r="F7" s="36" t="s">
        <v>202</v>
      </c>
      <c r="G7" s="376" t="s">
        <v>207</v>
      </c>
      <c r="H7" s="376"/>
      <c r="I7" s="36" t="s">
        <v>205</v>
      </c>
      <c r="J7" s="50" t="s">
        <v>19</v>
      </c>
      <c r="K7" s="36" t="s">
        <v>210</v>
      </c>
      <c r="L7" s="389" t="s">
        <v>90</v>
      </c>
      <c r="M7" s="390"/>
      <c r="N7" s="28"/>
    </row>
    <row r="8" spans="1:15" ht="51.75" customHeight="1" thickBot="1" x14ac:dyDescent="0.3">
      <c r="A8" s="25"/>
      <c r="B8" s="28"/>
      <c r="C8" s="37" t="s">
        <v>200</v>
      </c>
      <c r="D8" s="377" t="s">
        <v>18</v>
      </c>
      <c r="E8" s="378"/>
      <c r="F8" s="38" t="s">
        <v>203</v>
      </c>
      <c r="G8" s="379" t="s">
        <v>17</v>
      </c>
      <c r="H8" s="379"/>
      <c r="I8" s="38" t="s">
        <v>208</v>
      </c>
      <c r="J8" s="51" t="s">
        <v>87</v>
      </c>
      <c r="K8" s="38" t="s">
        <v>211</v>
      </c>
      <c r="L8" s="391" t="s">
        <v>89</v>
      </c>
      <c r="M8" s="392"/>
      <c r="N8" s="28"/>
    </row>
    <row r="9" spans="1:15" ht="13.2" x14ac:dyDescent="0.25">
      <c r="A9" s="28"/>
      <c r="B9" s="39"/>
      <c r="C9" s="39" t="s">
        <v>724</v>
      </c>
      <c r="D9" s="39" t="s">
        <v>726</v>
      </c>
      <c r="E9" s="39" t="s">
        <v>725</v>
      </c>
      <c r="F9" s="39" t="s">
        <v>728</v>
      </c>
      <c r="G9" s="39" t="s">
        <v>727</v>
      </c>
      <c r="H9" s="39" t="s">
        <v>730</v>
      </c>
      <c r="I9" s="39" t="s">
        <v>729</v>
      </c>
      <c r="J9" s="39"/>
      <c r="K9" s="39"/>
      <c r="L9" s="39"/>
      <c r="M9" s="39"/>
      <c r="N9" s="39"/>
    </row>
    <row r="10" spans="1:15" ht="15.75" customHeight="1" x14ac:dyDescent="0.25">
      <c r="A10" s="25"/>
      <c r="B10" s="26"/>
      <c r="C10" s="380" t="s">
        <v>302</v>
      </c>
      <c r="D10" s="380"/>
      <c r="E10" s="380"/>
      <c r="F10" s="380"/>
      <c r="G10" s="380"/>
      <c r="H10" s="380"/>
      <c r="I10" s="380"/>
      <c r="J10" s="380"/>
      <c r="K10" s="380"/>
      <c r="L10" s="380"/>
      <c r="M10" s="384"/>
      <c r="N10" s="28"/>
    </row>
    <row r="11" spans="1:15" ht="63.75" customHeight="1" x14ac:dyDescent="0.25">
      <c r="A11" s="25"/>
      <c r="B11" s="26"/>
      <c r="C11" s="52" t="s">
        <v>234</v>
      </c>
      <c r="D11" s="52" t="s">
        <v>140</v>
      </c>
      <c r="E11" s="52" t="s">
        <v>235</v>
      </c>
      <c r="F11" s="52" t="s">
        <v>195</v>
      </c>
      <c r="G11" s="52" t="s">
        <v>212</v>
      </c>
      <c r="H11" s="52" t="s">
        <v>214</v>
      </c>
      <c r="I11" s="52" t="s">
        <v>215</v>
      </c>
      <c r="J11" s="386" t="s">
        <v>984</v>
      </c>
      <c r="K11" s="387"/>
      <c r="L11" s="387"/>
      <c r="M11" s="388"/>
      <c r="N11" s="28"/>
    </row>
    <row r="12" spans="1:15" ht="13.2" x14ac:dyDescent="0.25">
      <c r="A12" s="25"/>
      <c r="B12" s="41" t="s">
        <v>739</v>
      </c>
      <c r="C12" s="155">
        <f>IF($B12=" ","",IFERROR(INDEX(MMWR_RATING_STATE_ROLLUP_VSC[],MATCH($B12,MMWR_RATING_STATE_ROLLUP_VSC[MMWR_RATING_STATE_ROLLUP_VSC],0),MATCH(C$9,MMWR_RATING_STATE_ROLLUP_VSC[#Headers],0)),"ERROR"))</f>
        <v>356765</v>
      </c>
      <c r="D12" s="156">
        <f>IF($B12=" ","",IFERROR(INDEX(MMWR_RATING_STATE_ROLLUP_VSC[],MATCH($B12,MMWR_RATING_STATE_ROLLUP_VSC[MMWR_RATING_STATE_ROLLUP_VSC],0),MATCH(D$9,MMWR_RATING_STATE_ROLLUP_VSC[#Headers],0)),"ERROR"))</f>
        <v>102.84925371040001</v>
      </c>
      <c r="E12" s="160">
        <f>IF($B12=" ","",IFERROR(INDEX(MMWR_RATING_STATE_ROLLUP_VSC[],MATCH($B12,MMWR_RATING_STATE_ROLLUP_VSC[MMWR_RATING_STATE_ROLLUP_VSC],0),MATCH(E$9,MMWR_RATING_STATE_ROLLUP_VSC[#Headers],0))/$C12,"ERROR"))</f>
        <v>0.25729261558729133</v>
      </c>
      <c r="F12" s="155">
        <f>IF($B12=" ","",IFERROR(INDEX(MMWR_RATING_STATE_ROLLUP_VSC[],MATCH($B12,MMWR_RATING_STATE_ROLLUP_VSC[MMWR_RATING_STATE_ROLLUP_VSC],0),MATCH(F$9,MMWR_RATING_STATE_ROLLUP_VSC[#Headers],0)),"ERROR"))</f>
        <v>114200</v>
      </c>
      <c r="G12" s="155">
        <f>IF($B12=" ","",IFERROR(INDEX(MMWR_RATING_STATE_ROLLUP_VSC[],MATCH($B12,MMWR_RATING_STATE_ROLLUP_VSC[MMWR_RATING_STATE_ROLLUP_VSC],0),MATCH(G$9,MMWR_RATING_STATE_ROLLUP_VSC[#Headers],0)),"ERROR"))</f>
        <v>1274478</v>
      </c>
      <c r="H12" s="156">
        <f>IF($B12=" ","",IFERROR(INDEX(MMWR_RATING_STATE_ROLLUP_VSC[],MATCH($B12,MMWR_RATING_STATE_ROLLUP_VSC[MMWR_RATING_STATE_ROLLUP_VSC],0),MATCH(H$9,MMWR_RATING_STATE_ROLLUP_VSC[#Headers],0)),"ERROR"))</f>
        <v>149.13939579679999</v>
      </c>
      <c r="I12" s="156">
        <f>IF($B12=" ","",IFERROR(INDEX(MMWR_RATING_STATE_ROLLUP_VSC[],MATCH($B12,MMWR_RATING_STATE_ROLLUP_VSC[MMWR_RATING_STATE_ROLLUP_VSC],0),MATCH(I$9,MMWR_RATING_STATE_ROLLUP_VSC[#Headers],0)),"ERROR"))</f>
        <v>171.48496325549999</v>
      </c>
      <c r="J12" s="42"/>
      <c r="K12" s="42"/>
      <c r="L12" s="42"/>
      <c r="M12" s="42"/>
      <c r="N12" s="28"/>
    </row>
    <row r="13" spans="1:15" ht="13.2" x14ac:dyDescent="0.25">
      <c r="A13" s="25"/>
      <c r="B13" s="372" t="s">
        <v>970</v>
      </c>
      <c r="C13" s="373"/>
      <c r="D13" s="373"/>
      <c r="E13" s="373"/>
      <c r="F13" s="373"/>
      <c r="G13" s="373"/>
      <c r="H13" s="373"/>
      <c r="I13" s="373"/>
      <c r="J13" s="373"/>
      <c r="K13" s="373"/>
      <c r="L13" s="373"/>
      <c r="M13" s="385"/>
      <c r="N13" s="28"/>
    </row>
    <row r="14" spans="1:15" ht="13.2" x14ac:dyDescent="0.25">
      <c r="A14" s="25"/>
      <c r="B14" s="41" t="s">
        <v>1048</v>
      </c>
      <c r="C14" s="155">
        <f>IF($B14=" ","",IFERROR(INDEX(MMWR_RATING_STATE_ROLLUP_VSC[],MATCH($B14,MMWR_RATING_STATE_ROLLUP_VSC[MMWR_RATING_STATE_ROLLUP_VSC],0),MATCH(C$9,MMWR_RATING_STATE_ROLLUP_VSC[#Headers],0)),"ERROR"))</f>
        <v>320436</v>
      </c>
      <c r="D14" s="156">
        <f>IF($B14=" ","",IFERROR(INDEX(MMWR_RATING_STATE_ROLLUP_VSC[],MATCH($B14,MMWR_RATING_STATE_ROLLUP_VSC[MMWR_RATING_STATE_ROLLUP_VSC],0),MATCH(D$9,MMWR_RATING_STATE_ROLLUP_VSC[#Headers],0)),"ERROR"))</f>
        <v>107.09831292360001</v>
      </c>
      <c r="E14" s="157">
        <f>IF($B14=" ","",IFERROR(INDEX(MMWR_RATING_STATE_ROLLUP_VSC[],MATCH($B14,MMWR_RATING_STATE_ROLLUP_VSC[MMWR_RATING_STATE_ROLLUP_VSC],0),MATCH(E$9,MMWR_RATING_STATE_ROLLUP_VSC[#Headers],0))/$C14,"ERROR"))</f>
        <v>0.27481930869190729</v>
      </c>
      <c r="F14" s="155">
        <f>IF($B14=" ","",IFERROR(INDEX(MMWR_RATING_STATE_ROLLUP_VSC[],MATCH($B14,MMWR_RATING_STATE_ROLLUP_VSC[MMWR_RATING_STATE_ROLLUP_VSC],0),MATCH(F$9,MMWR_RATING_STATE_ROLLUP_VSC[#Headers],0)),"ERROR"))</f>
        <v>99105</v>
      </c>
      <c r="G14" s="155">
        <f>IF($B14=" ","",IFERROR(INDEX(MMWR_RATING_STATE_ROLLUP_VSC[],MATCH($B14,MMWR_RATING_STATE_ROLLUP_VSC[MMWR_RATING_STATE_ROLLUP_VSC],0),MATCH(G$9,MMWR_RATING_STATE_ROLLUP_VSC[#Headers],0)),"ERROR"))</f>
        <v>1087529</v>
      </c>
      <c r="H14" s="156">
        <f>IF($B14=" ","",IFERROR(INDEX(MMWR_RATING_STATE_ROLLUP_VSC[],MATCH($B14,MMWR_RATING_STATE_ROLLUP_VSC[MMWR_RATING_STATE_ROLLUP_VSC],0),MATCH(H$9,MMWR_RATING_STATE_ROLLUP_VSC[#Headers],0)),"ERROR"))</f>
        <v>159.39491448460001</v>
      </c>
      <c r="I14" s="156">
        <f>IF($B14=" ","",IFERROR(INDEX(MMWR_RATING_STATE_ROLLUP_VSC[],MATCH($B14,MMWR_RATING_STATE_ROLLUP_VSC[MMWR_RATING_STATE_ROLLUP_VSC],0),MATCH(I$9,MMWR_RATING_STATE_ROLLUP_VSC[#Headers],0)),"ERROR"))</f>
        <v>186.525941837</v>
      </c>
      <c r="J14" s="42"/>
      <c r="K14" s="42"/>
      <c r="L14" s="42"/>
      <c r="M14" s="42"/>
      <c r="N14" s="28"/>
    </row>
    <row r="15" spans="1:15" ht="13.2" x14ac:dyDescent="0.25">
      <c r="A15" s="25"/>
      <c r="B15" s="251" t="str">
        <f>INDEX(DISTRICT_STATES[],MATCH($B$5,DISTRICT_RO[District],0),1)</f>
        <v>North Atlantic</v>
      </c>
      <c r="C15" s="155">
        <f>IF($B15=" ","",IFERROR(INDEX(MMWR_RATING_STATE_ROLLUP_VSC[],MATCH($B15,MMWR_RATING_STATE_ROLLUP_VSC[MMWR_RATING_STATE_ROLLUP_VSC],0),MATCH(C$9,MMWR_RATING_STATE_ROLLUP_VSC[#Headers],0)),"ERROR"))</f>
        <v>69282</v>
      </c>
      <c r="D15" s="156">
        <f>IF($B15=" ","",IFERROR(INDEX(MMWR_RATING_STATE_ROLLUP_VSC[],MATCH($B15,MMWR_RATING_STATE_ROLLUP_VSC[MMWR_RATING_STATE_ROLLUP_VSC],0),MATCH(D$9,MMWR_RATING_STATE_ROLLUP_VSC[#Headers],0)),"ERROR"))</f>
        <v>108.2305793713</v>
      </c>
      <c r="E15" s="157">
        <f>IF($B15=" ","",IFERROR(INDEX(MMWR_RATING_STATE_ROLLUP_VSC[],MATCH($B15,MMWR_RATING_STATE_ROLLUP_VSC[MMWR_RATING_STATE_ROLLUP_VSC],0),MATCH(E$9,MMWR_RATING_STATE_ROLLUP_VSC[#Headers],0))/$C15,"ERROR"))</f>
        <v>0.27832626078923817</v>
      </c>
      <c r="F15" s="155">
        <f>IF($B15=" ","",IFERROR(INDEX(MMWR_RATING_STATE_ROLLUP_VSC[],MATCH($B15,MMWR_RATING_STATE_ROLLUP_VSC[MMWR_RATING_STATE_ROLLUP_VSC],0),MATCH(F$9,MMWR_RATING_STATE_ROLLUP_VSC[#Headers],0)),"ERROR"))</f>
        <v>20956</v>
      </c>
      <c r="G15" s="155">
        <f>IF($B15=" ","",IFERROR(INDEX(MMWR_RATING_STATE_ROLLUP_VSC[],MATCH($B15,MMWR_RATING_STATE_ROLLUP_VSC[MMWR_RATING_STATE_ROLLUP_VSC],0),MATCH(G$9,MMWR_RATING_STATE_ROLLUP_VSC[#Headers],0)),"ERROR"))</f>
        <v>233043</v>
      </c>
      <c r="H15" s="156">
        <f>IF($B15=" ","",IFERROR(INDEX(MMWR_RATING_STATE_ROLLUP_VSC[],MATCH($B15,MMWR_RATING_STATE_ROLLUP_VSC[MMWR_RATING_STATE_ROLLUP_VSC],0),MATCH(H$9,MMWR_RATING_STATE_ROLLUP_VSC[#Headers],0)),"ERROR"))</f>
        <v>161.1490742508</v>
      </c>
      <c r="I15" s="156">
        <f>IF($B15=" ","",IFERROR(INDEX(MMWR_RATING_STATE_ROLLUP_VSC[],MATCH($B15,MMWR_RATING_STATE_ROLLUP_VSC[MMWR_RATING_STATE_ROLLUP_VSC],0),MATCH(I$9,MMWR_RATING_STATE_ROLLUP_VSC[#Headers],0)),"ERROR"))</f>
        <v>194.91296026910001</v>
      </c>
      <c r="J15" s="42"/>
      <c r="K15" s="42"/>
      <c r="L15" s="42"/>
      <c r="M15" s="42"/>
      <c r="N15" s="28"/>
    </row>
    <row r="16" spans="1:15" ht="13.2" x14ac:dyDescent="0.25">
      <c r="A16" s="25"/>
      <c r="B16" s="8" t="str">
        <f>VLOOKUP($B$15,DISTRICT_STATES[],2,0)</f>
        <v>Connecticut</v>
      </c>
      <c r="C16" s="155">
        <f>IF($B16=" ","",IFERROR(INDEX(MMWR_RATING_STATE_ROLLUP_VSC[],MATCH($B16,MMWR_RATING_STATE_ROLLUP_VSC[MMWR_RATING_STATE_ROLLUP_VSC],0),MATCH(C$9,MMWR_RATING_STATE_ROLLUP_VSC[#Headers],0)),"ERROR"))</f>
        <v>1879</v>
      </c>
      <c r="D16" s="156">
        <f>IF($B16=" ","",IFERROR(INDEX(MMWR_RATING_STATE_ROLLUP_VSC[],MATCH($B16,MMWR_RATING_STATE_ROLLUP_VSC[MMWR_RATING_STATE_ROLLUP_VSC],0),MATCH(D$9,MMWR_RATING_STATE_ROLLUP_VSC[#Headers],0)),"ERROR"))</f>
        <v>92.322511974500003</v>
      </c>
      <c r="E16" s="157">
        <f>IF($B16=" ","",IFERROR(INDEX(MMWR_RATING_STATE_ROLLUP_VSC[],MATCH($B16,MMWR_RATING_STATE_ROLLUP_VSC[MMWR_RATING_STATE_ROLLUP_VSC],0),MATCH(E$9,MMWR_RATING_STATE_ROLLUP_VSC[#Headers],0))/$C16,"ERROR"))</f>
        <v>0.22245875465673232</v>
      </c>
      <c r="F16" s="155">
        <f>IF($B16=" ","",IFERROR(INDEX(MMWR_RATING_STATE_ROLLUP_VSC[],MATCH($B16,MMWR_RATING_STATE_ROLLUP_VSC[MMWR_RATING_STATE_ROLLUP_VSC],0),MATCH(F$9,MMWR_RATING_STATE_ROLLUP_VSC[#Headers],0)),"ERROR"))</f>
        <v>582</v>
      </c>
      <c r="G16" s="155">
        <f>IF($B16=" ","",IFERROR(INDEX(MMWR_RATING_STATE_ROLLUP_VSC[],MATCH($B16,MMWR_RATING_STATE_ROLLUP_VSC[MMWR_RATING_STATE_ROLLUP_VSC],0),MATCH(G$9,MMWR_RATING_STATE_ROLLUP_VSC[#Headers],0)),"ERROR"))</f>
        <v>6296</v>
      </c>
      <c r="H16" s="156">
        <f>IF($B16=" ","",IFERROR(INDEX(MMWR_RATING_STATE_ROLLUP_VSC[],MATCH($B16,MMWR_RATING_STATE_ROLLUP_VSC[MMWR_RATING_STATE_ROLLUP_VSC],0),MATCH(H$9,MMWR_RATING_STATE_ROLLUP_VSC[#Headers],0)),"ERROR"))</f>
        <v>152.47594501719999</v>
      </c>
      <c r="I16" s="156">
        <f>IF($B16=" ","",IFERROR(INDEX(MMWR_RATING_STATE_ROLLUP_VSC[],MATCH($B16,MMWR_RATING_STATE_ROLLUP_VSC[MMWR_RATING_STATE_ROLLUP_VSC],0),MATCH(I$9,MMWR_RATING_STATE_ROLLUP_VSC[#Headers],0)),"ERROR"))</f>
        <v>151.67407878020001</v>
      </c>
      <c r="J16" s="42"/>
      <c r="K16" s="42"/>
      <c r="L16" s="42"/>
      <c r="M16" s="42"/>
      <c r="N16" s="28"/>
    </row>
    <row r="17" spans="1:14" ht="13.2" x14ac:dyDescent="0.25">
      <c r="A17" s="25"/>
      <c r="B17" s="8" t="str">
        <f>VLOOKUP($B$15,DISTRICT_STATES[],3,0)</f>
        <v>Delaware</v>
      </c>
      <c r="C17" s="155">
        <f>IF($B17=" ","",IFERROR(INDEX(MMWR_RATING_STATE_ROLLUP_VSC[],MATCH($B17,MMWR_RATING_STATE_ROLLUP_VSC[MMWR_RATING_STATE_ROLLUP_VSC],0),MATCH(C$9,MMWR_RATING_STATE_ROLLUP_VSC[#Headers],0)),"ERROR"))</f>
        <v>967</v>
      </c>
      <c r="D17" s="156">
        <f>IF($B17=" ","",IFERROR(INDEX(MMWR_RATING_STATE_ROLLUP_VSC[],MATCH($B17,MMWR_RATING_STATE_ROLLUP_VSC[MMWR_RATING_STATE_ROLLUP_VSC],0),MATCH(D$9,MMWR_RATING_STATE_ROLLUP_VSC[#Headers],0)),"ERROR"))</f>
        <v>119.6173733195</v>
      </c>
      <c r="E17" s="157">
        <f>IF($B17=" ","",IFERROR(INDEX(MMWR_RATING_STATE_ROLLUP_VSC[],MATCH($B17,MMWR_RATING_STATE_ROLLUP_VSC[MMWR_RATING_STATE_ROLLUP_VSC],0),MATCH(E$9,MMWR_RATING_STATE_ROLLUP_VSC[#Headers],0))/$C17,"ERROR"))</f>
        <v>0.32574974146845914</v>
      </c>
      <c r="F17" s="155">
        <f>IF($B17=" ","",IFERROR(INDEX(MMWR_RATING_STATE_ROLLUP_VSC[],MATCH($B17,MMWR_RATING_STATE_ROLLUP_VSC[MMWR_RATING_STATE_ROLLUP_VSC],0),MATCH(F$9,MMWR_RATING_STATE_ROLLUP_VSC[#Headers],0)),"ERROR"))</f>
        <v>256</v>
      </c>
      <c r="G17" s="155">
        <f>IF($B17=" ","",IFERROR(INDEX(MMWR_RATING_STATE_ROLLUP_VSC[],MATCH($B17,MMWR_RATING_STATE_ROLLUP_VSC[MMWR_RATING_STATE_ROLLUP_VSC],0),MATCH(G$9,MMWR_RATING_STATE_ROLLUP_VSC[#Headers],0)),"ERROR"))</f>
        <v>2972</v>
      </c>
      <c r="H17" s="156">
        <f>IF($B17=" ","",IFERROR(INDEX(MMWR_RATING_STATE_ROLLUP_VSC[],MATCH($B17,MMWR_RATING_STATE_ROLLUP_VSC[MMWR_RATING_STATE_ROLLUP_VSC],0),MATCH(H$9,MMWR_RATING_STATE_ROLLUP_VSC[#Headers],0)),"ERROR"))</f>
        <v>185.203125</v>
      </c>
      <c r="I17" s="156">
        <f>IF($B17=" ","",IFERROR(INDEX(MMWR_RATING_STATE_ROLLUP_VSC[],MATCH($B17,MMWR_RATING_STATE_ROLLUP_VSC[MMWR_RATING_STATE_ROLLUP_VSC],0),MATCH(I$9,MMWR_RATING_STATE_ROLLUP_VSC[#Headers],0)),"ERROR"))</f>
        <v>217.30349932710001</v>
      </c>
      <c r="J17" s="42"/>
      <c r="K17" s="42"/>
      <c r="L17" s="42"/>
      <c r="M17" s="42"/>
      <c r="N17" s="28"/>
    </row>
    <row r="18" spans="1:14" ht="13.2" x14ac:dyDescent="0.25">
      <c r="A18" s="25"/>
      <c r="B18" s="8" t="str">
        <f>VLOOKUP($B$15,DISTRICT_STATES[],4,0)</f>
        <v>District of Columbia</v>
      </c>
      <c r="C18" s="155">
        <f>IF($B18=" ","",IFERROR(INDEX(MMWR_RATING_STATE_ROLLUP_VSC[],MATCH($B18,MMWR_RATING_STATE_ROLLUP_VSC[MMWR_RATING_STATE_ROLLUP_VSC],0),MATCH(C$9,MMWR_RATING_STATE_ROLLUP_VSC[#Headers],0)),"ERROR"))</f>
        <v>448</v>
      </c>
      <c r="D18" s="156">
        <f>IF($B18=" ","",IFERROR(INDEX(MMWR_RATING_STATE_ROLLUP_VSC[],MATCH($B18,MMWR_RATING_STATE_ROLLUP_VSC[MMWR_RATING_STATE_ROLLUP_VSC],0),MATCH(D$9,MMWR_RATING_STATE_ROLLUP_VSC[#Headers],0)),"ERROR"))</f>
        <v>120.4375</v>
      </c>
      <c r="E18" s="157">
        <f>IF($B18=" ","",IFERROR(INDEX(MMWR_RATING_STATE_ROLLUP_VSC[],MATCH($B18,MMWR_RATING_STATE_ROLLUP_VSC[MMWR_RATING_STATE_ROLLUP_VSC],0),MATCH(E$9,MMWR_RATING_STATE_ROLLUP_VSC[#Headers],0))/$C18,"ERROR"))</f>
        <v>0.3549107142857143</v>
      </c>
      <c r="F18" s="155">
        <f>IF($B18=" ","",IFERROR(INDEX(MMWR_RATING_STATE_ROLLUP_VSC[],MATCH($B18,MMWR_RATING_STATE_ROLLUP_VSC[MMWR_RATING_STATE_ROLLUP_VSC],0),MATCH(F$9,MMWR_RATING_STATE_ROLLUP_VSC[#Headers],0)),"ERROR"))</f>
        <v>136</v>
      </c>
      <c r="G18" s="155">
        <f>IF($B18=" ","",IFERROR(INDEX(MMWR_RATING_STATE_ROLLUP_VSC[],MATCH($B18,MMWR_RATING_STATE_ROLLUP_VSC[MMWR_RATING_STATE_ROLLUP_VSC],0),MATCH(G$9,MMWR_RATING_STATE_ROLLUP_VSC[#Headers],0)),"ERROR"))</f>
        <v>1497</v>
      </c>
      <c r="H18" s="156">
        <f>IF($B18=" ","",IFERROR(INDEX(MMWR_RATING_STATE_ROLLUP_VSC[],MATCH($B18,MMWR_RATING_STATE_ROLLUP_VSC[MMWR_RATING_STATE_ROLLUP_VSC],0),MATCH(H$9,MMWR_RATING_STATE_ROLLUP_VSC[#Headers],0)),"ERROR"))</f>
        <v>191.4264705882</v>
      </c>
      <c r="I18" s="156">
        <f>IF($B18=" ","",IFERROR(INDEX(MMWR_RATING_STATE_ROLLUP_VSC[],MATCH($B18,MMWR_RATING_STATE_ROLLUP_VSC[MMWR_RATING_STATE_ROLLUP_VSC],0),MATCH(I$9,MMWR_RATING_STATE_ROLLUP_VSC[#Headers],0)),"ERROR"))</f>
        <v>212.45023380090001</v>
      </c>
      <c r="J18" s="42"/>
      <c r="K18" s="42"/>
      <c r="L18" s="42"/>
      <c r="M18" s="42"/>
      <c r="N18" s="28"/>
    </row>
    <row r="19" spans="1:14" ht="13.2" x14ac:dyDescent="0.25">
      <c r="A19" s="25"/>
      <c r="B19" s="8" t="str">
        <f>VLOOKUP($B$15,DISTRICT_STATES[],5,0)</f>
        <v>Maine</v>
      </c>
      <c r="C19" s="155">
        <f>IF($B19=" ","",IFERROR(INDEX(MMWR_RATING_STATE_ROLLUP_VSC[],MATCH($B19,MMWR_RATING_STATE_ROLLUP_VSC[MMWR_RATING_STATE_ROLLUP_VSC],0),MATCH(C$9,MMWR_RATING_STATE_ROLLUP_VSC[#Headers],0)),"ERROR"))</f>
        <v>1377</v>
      </c>
      <c r="D19" s="156">
        <f>IF($B19=" ","",IFERROR(INDEX(MMWR_RATING_STATE_ROLLUP_VSC[],MATCH($B19,MMWR_RATING_STATE_ROLLUP_VSC[MMWR_RATING_STATE_ROLLUP_VSC],0),MATCH(D$9,MMWR_RATING_STATE_ROLLUP_VSC[#Headers],0)),"ERROR"))</f>
        <v>76.757443718199994</v>
      </c>
      <c r="E19" s="157">
        <f>IF($B19=" ","",IFERROR(INDEX(MMWR_RATING_STATE_ROLLUP_VSC[],MATCH($B19,MMWR_RATING_STATE_ROLLUP_VSC[MMWR_RATING_STATE_ROLLUP_VSC],0),MATCH(E$9,MMWR_RATING_STATE_ROLLUP_VSC[#Headers],0))/$C19,"ERROR"))</f>
        <v>0.12200435729847495</v>
      </c>
      <c r="F19" s="155">
        <f>IF($B19=" ","",IFERROR(INDEX(MMWR_RATING_STATE_ROLLUP_VSC[],MATCH($B19,MMWR_RATING_STATE_ROLLUP_VSC[MMWR_RATING_STATE_ROLLUP_VSC],0),MATCH(F$9,MMWR_RATING_STATE_ROLLUP_VSC[#Headers],0)),"ERROR"))</f>
        <v>466</v>
      </c>
      <c r="G19" s="155">
        <f>IF($B19=" ","",IFERROR(INDEX(MMWR_RATING_STATE_ROLLUP_VSC[],MATCH($B19,MMWR_RATING_STATE_ROLLUP_VSC[MMWR_RATING_STATE_ROLLUP_VSC],0),MATCH(G$9,MMWR_RATING_STATE_ROLLUP_VSC[#Headers],0)),"ERROR"))</f>
        <v>4217</v>
      </c>
      <c r="H19" s="156">
        <f>IF($B19=" ","",IFERROR(INDEX(MMWR_RATING_STATE_ROLLUP_VSC[],MATCH($B19,MMWR_RATING_STATE_ROLLUP_VSC[MMWR_RATING_STATE_ROLLUP_VSC],0),MATCH(H$9,MMWR_RATING_STATE_ROLLUP_VSC[#Headers],0)),"ERROR"))</f>
        <v>126.94206008579999</v>
      </c>
      <c r="I19" s="156">
        <f>IF($B19=" ","",IFERROR(INDEX(MMWR_RATING_STATE_ROLLUP_VSC[],MATCH($B19,MMWR_RATING_STATE_ROLLUP_VSC[MMWR_RATING_STATE_ROLLUP_VSC],0),MATCH(I$9,MMWR_RATING_STATE_ROLLUP_VSC[#Headers],0)),"ERROR"))</f>
        <v>127.77116433480001</v>
      </c>
      <c r="J19" s="42"/>
      <c r="K19" s="42"/>
      <c r="L19" s="42"/>
      <c r="M19" s="42"/>
      <c r="N19" s="28"/>
    </row>
    <row r="20" spans="1:14" ht="13.2" x14ac:dyDescent="0.25">
      <c r="A20" s="25"/>
      <c r="B20" s="8" t="str">
        <f>VLOOKUP($B$15,DISTRICT_STATES[],6,0)</f>
        <v>Maryland</v>
      </c>
      <c r="C20" s="155">
        <f>IF($B20=" ","",IFERROR(INDEX(MMWR_RATING_STATE_ROLLUP_VSC[],MATCH($B20,MMWR_RATING_STATE_ROLLUP_VSC[MMWR_RATING_STATE_ROLLUP_VSC],0),MATCH(C$9,MMWR_RATING_STATE_ROLLUP_VSC[#Headers],0)),"ERROR"))</f>
        <v>5107</v>
      </c>
      <c r="D20" s="156">
        <f>IF($B20=" ","",IFERROR(INDEX(MMWR_RATING_STATE_ROLLUP_VSC[],MATCH($B20,MMWR_RATING_STATE_ROLLUP_VSC[MMWR_RATING_STATE_ROLLUP_VSC],0),MATCH(D$9,MMWR_RATING_STATE_ROLLUP_VSC[#Headers],0)),"ERROR"))</f>
        <v>114.0677501469</v>
      </c>
      <c r="E20" s="157">
        <f>IF($B20=" ","",IFERROR(INDEX(MMWR_RATING_STATE_ROLLUP_VSC[],MATCH($B20,MMWR_RATING_STATE_ROLLUP_VSC[MMWR_RATING_STATE_ROLLUP_VSC],0),MATCH(E$9,MMWR_RATING_STATE_ROLLUP_VSC[#Headers],0))/$C20,"ERROR"))</f>
        <v>0.27354611317799099</v>
      </c>
      <c r="F20" s="155">
        <f>IF($B20=" ","",IFERROR(INDEX(MMWR_RATING_STATE_ROLLUP_VSC[],MATCH($B20,MMWR_RATING_STATE_ROLLUP_VSC[MMWR_RATING_STATE_ROLLUP_VSC],0),MATCH(F$9,MMWR_RATING_STATE_ROLLUP_VSC[#Headers],0)),"ERROR"))</f>
        <v>1822</v>
      </c>
      <c r="G20" s="155">
        <f>IF($B20=" ","",IFERROR(INDEX(MMWR_RATING_STATE_ROLLUP_VSC[],MATCH($B20,MMWR_RATING_STATE_ROLLUP_VSC[MMWR_RATING_STATE_ROLLUP_VSC],0),MATCH(G$9,MMWR_RATING_STATE_ROLLUP_VSC[#Headers],0)),"ERROR"))</f>
        <v>19899</v>
      </c>
      <c r="H20" s="156">
        <f>IF($B20=" ","",IFERROR(INDEX(MMWR_RATING_STATE_ROLLUP_VSC[],MATCH($B20,MMWR_RATING_STATE_ROLLUP_VSC[MMWR_RATING_STATE_ROLLUP_VSC],0),MATCH(H$9,MMWR_RATING_STATE_ROLLUP_VSC[#Headers],0)),"ERROR"))</f>
        <v>176.1783754116</v>
      </c>
      <c r="I20" s="156">
        <f>IF($B20=" ","",IFERROR(INDEX(MMWR_RATING_STATE_ROLLUP_VSC[],MATCH($B20,MMWR_RATING_STATE_ROLLUP_VSC[MMWR_RATING_STATE_ROLLUP_VSC],0),MATCH(I$9,MMWR_RATING_STATE_ROLLUP_VSC[#Headers],0)),"ERROR"))</f>
        <v>231.4426855621</v>
      </c>
      <c r="J20" s="42"/>
      <c r="K20" s="42"/>
      <c r="L20" s="42"/>
      <c r="M20" s="42"/>
      <c r="N20" s="28"/>
    </row>
    <row r="21" spans="1:14" ht="13.2" x14ac:dyDescent="0.25">
      <c r="A21" s="25"/>
      <c r="B21" s="8" t="str">
        <f>VLOOKUP($B$15,DISTRICT_STATES[],7,0)</f>
        <v>Massachusetts</v>
      </c>
      <c r="C21" s="155">
        <f>IF($B21=" ","",IFERROR(INDEX(MMWR_RATING_STATE_ROLLUP_VSC[],MATCH($B21,MMWR_RATING_STATE_ROLLUP_VSC[MMWR_RATING_STATE_ROLLUP_VSC],0),MATCH(C$9,MMWR_RATING_STATE_ROLLUP_VSC[#Headers],0)),"ERROR"))</f>
        <v>4426</v>
      </c>
      <c r="D21" s="156">
        <f>IF($B21=" ","",IFERROR(INDEX(MMWR_RATING_STATE_ROLLUP_VSC[],MATCH($B21,MMWR_RATING_STATE_ROLLUP_VSC[MMWR_RATING_STATE_ROLLUP_VSC],0),MATCH(D$9,MMWR_RATING_STATE_ROLLUP_VSC[#Headers],0)),"ERROR"))</f>
        <v>105.3834161771</v>
      </c>
      <c r="E21" s="157">
        <f>IF($B21=" ","",IFERROR(INDEX(MMWR_RATING_STATE_ROLLUP_VSC[],MATCH($B21,MMWR_RATING_STATE_ROLLUP_VSC[MMWR_RATING_STATE_ROLLUP_VSC],0),MATCH(E$9,MMWR_RATING_STATE_ROLLUP_VSC[#Headers],0))/$C21,"ERROR"))</f>
        <v>0.27790329868956171</v>
      </c>
      <c r="F21" s="155">
        <f>IF($B21=" ","",IFERROR(INDEX(MMWR_RATING_STATE_ROLLUP_VSC[],MATCH($B21,MMWR_RATING_STATE_ROLLUP_VSC[MMWR_RATING_STATE_ROLLUP_VSC],0),MATCH(F$9,MMWR_RATING_STATE_ROLLUP_VSC[#Headers],0)),"ERROR"))</f>
        <v>1214</v>
      </c>
      <c r="G21" s="155">
        <f>IF($B21=" ","",IFERROR(INDEX(MMWR_RATING_STATE_ROLLUP_VSC[],MATCH($B21,MMWR_RATING_STATE_ROLLUP_VSC[MMWR_RATING_STATE_ROLLUP_VSC],0),MATCH(G$9,MMWR_RATING_STATE_ROLLUP_VSC[#Headers],0)),"ERROR"))</f>
        <v>14047</v>
      </c>
      <c r="H21" s="156">
        <f>IF($B21=" ","",IFERROR(INDEX(MMWR_RATING_STATE_ROLLUP_VSC[],MATCH($B21,MMWR_RATING_STATE_ROLLUP_VSC[MMWR_RATING_STATE_ROLLUP_VSC],0),MATCH(H$9,MMWR_RATING_STATE_ROLLUP_VSC[#Headers],0)),"ERROR"))</f>
        <v>160.52141680400001</v>
      </c>
      <c r="I21" s="156">
        <f>IF($B21=" ","",IFERROR(INDEX(MMWR_RATING_STATE_ROLLUP_VSC[],MATCH($B21,MMWR_RATING_STATE_ROLLUP_VSC[MMWR_RATING_STATE_ROLLUP_VSC],0),MATCH(I$9,MMWR_RATING_STATE_ROLLUP_VSC[#Headers],0)),"ERROR"))</f>
        <v>193.56887591660001</v>
      </c>
      <c r="J21" s="42"/>
      <c r="K21" s="42"/>
      <c r="L21" s="42"/>
      <c r="M21" s="42"/>
      <c r="N21" s="28"/>
    </row>
    <row r="22" spans="1:14" ht="13.2" x14ac:dyDescent="0.25">
      <c r="A22" s="25"/>
      <c r="B22" s="8" t="str">
        <f>VLOOKUP($B$15,DISTRICT_STATES[],8,0)</f>
        <v>New Hampshire</v>
      </c>
      <c r="C22" s="155">
        <f>IF($B22=" ","",IFERROR(INDEX(MMWR_RATING_STATE_ROLLUP_VSC[],MATCH($B22,MMWR_RATING_STATE_ROLLUP_VSC[MMWR_RATING_STATE_ROLLUP_VSC],0),MATCH(C$9,MMWR_RATING_STATE_ROLLUP_VSC[#Headers],0)),"ERROR"))</f>
        <v>1284</v>
      </c>
      <c r="D22" s="156">
        <f>IF($B22=" ","",IFERROR(INDEX(MMWR_RATING_STATE_ROLLUP_VSC[],MATCH($B22,MMWR_RATING_STATE_ROLLUP_VSC[MMWR_RATING_STATE_ROLLUP_VSC],0),MATCH(D$9,MMWR_RATING_STATE_ROLLUP_VSC[#Headers],0)),"ERROR"))</f>
        <v>91.729750778799996</v>
      </c>
      <c r="E22" s="157">
        <f>IF($B22=" ","",IFERROR(INDEX(MMWR_RATING_STATE_ROLLUP_VSC[],MATCH($B22,MMWR_RATING_STATE_ROLLUP_VSC[MMWR_RATING_STATE_ROLLUP_VSC],0),MATCH(E$9,MMWR_RATING_STATE_ROLLUP_VSC[#Headers],0))/$C22,"ERROR"))</f>
        <v>0.20638629283489096</v>
      </c>
      <c r="F22" s="155">
        <f>IF($B22=" ","",IFERROR(INDEX(MMWR_RATING_STATE_ROLLUP_VSC[],MATCH($B22,MMWR_RATING_STATE_ROLLUP_VSC[MMWR_RATING_STATE_ROLLUP_VSC],0),MATCH(F$9,MMWR_RATING_STATE_ROLLUP_VSC[#Headers],0)),"ERROR"))</f>
        <v>366</v>
      </c>
      <c r="G22" s="155">
        <f>IF($B22=" ","",IFERROR(INDEX(MMWR_RATING_STATE_ROLLUP_VSC[],MATCH($B22,MMWR_RATING_STATE_ROLLUP_VSC[MMWR_RATING_STATE_ROLLUP_VSC],0),MATCH(G$9,MMWR_RATING_STATE_ROLLUP_VSC[#Headers],0)),"ERROR"))</f>
        <v>3842</v>
      </c>
      <c r="H22" s="156">
        <f>IF($B22=" ","",IFERROR(INDEX(MMWR_RATING_STATE_ROLLUP_VSC[],MATCH($B22,MMWR_RATING_STATE_ROLLUP_VSC[MMWR_RATING_STATE_ROLLUP_VSC],0),MATCH(H$9,MMWR_RATING_STATE_ROLLUP_VSC[#Headers],0)),"ERROR"))</f>
        <v>153.106557377</v>
      </c>
      <c r="I22" s="156">
        <f>IF($B22=" ","",IFERROR(INDEX(MMWR_RATING_STATE_ROLLUP_VSC[],MATCH($B22,MMWR_RATING_STATE_ROLLUP_VSC[MMWR_RATING_STATE_ROLLUP_VSC],0),MATCH(I$9,MMWR_RATING_STATE_ROLLUP_VSC[#Headers],0)),"ERROR"))</f>
        <v>174.20718375850001</v>
      </c>
      <c r="J22" s="42"/>
      <c r="K22" s="42"/>
      <c r="L22" s="42"/>
      <c r="M22" s="42"/>
      <c r="N22" s="28"/>
    </row>
    <row r="23" spans="1:14" ht="13.2" x14ac:dyDescent="0.25">
      <c r="A23" s="25"/>
      <c r="B23" s="8" t="str">
        <f>VLOOKUP($B$15,DISTRICT_STATES[],9,0)</f>
        <v>New Jersey</v>
      </c>
      <c r="C23" s="155">
        <f>IF($B23=" ","",IFERROR(INDEX(MMWR_RATING_STATE_ROLLUP_VSC[],MATCH($B23,MMWR_RATING_STATE_ROLLUP_VSC[MMWR_RATING_STATE_ROLLUP_VSC],0),MATCH(C$9,MMWR_RATING_STATE_ROLLUP_VSC[#Headers],0)),"ERROR"))</f>
        <v>4110</v>
      </c>
      <c r="D23" s="156">
        <f>IF($B23=" ","",IFERROR(INDEX(MMWR_RATING_STATE_ROLLUP_VSC[],MATCH($B23,MMWR_RATING_STATE_ROLLUP_VSC[MMWR_RATING_STATE_ROLLUP_VSC],0),MATCH(D$9,MMWR_RATING_STATE_ROLLUP_VSC[#Headers],0)),"ERROR"))</f>
        <v>111.2542579075</v>
      </c>
      <c r="E23" s="157">
        <f>IF($B23=" ","",IFERROR(INDEX(MMWR_RATING_STATE_ROLLUP_VSC[],MATCH($B23,MMWR_RATING_STATE_ROLLUP_VSC[MMWR_RATING_STATE_ROLLUP_VSC],0),MATCH(E$9,MMWR_RATING_STATE_ROLLUP_VSC[#Headers],0))/$C23,"ERROR"))</f>
        <v>0.29562043795620441</v>
      </c>
      <c r="F23" s="155">
        <f>IF($B23=" ","",IFERROR(INDEX(MMWR_RATING_STATE_ROLLUP_VSC[],MATCH($B23,MMWR_RATING_STATE_ROLLUP_VSC[MMWR_RATING_STATE_ROLLUP_VSC],0),MATCH(F$9,MMWR_RATING_STATE_ROLLUP_VSC[#Headers],0)),"ERROR"))</f>
        <v>1177</v>
      </c>
      <c r="G23" s="155">
        <f>IF($B23=" ","",IFERROR(INDEX(MMWR_RATING_STATE_ROLLUP_VSC[],MATCH($B23,MMWR_RATING_STATE_ROLLUP_VSC[MMWR_RATING_STATE_ROLLUP_VSC],0),MATCH(G$9,MMWR_RATING_STATE_ROLLUP_VSC[#Headers],0)),"ERROR"))</f>
        <v>12673</v>
      </c>
      <c r="H23" s="156">
        <f>IF($B23=" ","",IFERROR(INDEX(MMWR_RATING_STATE_ROLLUP_VSC[],MATCH($B23,MMWR_RATING_STATE_ROLLUP_VSC[MMWR_RATING_STATE_ROLLUP_VSC],0),MATCH(H$9,MMWR_RATING_STATE_ROLLUP_VSC[#Headers],0)),"ERROR"))</f>
        <v>169.0118946474</v>
      </c>
      <c r="I23" s="156">
        <f>IF($B23=" ","",IFERROR(INDEX(MMWR_RATING_STATE_ROLLUP_VSC[],MATCH($B23,MMWR_RATING_STATE_ROLLUP_VSC[MMWR_RATING_STATE_ROLLUP_VSC],0),MATCH(I$9,MMWR_RATING_STATE_ROLLUP_VSC[#Headers],0)),"ERROR"))</f>
        <v>190.7898682238</v>
      </c>
      <c r="J23" s="42"/>
      <c r="K23" s="42"/>
      <c r="L23" s="42"/>
      <c r="M23" s="42"/>
      <c r="N23" s="28"/>
    </row>
    <row r="24" spans="1:14" ht="13.2" x14ac:dyDescent="0.25">
      <c r="A24" s="25"/>
      <c r="B24" s="8" t="str">
        <f>VLOOKUP($B$15,DISTRICT_STATES[],10,0)</f>
        <v>New York</v>
      </c>
      <c r="C24" s="155">
        <f>IF($B24=" ","",IFERROR(INDEX(MMWR_RATING_STATE_ROLLUP_VSC[],MATCH($B24,MMWR_RATING_STATE_ROLLUP_VSC[MMWR_RATING_STATE_ROLLUP_VSC],0),MATCH(C$9,MMWR_RATING_STATE_ROLLUP_VSC[#Headers],0)),"ERROR"))</f>
        <v>9093</v>
      </c>
      <c r="D24" s="156">
        <f>IF($B24=" ","",IFERROR(INDEX(MMWR_RATING_STATE_ROLLUP_VSC[],MATCH($B24,MMWR_RATING_STATE_ROLLUP_VSC[MMWR_RATING_STATE_ROLLUP_VSC],0),MATCH(D$9,MMWR_RATING_STATE_ROLLUP_VSC[#Headers],0)),"ERROR"))</f>
        <v>108.1969646981</v>
      </c>
      <c r="E24" s="157">
        <f>IF($B24=" ","",IFERROR(INDEX(MMWR_RATING_STATE_ROLLUP_VSC[],MATCH($B24,MMWR_RATING_STATE_ROLLUP_VSC[MMWR_RATING_STATE_ROLLUP_VSC],0),MATCH(E$9,MMWR_RATING_STATE_ROLLUP_VSC[#Headers],0))/$C24,"ERROR"))</f>
        <v>0.27438689101506653</v>
      </c>
      <c r="F24" s="155">
        <f>IF($B24=" ","",IFERROR(INDEX(MMWR_RATING_STATE_ROLLUP_VSC[],MATCH($B24,MMWR_RATING_STATE_ROLLUP_VSC[MMWR_RATING_STATE_ROLLUP_VSC],0),MATCH(F$9,MMWR_RATING_STATE_ROLLUP_VSC[#Headers],0)),"ERROR"))</f>
        <v>2541</v>
      </c>
      <c r="G24" s="155">
        <f>IF($B24=" ","",IFERROR(INDEX(MMWR_RATING_STATE_ROLLUP_VSC[],MATCH($B24,MMWR_RATING_STATE_ROLLUP_VSC[MMWR_RATING_STATE_ROLLUP_VSC],0),MATCH(G$9,MMWR_RATING_STATE_ROLLUP_VSC[#Headers],0)),"ERROR"))</f>
        <v>29874</v>
      </c>
      <c r="H24" s="156">
        <f>IF($B24=" ","",IFERROR(INDEX(MMWR_RATING_STATE_ROLLUP_VSC[],MATCH($B24,MMWR_RATING_STATE_ROLLUP_VSC[MMWR_RATING_STATE_ROLLUP_VSC],0),MATCH(H$9,MMWR_RATING_STATE_ROLLUP_VSC[#Headers],0)),"ERROR"))</f>
        <v>171.1770956316</v>
      </c>
      <c r="I24" s="156">
        <f>IF($B24=" ","",IFERROR(INDEX(MMWR_RATING_STATE_ROLLUP_VSC[],MATCH($B24,MMWR_RATING_STATE_ROLLUP_VSC[MMWR_RATING_STATE_ROLLUP_VSC],0),MATCH(I$9,MMWR_RATING_STATE_ROLLUP_VSC[#Headers],0)),"ERROR"))</f>
        <v>197.56396866840001</v>
      </c>
      <c r="J24" s="42"/>
      <c r="K24" s="42"/>
      <c r="L24" s="42"/>
      <c r="M24" s="42"/>
      <c r="N24" s="28"/>
    </row>
    <row r="25" spans="1:14" ht="13.2" x14ac:dyDescent="0.25">
      <c r="A25" s="25"/>
      <c r="B25" s="8" t="str">
        <f>VLOOKUP($B$15,DISTRICT_STATES[],11,0)</f>
        <v>North Carolina</v>
      </c>
      <c r="C25" s="155">
        <f>IF($B25=" ","",IFERROR(INDEX(MMWR_RATING_STATE_ROLLUP_VSC[],MATCH($B25,MMWR_RATING_STATE_ROLLUP_VSC[MMWR_RATING_STATE_ROLLUP_VSC],0),MATCH(C$9,MMWR_RATING_STATE_ROLLUP_VSC[#Headers],0)),"ERROR"))</f>
        <v>17028</v>
      </c>
      <c r="D25" s="156">
        <f>IF($B25=" ","",IFERROR(INDEX(MMWR_RATING_STATE_ROLLUP_VSC[],MATCH($B25,MMWR_RATING_STATE_ROLLUP_VSC[MMWR_RATING_STATE_ROLLUP_VSC],0),MATCH(D$9,MMWR_RATING_STATE_ROLLUP_VSC[#Headers],0)),"ERROR"))</f>
        <v>112.38325111579999</v>
      </c>
      <c r="E25" s="157">
        <f>IF($B25=" ","",IFERROR(INDEX(MMWR_RATING_STATE_ROLLUP_VSC[],MATCH($B25,MMWR_RATING_STATE_ROLLUP_VSC[MMWR_RATING_STATE_ROLLUP_VSC],0),MATCH(E$9,MMWR_RATING_STATE_ROLLUP_VSC[#Headers],0))/$C25,"ERROR"))</f>
        <v>0.29627672069532535</v>
      </c>
      <c r="F25" s="155">
        <f>IF($B25=" ","",IFERROR(INDEX(MMWR_RATING_STATE_ROLLUP_VSC[],MATCH($B25,MMWR_RATING_STATE_ROLLUP_VSC[MMWR_RATING_STATE_ROLLUP_VSC],0),MATCH(F$9,MMWR_RATING_STATE_ROLLUP_VSC[#Headers],0)),"ERROR"))</f>
        <v>4935</v>
      </c>
      <c r="G25" s="155">
        <f>IF($B25=" ","",IFERROR(INDEX(MMWR_RATING_STATE_ROLLUP_VSC[],MATCH($B25,MMWR_RATING_STATE_ROLLUP_VSC[MMWR_RATING_STATE_ROLLUP_VSC],0),MATCH(G$9,MMWR_RATING_STATE_ROLLUP_VSC[#Headers],0)),"ERROR"))</f>
        <v>54923</v>
      </c>
      <c r="H25" s="156">
        <f>IF($B25=" ","",IFERROR(INDEX(MMWR_RATING_STATE_ROLLUP_VSC[],MATCH($B25,MMWR_RATING_STATE_ROLLUP_VSC[MMWR_RATING_STATE_ROLLUP_VSC],0),MATCH(H$9,MMWR_RATING_STATE_ROLLUP_VSC[#Headers],0)),"ERROR"))</f>
        <v>162.91205673760001</v>
      </c>
      <c r="I25" s="156">
        <f>IF($B25=" ","",IFERROR(INDEX(MMWR_RATING_STATE_ROLLUP_VSC[],MATCH($B25,MMWR_RATING_STATE_ROLLUP_VSC[MMWR_RATING_STATE_ROLLUP_VSC],0),MATCH(I$9,MMWR_RATING_STATE_ROLLUP_VSC[#Headers],0)),"ERROR"))</f>
        <v>194.72390437519999</v>
      </c>
      <c r="J25" s="42"/>
      <c r="K25" s="42"/>
      <c r="L25" s="42"/>
      <c r="M25" s="42"/>
      <c r="N25" s="28"/>
    </row>
    <row r="26" spans="1:14" ht="13.2" x14ac:dyDescent="0.25">
      <c r="A26" s="25"/>
      <c r="B26" s="8" t="str">
        <f>VLOOKUP($B$15,DISTRICT_STATES[],12,0)</f>
        <v>Pennsylvania</v>
      </c>
      <c r="C26" s="155">
        <f>IF($B26=" ","",IFERROR(INDEX(MMWR_RATING_STATE_ROLLUP_VSC[],MATCH($B26,MMWR_RATING_STATE_ROLLUP_VSC[MMWR_RATING_STATE_ROLLUP_VSC],0),MATCH(C$9,MMWR_RATING_STATE_ROLLUP_VSC[#Headers],0)),"ERROR"))</f>
        <v>9275</v>
      </c>
      <c r="D26" s="156">
        <f>IF($B26=" ","",IFERROR(INDEX(MMWR_RATING_STATE_ROLLUP_VSC[],MATCH($B26,MMWR_RATING_STATE_ROLLUP_VSC[MMWR_RATING_STATE_ROLLUP_VSC],0),MATCH(D$9,MMWR_RATING_STATE_ROLLUP_VSC[#Headers],0)),"ERROR"))</f>
        <v>119.1455525606</v>
      </c>
      <c r="E26" s="157">
        <f>IF($B26=" ","",IFERROR(INDEX(MMWR_RATING_STATE_ROLLUP_VSC[],MATCH($B26,MMWR_RATING_STATE_ROLLUP_VSC[MMWR_RATING_STATE_ROLLUP_VSC],0),MATCH(E$9,MMWR_RATING_STATE_ROLLUP_VSC[#Headers],0))/$C26,"ERROR"))</f>
        <v>0.31741239892183287</v>
      </c>
      <c r="F26" s="155">
        <f>IF($B26=" ","",IFERROR(INDEX(MMWR_RATING_STATE_ROLLUP_VSC[],MATCH($B26,MMWR_RATING_STATE_ROLLUP_VSC[MMWR_RATING_STATE_ROLLUP_VSC],0),MATCH(F$9,MMWR_RATING_STATE_ROLLUP_VSC[#Headers],0)),"ERROR"))</f>
        <v>2529</v>
      </c>
      <c r="G26" s="155">
        <f>IF($B26=" ","",IFERROR(INDEX(MMWR_RATING_STATE_ROLLUP_VSC[],MATCH($B26,MMWR_RATING_STATE_ROLLUP_VSC[MMWR_RATING_STATE_ROLLUP_VSC],0),MATCH(G$9,MMWR_RATING_STATE_ROLLUP_VSC[#Headers],0)),"ERROR"))</f>
        <v>30921</v>
      </c>
      <c r="H26" s="156">
        <f>IF($B26=" ","",IFERROR(INDEX(MMWR_RATING_STATE_ROLLUP_VSC[],MATCH($B26,MMWR_RATING_STATE_ROLLUP_VSC[MMWR_RATING_STATE_ROLLUP_VSC],0),MATCH(H$9,MMWR_RATING_STATE_ROLLUP_VSC[#Headers],0)),"ERROR"))</f>
        <v>162.92724396989999</v>
      </c>
      <c r="I26" s="156">
        <f>IF($B26=" ","",IFERROR(INDEX(MMWR_RATING_STATE_ROLLUP_VSC[],MATCH($B26,MMWR_RATING_STATE_ROLLUP_VSC[MMWR_RATING_STATE_ROLLUP_VSC],0),MATCH(I$9,MMWR_RATING_STATE_ROLLUP_VSC[#Headers],0)),"ERROR"))</f>
        <v>209.10575337149999</v>
      </c>
      <c r="J26" s="42"/>
      <c r="K26" s="42"/>
      <c r="L26" s="42"/>
      <c r="M26" s="42"/>
      <c r="N26" s="28"/>
    </row>
    <row r="27" spans="1:14" ht="13.2" x14ac:dyDescent="0.25">
      <c r="A27" s="25"/>
      <c r="B27" s="8" t="str">
        <f>VLOOKUP($B$15,DISTRICT_STATES[],13,0)</f>
        <v>Rhode Island</v>
      </c>
      <c r="C27" s="155">
        <f>IF($B27=" ","",IFERROR(INDEX(MMWR_RATING_STATE_ROLLUP_VSC[],MATCH($B27,MMWR_RATING_STATE_ROLLUP_VSC[MMWR_RATING_STATE_ROLLUP_VSC],0),MATCH(C$9,MMWR_RATING_STATE_ROLLUP_VSC[#Headers],0)),"ERROR"))</f>
        <v>914</v>
      </c>
      <c r="D27" s="156">
        <f>IF($B27=" ","",IFERROR(INDEX(MMWR_RATING_STATE_ROLLUP_VSC[],MATCH($B27,MMWR_RATING_STATE_ROLLUP_VSC[MMWR_RATING_STATE_ROLLUP_VSC],0),MATCH(D$9,MMWR_RATING_STATE_ROLLUP_VSC[#Headers],0)),"ERROR"))</f>
        <v>99.564551422299999</v>
      </c>
      <c r="E27" s="157">
        <f>IF($B27=" ","",IFERROR(INDEX(MMWR_RATING_STATE_ROLLUP_VSC[],MATCH($B27,MMWR_RATING_STATE_ROLLUP_VSC[MMWR_RATING_STATE_ROLLUP_VSC],0),MATCH(E$9,MMWR_RATING_STATE_ROLLUP_VSC[#Headers],0))/$C27,"ERROR"))</f>
        <v>0.28993435448577681</v>
      </c>
      <c r="F27" s="155">
        <f>IF($B27=" ","",IFERROR(INDEX(MMWR_RATING_STATE_ROLLUP_VSC[],MATCH($B27,MMWR_RATING_STATE_ROLLUP_VSC[MMWR_RATING_STATE_ROLLUP_VSC],0),MATCH(F$9,MMWR_RATING_STATE_ROLLUP_VSC[#Headers],0)),"ERROR"))</f>
        <v>224</v>
      </c>
      <c r="G27" s="155">
        <f>IF($B27=" ","",IFERROR(INDEX(MMWR_RATING_STATE_ROLLUP_VSC[],MATCH($B27,MMWR_RATING_STATE_ROLLUP_VSC[MMWR_RATING_STATE_ROLLUP_VSC],0),MATCH(G$9,MMWR_RATING_STATE_ROLLUP_VSC[#Headers],0)),"ERROR"))</f>
        <v>2845</v>
      </c>
      <c r="H27" s="156">
        <f>IF($B27=" ","",IFERROR(INDEX(MMWR_RATING_STATE_ROLLUP_VSC[],MATCH($B27,MMWR_RATING_STATE_ROLLUP_VSC[MMWR_RATING_STATE_ROLLUP_VSC],0),MATCH(H$9,MMWR_RATING_STATE_ROLLUP_VSC[#Headers],0)),"ERROR"))</f>
        <v>122.83482142859999</v>
      </c>
      <c r="I27" s="156">
        <f>IF($B27=" ","",IFERROR(INDEX(MMWR_RATING_STATE_ROLLUP_VSC[],MATCH($B27,MMWR_RATING_STATE_ROLLUP_VSC[MMWR_RATING_STATE_ROLLUP_VSC],0),MATCH(I$9,MMWR_RATING_STATE_ROLLUP_VSC[#Headers],0)),"ERROR"))</f>
        <v>115.92407732860001</v>
      </c>
      <c r="J27" s="42"/>
      <c r="K27" s="42"/>
      <c r="L27" s="42"/>
      <c r="M27" s="42"/>
      <c r="N27" s="28"/>
    </row>
    <row r="28" spans="1:14" ht="13.2" x14ac:dyDescent="0.25">
      <c r="A28" s="25"/>
      <c r="B28" s="8" t="str">
        <f>VLOOKUP($B$15,DISTRICT_STATES[],14,0)</f>
        <v>Vermont</v>
      </c>
      <c r="C28" s="155">
        <f>IF($B28=" ","",IFERROR(INDEX(MMWR_RATING_STATE_ROLLUP_VSC[],MATCH($B28,MMWR_RATING_STATE_ROLLUP_VSC[MMWR_RATING_STATE_ROLLUP_VSC],0),MATCH(C$9,MMWR_RATING_STATE_ROLLUP_VSC[#Headers],0)),"ERROR"))</f>
        <v>400</v>
      </c>
      <c r="D28" s="156">
        <f>IF($B28=" ","",IFERROR(INDEX(MMWR_RATING_STATE_ROLLUP_VSC[],MATCH($B28,MMWR_RATING_STATE_ROLLUP_VSC[MMWR_RATING_STATE_ROLLUP_VSC],0),MATCH(D$9,MMWR_RATING_STATE_ROLLUP_VSC[#Headers],0)),"ERROR"))</f>
        <v>102.0475</v>
      </c>
      <c r="E28" s="157">
        <f>IF($B28=" ","",IFERROR(INDEX(MMWR_RATING_STATE_ROLLUP_VSC[],MATCH($B28,MMWR_RATING_STATE_ROLLUP_VSC[MMWR_RATING_STATE_ROLLUP_VSC],0),MATCH(E$9,MMWR_RATING_STATE_ROLLUP_VSC[#Headers],0))/$C28,"ERROR"))</f>
        <v>0.29749999999999999</v>
      </c>
      <c r="F28" s="155">
        <f>IF($B28=" ","",IFERROR(INDEX(MMWR_RATING_STATE_ROLLUP_VSC[],MATCH($B28,MMWR_RATING_STATE_ROLLUP_VSC[MMWR_RATING_STATE_ROLLUP_VSC],0),MATCH(F$9,MMWR_RATING_STATE_ROLLUP_VSC[#Headers],0)),"ERROR"))</f>
        <v>115</v>
      </c>
      <c r="G28" s="155">
        <f>IF($B28=" ","",IFERROR(INDEX(MMWR_RATING_STATE_ROLLUP_VSC[],MATCH($B28,MMWR_RATING_STATE_ROLLUP_VSC[MMWR_RATING_STATE_ROLLUP_VSC],0),MATCH(G$9,MMWR_RATING_STATE_ROLLUP_VSC[#Headers],0)),"ERROR"))</f>
        <v>1428</v>
      </c>
      <c r="H28" s="156">
        <f>IF($B28=" ","",IFERROR(INDEX(MMWR_RATING_STATE_ROLLUP_VSC[],MATCH($B28,MMWR_RATING_STATE_ROLLUP_VSC[MMWR_RATING_STATE_ROLLUP_VSC],0),MATCH(H$9,MMWR_RATING_STATE_ROLLUP_VSC[#Headers],0)),"ERROR"))</f>
        <v>122.6869565217</v>
      </c>
      <c r="I28" s="156">
        <f>IF($B28=" ","",IFERROR(INDEX(MMWR_RATING_STATE_ROLLUP_VSC[],MATCH($B28,MMWR_RATING_STATE_ROLLUP_VSC[MMWR_RATING_STATE_ROLLUP_VSC],0),MATCH(I$9,MMWR_RATING_STATE_ROLLUP_VSC[#Headers],0)),"ERROR"))</f>
        <v>162.3529411765</v>
      </c>
      <c r="J28" s="42"/>
      <c r="K28" s="42"/>
      <c r="L28" s="42"/>
      <c r="M28" s="42"/>
      <c r="N28" s="28"/>
    </row>
    <row r="29" spans="1:14" ht="13.2" x14ac:dyDescent="0.25">
      <c r="A29" s="25"/>
      <c r="B29" s="8" t="str">
        <f>VLOOKUP($B$15,DISTRICT_STATES[],15,0)</f>
        <v>Virginia</v>
      </c>
      <c r="C29" s="155">
        <f>IF($B29=" ","",IFERROR(INDEX(MMWR_RATING_STATE_ROLLUP_VSC[],MATCH($B29,MMWR_RATING_STATE_ROLLUP_VSC[MMWR_RATING_STATE_ROLLUP_VSC],0),MATCH(C$9,MMWR_RATING_STATE_ROLLUP_VSC[#Headers],0)),"ERROR"))</f>
        <v>10811</v>
      </c>
      <c r="D29" s="156">
        <f>IF($B29=" ","",IFERROR(INDEX(MMWR_RATING_STATE_ROLLUP_VSC[],MATCH($B29,MMWR_RATING_STATE_ROLLUP_VSC[MMWR_RATING_STATE_ROLLUP_VSC],0),MATCH(D$9,MMWR_RATING_STATE_ROLLUP_VSC[#Headers],0)),"ERROR"))</f>
        <v>101.1449449635</v>
      </c>
      <c r="E29" s="157">
        <f>IF($B29=" ","",IFERROR(INDEX(MMWR_RATING_STATE_ROLLUP_VSC[],MATCH($B29,MMWR_RATING_STATE_ROLLUP_VSC[MMWR_RATING_STATE_ROLLUP_VSC],0),MATCH(E$9,MMWR_RATING_STATE_ROLLUP_VSC[#Headers],0))/$C29,"ERROR"))</f>
        <v>0.25733049671630748</v>
      </c>
      <c r="F29" s="155">
        <f>IF($B29=" ","",IFERROR(INDEX(MMWR_RATING_STATE_ROLLUP_VSC[],MATCH($B29,MMWR_RATING_STATE_ROLLUP_VSC[MMWR_RATING_STATE_ROLLUP_VSC],0),MATCH(F$9,MMWR_RATING_STATE_ROLLUP_VSC[#Headers],0)),"ERROR"))</f>
        <v>3578</v>
      </c>
      <c r="G29" s="155">
        <f>IF($B29=" ","",IFERROR(INDEX(MMWR_RATING_STATE_ROLLUP_VSC[],MATCH($B29,MMWR_RATING_STATE_ROLLUP_VSC[MMWR_RATING_STATE_ROLLUP_VSC],0),MATCH(G$9,MMWR_RATING_STATE_ROLLUP_VSC[#Headers],0)),"ERROR"))</f>
        <v>38560</v>
      </c>
      <c r="H29" s="156">
        <f>IF($B29=" ","",IFERROR(INDEX(MMWR_RATING_STATE_ROLLUP_VSC[],MATCH($B29,MMWR_RATING_STATE_ROLLUP_VSC[MMWR_RATING_STATE_ROLLUP_VSC],0),MATCH(H$9,MMWR_RATING_STATE_ROLLUP_VSC[#Headers],0)),"ERROR"))</f>
        <v>159.49748462829999</v>
      </c>
      <c r="I29" s="156">
        <f>IF($B29=" ","",IFERROR(INDEX(MMWR_RATING_STATE_ROLLUP_VSC[],MATCH($B29,MMWR_RATING_STATE_ROLLUP_VSC[MMWR_RATING_STATE_ROLLUP_VSC],0),MATCH(I$9,MMWR_RATING_STATE_ROLLUP_VSC[#Headers],0)),"ERROR"))</f>
        <v>197.22813796680001</v>
      </c>
      <c r="J29" s="42"/>
      <c r="K29" s="42"/>
      <c r="L29" s="42"/>
      <c r="M29" s="42"/>
      <c r="N29" s="28"/>
    </row>
    <row r="30" spans="1:14" ht="13.2" x14ac:dyDescent="0.25">
      <c r="A30" s="25"/>
      <c r="B30" s="8" t="str">
        <f>VLOOKUP($B$15,DISTRICT_STATES[],16,0)</f>
        <v>West Virginia</v>
      </c>
      <c r="C30" s="155">
        <f>IF($B30=" ","",IFERROR(INDEX(MMWR_RATING_STATE_ROLLUP_VSC[],MATCH($B30,MMWR_RATING_STATE_ROLLUP_VSC[MMWR_RATING_STATE_ROLLUP_VSC],0),MATCH(C$9,MMWR_RATING_STATE_ROLLUP_VSC[#Headers],0)),"ERROR"))</f>
        <v>2163</v>
      </c>
      <c r="D30" s="156">
        <f>IF($B30=" ","",IFERROR(INDEX(MMWR_RATING_STATE_ROLLUP_VSC[],MATCH($B30,MMWR_RATING_STATE_ROLLUP_VSC[MMWR_RATING_STATE_ROLLUP_VSC],0),MATCH(D$9,MMWR_RATING_STATE_ROLLUP_VSC[#Headers],0)),"ERROR"))</f>
        <v>91.427646786899999</v>
      </c>
      <c r="E30" s="157">
        <f>IF($B30=" ","",IFERROR(INDEX(MMWR_RATING_STATE_ROLLUP_VSC[],MATCH($B30,MMWR_RATING_STATE_ROLLUP_VSC[MMWR_RATING_STATE_ROLLUP_VSC],0),MATCH(E$9,MMWR_RATING_STATE_ROLLUP_VSC[#Headers],0))/$C30,"ERROR"))</f>
        <v>0.2154415164123902</v>
      </c>
      <c r="F30" s="155">
        <f>IF($B30=" ","",IFERROR(INDEX(MMWR_RATING_STATE_ROLLUP_VSC[],MATCH($B30,MMWR_RATING_STATE_ROLLUP_VSC[MMWR_RATING_STATE_ROLLUP_VSC],0),MATCH(F$9,MMWR_RATING_STATE_ROLLUP_VSC[#Headers],0)),"ERROR"))</f>
        <v>1015</v>
      </c>
      <c r="G30" s="155">
        <f>IF($B30=" ","",IFERROR(INDEX(MMWR_RATING_STATE_ROLLUP_VSC[],MATCH($B30,MMWR_RATING_STATE_ROLLUP_VSC[MMWR_RATING_STATE_ROLLUP_VSC],0),MATCH(G$9,MMWR_RATING_STATE_ROLLUP_VSC[#Headers],0)),"ERROR"))</f>
        <v>9049</v>
      </c>
      <c r="H30" s="156">
        <f>IF($B30=" ","",IFERROR(INDEX(MMWR_RATING_STATE_ROLLUP_VSC[],MATCH($B30,MMWR_RATING_STATE_ROLLUP_VSC[MMWR_RATING_STATE_ROLLUP_VSC],0),MATCH(H$9,MMWR_RATING_STATE_ROLLUP_VSC[#Headers],0)),"ERROR"))</f>
        <v>119.78620689660001</v>
      </c>
      <c r="I30" s="156">
        <f>IF($B30=" ","",IFERROR(INDEX(MMWR_RATING_STATE_ROLLUP_VSC[],MATCH($B30,MMWR_RATING_STATE_ROLLUP_VSC[MMWR_RATING_STATE_ROLLUP_VSC],0),MATCH(I$9,MMWR_RATING_STATE_ROLLUP_VSC[#Headers],0)),"ERROR"))</f>
        <v>146.3581611228</v>
      </c>
      <c r="J30" s="42"/>
      <c r="K30" s="42"/>
      <c r="L30" s="42"/>
      <c r="M30" s="42"/>
      <c r="N30" s="28"/>
    </row>
    <row r="31" spans="1:14" ht="13.2" x14ac:dyDescent="0.25">
      <c r="A31" s="25"/>
      <c r="B31" s="372" t="s">
        <v>971</v>
      </c>
      <c r="C31" s="373"/>
      <c r="D31" s="373"/>
      <c r="E31" s="373"/>
      <c r="F31" s="373"/>
      <c r="G31" s="373"/>
      <c r="H31" s="373"/>
      <c r="I31" s="373"/>
      <c r="J31" s="373"/>
      <c r="K31" s="373"/>
      <c r="L31" s="373"/>
      <c r="M31" s="385"/>
      <c r="N31" s="28"/>
    </row>
    <row r="32" spans="1:14" ht="13.2" x14ac:dyDescent="0.25">
      <c r="A32" s="25"/>
      <c r="B32" s="41" t="s">
        <v>1050</v>
      </c>
      <c r="C32" s="155">
        <f>IF($B32=" ","",IFERROR(INDEX(MMWR_RATING_STATE_ROLLUP_PMC[],MATCH($B32,MMWR_RATING_STATE_ROLLUP_PMC[MMWR_RATING_STATE_ROLLUP_PMC],0),MATCH(C$9,MMWR_RATING_STATE_ROLLUP_PMC[#Headers],0)),"ERROR"))</f>
        <v>19542</v>
      </c>
      <c r="D32" s="156">
        <f>IF($B32=" ","",IFERROR(INDEX(MMWR_RATING_STATE_ROLLUP_PMC[],MATCH($B32,MMWR_RATING_STATE_ROLLUP_PMC[MMWR_RATING_STATE_ROLLUP_PMC],0),MATCH(D$9,MMWR_RATING_STATE_ROLLUP_PMC[#Headers],0)),"ERROR"))</f>
        <v>59.964896121199999</v>
      </c>
      <c r="E32" s="157">
        <f>IF($B32=" ","",IFERROR(INDEX(MMWR_RATING_STATE_ROLLUP_PMC[],MATCH($B32,MMWR_RATING_STATE_ROLLUP_PMC[MMWR_RATING_STATE_ROLLUP_PMC],0),MATCH(E$9,MMWR_RATING_STATE_ROLLUP_PMC[#Headers],0))/$C32,"ERROR"))</f>
        <v>9.4156176440487155E-2</v>
      </c>
      <c r="F32" s="155">
        <f>IF($B32=" ","",IFERROR(INDEX(MMWR_RATING_STATE_ROLLUP_PMC[],MATCH($B32,MMWR_RATING_STATE_ROLLUP_PMC[MMWR_RATING_STATE_ROLLUP_PMC],0),MATCH(F$9,MMWR_RATING_STATE_ROLLUP_PMC[#Headers],0)),"ERROR"))</f>
        <v>11416</v>
      </c>
      <c r="G32" s="155">
        <f>IF($B32=" ","",IFERROR(INDEX(MMWR_RATING_STATE_ROLLUP_PMC[],MATCH($B32,MMWR_RATING_STATE_ROLLUP_PMC[MMWR_RATING_STATE_ROLLUP_PMC],0),MATCH(G$9,MMWR_RATING_STATE_ROLLUP_PMC[#Headers],0)),"ERROR"))</f>
        <v>139915</v>
      </c>
      <c r="H32" s="156">
        <f>IF($B32=" ","",IFERROR(INDEX(MMWR_RATING_STATE_ROLLUP_PMC[],MATCH($B32,MMWR_RATING_STATE_ROLLUP_PMC[MMWR_RATING_STATE_ROLLUP_PMC],0),MATCH(H$9,MMWR_RATING_STATE_ROLLUP_PMC[#Headers],0)),"ERROR"))</f>
        <v>66.277154870399997</v>
      </c>
      <c r="I32" s="156">
        <f>IF($B32=" ","",IFERROR(INDEX(MMWR_RATING_STATE_ROLLUP_PMC[],MATCH($B32,MMWR_RATING_STATE_ROLLUP_PMC[MMWR_RATING_STATE_ROLLUP_PMC],0),MATCH(I$9,MMWR_RATING_STATE_ROLLUP_PMC[#Headers],0)),"ERROR"))</f>
        <v>64.478011649899997</v>
      </c>
      <c r="J32" s="42"/>
      <c r="K32" s="42"/>
      <c r="L32" s="42"/>
      <c r="M32" s="42"/>
      <c r="N32" s="28"/>
    </row>
    <row r="33" spans="1:14" ht="13.2" x14ac:dyDescent="0.25">
      <c r="A33" s="25"/>
      <c r="B33" s="251" t="str">
        <f>INDEX(DISTRICT_STATES[],MATCH($B$5,DISTRICT_RO[District],0),1)</f>
        <v>North Atlantic</v>
      </c>
      <c r="C33" s="155">
        <f>IF($B33=" ","",IFERROR(INDEX(MMWR_RATING_STATE_ROLLUP_PMC[],MATCH($B33,MMWR_RATING_STATE_ROLLUP_PMC[MMWR_RATING_STATE_ROLLUP_PMC],0),MATCH(C$9,MMWR_RATING_STATE_ROLLUP_PMC[#Headers],0)),"ERROR"))</f>
        <v>3681</v>
      </c>
      <c r="D33" s="156">
        <f>IF($B33=" ","",IFERROR(INDEX(MMWR_RATING_STATE_ROLLUP_PMC[],MATCH($B33,MMWR_RATING_STATE_ROLLUP_PMC[MMWR_RATING_STATE_ROLLUP_PMC],0),MATCH(D$9,MMWR_RATING_STATE_ROLLUP_PMC[#Headers],0)),"ERROR"))</f>
        <v>69.237707144799998</v>
      </c>
      <c r="E33" s="157">
        <f>IF($B33=" ","",IFERROR(INDEX(MMWR_RATING_STATE_ROLLUP_PMC[],MATCH($B33,MMWR_RATING_STATE_ROLLUP_PMC[MMWR_RATING_STATE_ROLLUP_PMC],0),MATCH(E$9,MMWR_RATING_STATE_ROLLUP_PMC[#Headers],0))/$C33,"ERROR"))</f>
        <v>0.11871773974463461</v>
      </c>
      <c r="F33" s="155">
        <f>IF($B33=" ","",IFERROR(INDEX(MMWR_RATING_STATE_ROLLUP_PMC[],MATCH($B33,MMWR_RATING_STATE_ROLLUP_PMC[MMWR_RATING_STATE_ROLLUP_PMC],0),MATCH(F$9,MMWR_RATING_STATE_ROLLUP_PMC[#Headers],0)),"ERROR"))</f>
        <v>2105</v>
      </c>
      <c r="G33" s="155">
        <f>IF($B33=" ","",IFERROR(INDEX(MMWR_RATING_STATE_ROLLUP_PMC[],MATCH($B33,MMWR_RATING_STATE_ROLLUP_PMC[MMWR_RATING_STATE_ROLLUP_PMC],0),MATCH(G$9,MMWR_RATING_STATE_ROLLUP_PMC[#Headers],0)),"ERROR"))</f>
        <v>26946</v>
      </c>
      <c r="H33" s="156">
        <f>IF($B33=" ","",IFERROR(INDEX(MMWR_RATING_STATE_ROLLUP_PMC[],MATCH($B33,MMWR_RATING_STATE_ROLLUP_PMC[MMWR_RATING_STATE_ROLLUP_PMC],0),MATCH(H$9,MMWR_RATING_STATE_ROLLUP_PMC[#Headers],0)),"ERROR"))</f>
        <v>75.693111638999994</v>
      </c>
      <c r="I33" s="156">
        <f>IF($B33=" ","",IFERROR(INDEX(MMWR_RATING_STATE_ROLLUP_PMC[],MATCH($B33,MMWR_RATING_STATE_ROLLUP_PMC[MMWR_RATING_STATE_ROLLUP_PMC],0),MATCH(I$9,MMWR_RATING_STATE_ROLLUP_PMC[#Headers],0)),"ERROR"))</f>
        <v>74.462591850400003</v>
      </c>
      <c r="J33" s="42"/>
      <c r="K33" s="42"/>
      <c r="L33" s="42"/>
      <c r="M33" s="42"/>
      <c r="N33" s="28"/>
    </row>
    <row r="34" spans="1:14" ht="13.2" x14ac:dyDescent="0.25">
      <c r="A34" s="25"/>
      <c r="B34" s="8" t="str">
        <f>VLOOKUP($B$15,DISTRICT_STATES[],2,0)</f>
        <v>Connecticut</v>
      </c>
      <c r="C34" s="155">
        <f>IF($B34=" ","",IFERROR(INDEX(MMWR_RATING_STATE_ROLLUP_PMC[],MATCH($B34,MMWR_RATING_STATE_ROLLUP_PMC[MMWR_RATING_STATE_ROLLUP_PMC],0),MATCH(C$9,MMWR_RATING_STATE_ROLLUP_PMC[#Headers],0)),"ERROR"))</f>
        <v>98</v>
      </c>
      <c r="D34" s="156">
        <f>IF($B34=" ","",IFERROR(INDEX(MMWR_RATING_STATE_ROLLUP_PMC[],MATCH($B34,MMWR_RATING_STATE_ROLLUP_PMC[MMWR_RATING_STATE_ROLLUP_PMC],0),MATCH(D$9,MMWR_RATING_STATE_ROLLUP_PMC[#Headers],0)),"ERROR"))</f>
        <v>76.520408163300004</v>
      </c>
      <c r="E34" s="157">
        <f>IF($B34=" ","",IFERROR(INDEX(MMWR_RATING_STATE_ROLLUP_PMC[],MATCH($B34,MMWR_RATING_STATE_ROLLUP_PMC[MMWR_RATING_STATE_ROLLUP_PMC],0),MATCH(E$9,MMWR_RATING_STATE_ROLLUP_PMC[#Headers],0))/$C34,"ERROR"))</f>
        <v>0.12244897959183673</v>
      </c>
      <c r="F34" s="155">
        <f>IF($B34=" ","",IFERROR(INDEX(MMWR_RATING_STATE_ROLLUP_PMC[],MATCH($B34,MMWR_RATING_STATE_ROLLUP_PMC[MMWR_RATING_STATE_ROLLUP_PMC],0),MATCH(F$9,MMWR_RATING_STATE_ROLLUP_PMC[#Headers],0)),"ERROR"))</f>
        <v>61</v>
      </c>
      <c r="G34" s="155">
        <f>IF($B34=" ","",IFERROR(INDEX(MMWR_RATING_STATE_ROLLUP_PMC[],MATCH($B34,MMWR_RATING_STATE_ROLLUP_PMC[MMWR_RATING_STATE_ROLLUP_PMC],0),MATCH(G$9,MMWR_RATING_STATE_ROLLUP_PMC[#Headers],0)),"ERROR"))</f>
        <v>818</v>
      </c>
      <c r="H34" s="156">
        <f>IF($B34=" ","",IFERROR(INDEX(MMWR_RATING_STATE_ROLLUP_PMC[],MATCH($B34,MMWR_RATING_STATE_ROLLUP_PMC[MMWR_RATING_STATE_ROLLUP_PMC],0),MATCH(H$9,MMWR_RATING_STATE_ROLLUP_PMC[#Headers],0)),"ERROR"))</f>
        <v>77.901639344299994</v>
      </c>
      <c r="I34" s="156">
        <f>IF($B34=" ","",IFERROR(INDEX(MMWR_RATING_STATE_ROLLUP_PMC[],MATCH($B34,MMWR_RATING_STATE_ROLLUP_PMC[MMWR_RATING_STATE_ROLLUP_PMC],0),MATCH(I$9,MMWR_RATING_STATE_ROLLUP_PMC[#Headers],0)),"ERROR"))</f>
        <v>75.459657701699996</v>
      </c>
      <c r="J34" s="42"/>
      <c r="K34" s="42"/>
      <c r="L34" s="42"/>
      <c r="M34" s="42"/>
      <c r="N34" s="28"/>
    </row>
    <row r="35" spans="1:14" ht="13.2" x14ac:dyDescent="0.25">
      <c r="A35" s="25"/>
      <c r="B35" s="8" t="str">
        <f>VLOOKUP($B$15,DISTRICT_STATES[],3,0)</f>
        <v>Delaware</v>
      </c>
      <c r="C35" s="155">
        <f>IF($B35=" ","",IFERROR(INDEX(MMWR_RATING_STATE_ROLLUP_PMC[],MATCH($B35,MMWR_RATING_STATE_ROLLUP_PMC[MMWR_RATING_STATE_ROLLUP_PMC],0),MATCH(C$9,MMWR_RATING_STATE_ROLLUP_PMC[#Headers],0)),"ERROR"))</f>
        <v>25</v>
      </c>
      <c r="D35" s="156">
        <f>IF($B35=" ","",IFERROR(INDEX(MMWR_RATING_STATE_ROLLUP_PMC[],MATCH($B35,MMWR_RATING_STATE_ROLLUP_PMC[MMWR_RATING_STATE_ROLLUP_PMC],0),MATCH(D$9,MMWR_RATING_STATE_ROLLUP_PMC[#Headers],0)),"ERROR"))</f>
        <v>85.72</v>
      </c>
      <c r="E35" s="157">
        <f>IF($B35=" ","",IFERROR(INDEX(MMWR_RATING_STATE_ROLLUP_PMC[],MATCH($B35,MMWR_RATING_STATE_ROLLUP_PMC[MMWR_RATING_STATE_ROLLUP_PMC],0),MATCH(E$9,MMWR_RATING_STATE_ROLLUP_PMC[#Headers],0))/$C35,"ERROR"))</f>
        <v>0.2</v>
      </c>
      <c r="F35" s="155">
        <f>IF($B35=" ","",IFERROR(INDEX(MMWR_RATING_STATE_ROLLUP_PMC[],MATCH($B35,MMWR_RATING_STATE_ROLLUP_PMC[MMWR_RATING_STATE_ROLLUP_PMC],0),MATCH(F$9,MMWR_RATING_STATE_ROLLUP_PMC[#Headers],0)),"ERROR"))</f>
        <v>15</v>
      </c>
      <c r="G35" s="155">
        <f>IF($B35=" ","",IFERROR(INDEX(MMWR_RATING_STATE_ROLLUP_PMC[],MATCH($B35,MMWR_RATING_STATE_ROLLUP_PMC[MMWR_RATING_STATE_ROLLUP_PMC],0),MATCH(G$9,MMWR_RATING_STATE_ROLLUP_PMC[#Headers],0)),"ERROR"))</f>
        <v>289</v>
      </c>
      <c r="H35" s="156">
        <f>IF($B35=" ","",IFERROR(INDEX(MMWR_RATING_STATE_ROLLUP_PMC[],MATCH($B35,MMWR_RATING_STATE_ROLLUP_PMC[MMWR_RATING_STATE_ROLLUP_PMC],0),MATCH(H$9,MMWR_RATING_STATE_ROLLUP_PMC[#Headers],0)),"ERROR"))</f>
        <v>113.46666666669999</v>
      </c>
      <c r="I35" s="156">
        <f>IF($B35=" ","",IFERROR(INDEX(MMWR_RATING_STATE_ROLLUP_PMC[],MATCH($B35,MMWR_RATING_STATE_ROLLUP_PMC[MMWR_RATING_STATE_ROLLUP_PMC],0),MATCH(I$9,MMWR_RATING_STATE_ROLLUP_PMC[#Headers],0)),"ERROR"))</f>
        <v>84.020761245700001</v>
      </c>
      <c r="J35" s="42"/>
      <c r="K35" s="42"/>
      <c r="L35" s="42"/>
      <c r="M35" s="42"/>
      <c r="N35" s="28"/>
    </row>
    <row r="36" spans="1:14" ht="13.2" x14ac:dyDescent="0.25">
      <c r="A36" s="25"/>
      <c r="B36" s="8" t="str">
        <f>VLOOKUP($B$15,DISTRICT_STATES[],4,0)</f>
        <v>District of Columbia</v>
      </c>
      <c r="C36" s="155">
        <f>IF($B36=" ","",IFERROR(INDEX(MMWR_RATING_STATE_ROLLUP_PMC[],MATCH($B36,MMWR_RATING_STATE_ROLLUP_PMC[MMWR_RATING_STATE_ROLLUP_PMC],0),MATCH(C$9,MMWR_RATING_STATE_ROLLUP_PMC[#Headers],0)),"ERROR"))</f>
        <v>48</v>
      </c>
      <c r="D36" s="156">
        <f>IF($B36=" ","",IFERROR(INDEX(MMWR_RATING_STATE_ROLLUP_PMC[],MATCH($B36,MMWR_RATING_STATE_ROLLUP_PMC[MMWR_RATING_STATE_ROLLUP_PMC],0),MATCH(D$9,MMWR_RATING_STATE_ROLLUP_PMC[#Headers],0)),"ERROR"))</f>
        <v>56.895833333299997</v>
      </c>
      <c r="E36" s="157">
        <f>IF($B36=" ","",IFERROR(INDEX(MMWR_RATING_STATE_ROLLUP_PMC[],MATCH($B36,MMWR_RATING_STATE_ROLLUP_PMC[MMWR_RATING_STATE_ROLLUP_PMC],0),MATCH(E$9,MMWR_RATING_STATE_ROLLUP_PMC[#Headers],0))/$C36,"ERROR"))</f>
        <v>4.1666666666666664E-2</v>
      </c>
      <c r="F36" s="155">
        <f>IF($B36=" ","",IFERROR(INDEX(MMWR_RATING_STATE_ROLLUP_PMC[],MATCH($B36,MMWR_RATING_STATE_ROLLUP_PMC[MMWR_RATING_STATE_ROLLUP_PMC],0),MATCH(F$9,MMWR_RATING_STATE_ROLLUP_PMC[#Headers],0)),"ERROR"))</f>
        <v>11</v>
      </c>
      <c r="G36" s="155">
        <f>IF($B36=" ","",IFERROR(INDEX(MMWR_RATING_STATE_ROLLUP_PMC[],MATCH($B36,MMWR_RATING_STATE_ROLLUP_PMC[MMWR_RATING_STATE_ROLLUP_PMC],0),MATCH(G$9,MMWR_RATING_STATE_ROLLUP_PMC[#Headers],0)),"ERROR"))</f>
        <v>173</v>
      </c>
      <c r="H36" s="156">
        <f>IF($B36=" ","",IFERROR(INDEX(MMWR_RATING_STATE_ROLLUP_PMC[],MATCH($B36,MMWR_RATING_STATE_ROLLUP_PMC[MMWR_RATING_STATE_ROLLUP_PMC],0),MATCH(H$9,MMWR_RATING_STATE_ROLLUP_PMC[#Headers],0)),"ERROR"))</f>
        <v>59.363636363600001</v>
      </c>
      <c r="I36" s="156">
        <f>IF($B36=" ","",IFERROR(INDEX(MMWR_RATING_STATE_ROLLUP_PMC[],MATCH($B36,MMWR_RATING_STATE_ROLLUP_PMC[MMWR_RATING_STATE_ROLLUP_PMC],0),MATCH(I$9,MMWR_RATING_STATE_ROLLUP_PMC[#Headers],0)),"ERROR"))</f>
        <v>87.554913294800002</v>
      </c>
      <c r="J36" s="42"/>
      <c r="K36" s="42"/>
      <c r="L36" s="42"/>
      <c r="M36" s="42"/>
      <c r="N36" s="28"/>
    </row>
    <row r="37" spans="1:14" ht="13.2" x14ac:dyDescent="0.25">
      <c r="A37" s="25"/>
      <c r="B37" s="8" t="str">
        <f>VLOOKUP($B$15,DISTRICT_STATES[],5,0)</f>
        <v>Maine</v>
      </c>
      <c r="C37" s="155">
        <f>IF($B37=" ","",IFERROR(INDEX(MMWR_RATING_STATE_ROLLUP_PMC[],MATCH($B37,MMWR_RATING_STATE_ROLLUP_PMC[MMWR_RATING_STATE_ROLLUP_PMC],0),MATCH(C$9,MMWR_RATING_STATE_ROLLUP_PMC[#Headers],0)),"ERROR"))</f>
        <v>49</v>
      </c>
      <c r="D37" s="156">
        <f>IF($B37=" ","",IFERROR(INDEX(MMWR_RATING_STATE_ROLLUP_PMC[],MATCH($B37,MMWR_RATING_STATE_ROLLUP_PMC[MMWR_RATING_STATE_ROLLUP_PMC],0),MATCH(D$9,MMWR_RATING_STATE_ROLLUP_PMC[#Headers],0)),"ERROR"))</f>
        <v>52.857142857100001</v>
      </c>
      <c r="E37" s="157">
        <f>IF($B37=" ","",IFERROR(INDEX(MMWR_RATING_STATE_ROLLUP_PMC[],MATCH($B37,MMWR_RATING_STATE_ROLLUP_PMC[MMWR_RATING_STATE_ROLLUP_PMC],0),MATCH(E$9,MMWR_RATING_STATE_ROLLUP_PMC[#Headers],0))/$C37,"ERROR"))</f>
        <v>2.0408163265306121E-2</v>
      </c>
      <c r="F37" s="155">
        <f>IF($B37=" ","",IFERROR(INDEX(MMWR_RATING_STATE_ROLLUP_PMC[],MATCH($B37,MMWR_RATING_STATE_ROLLUP_PMC[MMWR_RATING_STATE_ROLLUP_PMC],0),MATCH(F$9,MMWR_RATING_STATE_ROLLUP_PMC[#Headers],0)),"ERROR"))</f>
        <v>39</v>
      </c>
      <c r="G37" s="155">
        <f>IF($B37=" ","",IFERROR(INDEX(MMWR_RATING_STATE_ROLLUP_PMC[],MATCH($B37,MMWR_RATING_STATE_ROLLUP_PMC[MMWR_RATING_STATE_ROLLUP_PMC],0),MATCH(G$9,MMWR_RATING_STATE_ROLLUP_PMC[#Headers],0)),"ERROR"))</f>
        <v>512</v>
      </c>
      <c r="H37" s="156">
        <f>IF($B37=" ","",IFERROR(INDEX(MMWR_RATING_STATE_ROLLUP_PMC[],MATCH($B37,MMWR_RATING_STATE_ROLLUP_PMC[MMWR_RATING_STATE_ROLLUP_PMC],0),MATCH(H$9,MMWR_RATING_STATE_ROLLUP_PMC[#Headers],0)),"ERROR"))</f>
        <v>76.948717948699993</v>
      </c>
      <c r="I37" s="156">
        <f>IF($B37=" ","",IFERROR(INDEX(MMWR_RATING_STATE_ROLLUP_PMC[],MATCH($B37,MMWR_RATING_STATE_ROLLUP_PMC[MMWR_RATING_STATE_ROLLUP_PMC],0),MATCH(I$9,MMWR_RATING_STATE_ROLLUP_PMC[#Headers],0)),"ERROR"))</f>
        <v>65.607421875</v>
      </c>
      <c r="J37" s="42"/>
      <c r="K37" s="42"/>
      <c r="L37" s="42"/>
      <c r="M37" s="42"/>
      <c r="N37" s="28"/>
    </row>
    <row r="38" spans="1:14" ht="13.2" x14ac:dyDescent="0.25">
      <c r="A38" s="25"/>
      <c r="B38" s="8" t="str">
        <f>VLOOKUP($B$15,DISTRICT_STATES[],6,0)</f>
        <v>Maryland</v>
      </c>
      <c r="C38" s="155">
        <f>IF($B38=" ","",IFERROR(INDEX(MMWR_RATING_STATE_ROLLUP_PMC[],MATCH($B38,MMWR_RATING_STATE_ROLLUP_PMC[MMWR_RATING_STATE_ROLLUP_PMC],0),MATCH(C$9,MMWR_RATING_STATE_ROLLUP_PMC[#Headers],0)),"ERROR"))</f>
        <v>250</v>
      </c>
      <c r="D38" s="156">
        <f>IF($B38=" ","",IFERROR(INDEX(MMWR_RATING_STATE_ROLLUP_PMC[],MATCH($B38,MMWR_RATING_STATE_ROLLUP_PMC[MMWR_RATING_STATE_ROLLUP_PMC],0),MATCH(D$9,MMWR_RATING_STATE_ROLLUP_PMC[#Headers],0)),"ERROR"))</f>
        <v>74.188000000000002</v>
      </c>
      <c r="E38" s="157">
        <f>IF($B38=" ","",IFERROR(INDEX(MMWR_RATING_STATE_ROLLUP_PMC[],MATCH($B38,MMWR_RATING_STATE_ROLLUP_PMC[MMWR_RATING_STATE_ROLLUP_PMC],0),MATCH(E$9,MMWR_RATING_STATE_ROLLUP_PMC[#Headers],0))/$C38,"ERROR"))</f>
        <v>0.128</v>
      </c>
      <c r="F38" s="155">
        <f>IF($B38=" ","",IFERROR(INDEX(MMWR_RATING_STATE_ROLLUP_PMC[],MATCH($B38,MMWR_RATING_STATE_ROLLUP_PMC[MMWR_RATING_STATE_ROLLUP_PMC],0),MATCH(F$9,MMWR_RATING_STATE_ROLLUP_PMC[#Headers],0)),"ERROR"))</f>
        <v>154</v>
      </c>
      <c r="G38" s="155">
        <f>IF($B38=" ","",IFERROR(INDEX(MMWR_RATING_STATE_ROLLUP_PMC[],MATCH($B38,MMWR_RATING_STATE_ROLLUP_PMC[MMWR_RATING_STATE_ROLLUP_PMC],0),MATCH(G$9,MMWR_RATING_STATE_ROLLUP_PMC[#Headers],0)),"ERROR"))</f>
        <v>1756</v>
      </c>
      <c r="H38" s="156">
        <f>IF($B38=" ","",IFERROR(INDEX(MMWR_RATING_STATE_ROLLUP_PMC[],MATCH($B38,MMWR_RATING_STATE_ROLLUP_PMC[MMWR_RATING_STATE_ROLLUP_PMC],0),MATCH(H$9,MMWR_RATING_STATE_ROLLUP_PMC[#Headers],0)),"ERROR"))</f>
        <v>75.292207792200003</v>
      </c>
      <c r="I38" s="156">
        <f>IF($B38=" ","",IFERROR(INDEX(MMWR_RATING_STATE_ROLLUP_PMC[],MATCH($B38,MMWR_RATING_STATE_ROLLUP_PMC[MMWR_RATING_STATE_ROLLUP_PMC],0),MATCH(I$9,MMWR_RATING_STATE_ROLLUP_PMC[#Headers],0)),"ERROR"))</f>
        <v>85.048974943100006</v>
      </c>
      <c r="J38" s="42"/>
      <c r="K38" s="42"/>
      <c r="L38" s="42"/>
      <c r="M38" s="42"/>
      <c r="N38" s="28"/>
    </row>
    <row r="39" spans="1:14" ht="13.2" x14ac:dyDescent="0.25">
      <c r="A39" s="25"/>
      <c r="B39" s="8" t="str">
        <f>VLOOKUP($B$15,DISTRICT_STATES[],7,0)</f>
        <v>Massachusetts</v>
      </c>
      <c r="C39" s="155">
        <f>IF($B39=" ","",IFERROR(INDEX(MMWR_RATING_STATE_ROLLUP_PMC[],MATCH($B39,MMWR_RATING_STATE_ROLLUP_PMC[MMWR_RATING_STATE_ROLLUP_PMC],0),MATCH(C$9,MMWR_RATING_STATE_ROLLUP_PMC[#Headers],0)),"ERROR"))</f>
        <v>196</v>
      </c>
      <c r="D39" s="156">
        <f>IF($B39=" ","",IFERROR(INDEX(MMWR_RATING_STATE_ROLLUP_PMC[],MATCH($B39,MMWR_RATING_STATE_ROLLUP_PMC[MMWR_RATING_STATE_ROLLUP_PMC],0),MATCH(D$9,MMWR_RATING_STATE_ROLLUP_PMC[#Headers],0)),"ERROR"))</f>
        <v>64.040816326500007</v>
      </c>
      <c r="E39" s="157">
        <f>IF($B39=" ","",IFERROR(INDEX(MMWR_RATING_STATE_ROLLUP_PMC[],MATCH($B39,MMWR_RATING_STATE_ROLLUP_PMC[MMWR_RATING_STATE_ROLLUP_PMC],0),MATCH(E$9,MMWR_RATING_STATE_ROLLUP_PMC[#Headers],0))/$C39,"ERROR"))</f>
        <v>0.10204081632653061</v>
      </c>
      <c r="F39" s="155">
        <f>IF($B39=" ","",IFERROR(INDEX(MMWR_RATING_STATE_ROLLUP_PMC[],MATCH($B39,MMWR_RATING_STATE_ROLLUP_PMC[MMWR_RATING_STATE_ROLLUP_PMC],0),MATCH(F$9,MMWR_RATING_STATE_ROLLUP_PMC[#Headers],0)),"ERROR"))</f>
        <v>120</v>
      </c>
      <c r="G39" s="155">
        <f>IF($B39=" ","",IFERROR(INDEX(MMWR_RATING_STATE_ROLLUP_PMC[],MATCH($B39,MMWR_RATING_STATE_ROLLUP_PMC[MMWR_RATING_STATE_ROLLUP_PMC],0),MATCH(G$9,MMWR_RATING_STATE_ROLLUP_PMC[#Headers],0)),"ERROR"))</f>
        <v>1530</v>
      </c>
      <c r="H39" s="156">
        <f>IF($B39=" ","",IFERROR(INDEX(MMWR_RATING_STATE_ROLLUP_PMC[],MATCH($B39,MMWR_RATING_STATE_ROLLUP_PMC[MMWR_RATING_STATE_ROLLUP_PMC],0),MATCH(H$9,MMWR_RATING_STATE_ROLLUP_PMC[#Headers],0)),"ERROR"))</f>
        <v>75.5</v>
      </c>
      <c r="I39" s="156">
        <f>IF($B39=" ","",IFERROR(INDEX(MMWR_RATING_STATE_ROLLUP_PMC[],MATCH($B39,MMWR_RATING_STATE_ROLLUP_PMC[MMWR_RATING_STATE_ROLLUP_PMC],0),MATCH(I$9,MMWR_RATING_STATE_ROLLUP_PMC[#Headers],0)),"ERROR"))</f>
        <v>70.218954248399996</v>
      </c>
      <c r="J39" s="42"/>
      <c r="K39" s="42"/>
      <c r="L39" s="42"/>
      <c r="M39" s="42"/>
      <c r="N39" s="28"/>
    </row>
    <row r="40" spans="1:14" ht="13.2" x14ac:dyDescent="0.25">
      <c r="A40" s="25"/>
      <c r="B40" s="8" t="str">
        <f>VLOOKUP($B$15,DISTRICT_STATES[],8,0)</f>
        <v>New Hampshire</v>
      </c>
      <c r="C40" s="155">
        <f>IF($B40=" ","",IFERROR(INDEX(MMWR_RATING_STATE_ROLLUP_PMC[],MATCH($B40,MMWR_RATING_STATE_ROLLUP_PMC[MMWR_RATING_STATE_ROLLUP_PMC],0),MATCH(C$9,MMWR_RATING_STATE_ROLLUP_PMC[#Headers],0)),"ERROR"))</f>
        <v>54</v>
      </c>
      <c r="D40" s="156">
        <f>IF($B40=" ","",IFERROR(INDEX(MMWR_RATING_STATE_ROLLUP_PMC[],MATCH($B40,MMWR_RATING_STATE_ROLLUP_PMC[MMWR_RATING_STATE_ROLLUP_PMC],0),MATCH(D$9,MMWR_RATING_STATE_ROLLUP_PMC[#Headers],0)),"ERROR"))</f>
        <v>76.685185185199998</v>
      </c>
      <c r="E40" s="157">
        <f>IF($B40=" ","",IFERROR(INDEX(MMWR_RATING_STATE_ROLLUP_PMC[],MATCH($B40,MMWR_RATING_STATE_ROLLUP_PMC[MMWR_RATING_STATE_ROLLUP_PMC],0),MATCH(E$9,MMWR_RATING_STATE_ROLLUP_PMC[#Headers],0))/$C40,"ERROR"))</f>
        <v>0.1111111111111111</v>
      </c>
      <c r="F40" s="155">
        <f>IF($B40=" ","",IFERROR(INDEX(MMWR_RATING_STATE_ROLLUP_PMC[],MATCH($B40,MMWR_RATING_STATE_ROLLUP_PMC[MMWR_RATING_STATE_ROLLUP_PMC],0),MATCH(F$9,MMWR_RATING_STATE_ROLLUP_PMC[#Headers],0)),"ERROR"))</f>
        <v>28</v>
      </c>
      <c r="G40" s="155">
        <f>IF($B40=" ","",IFERROR(INDEX(MMWR_RATING_STATE_ROLLUP_PMC[],MATCH($B40,MMWR_RATING_STATE_ROLLUP_PMC[MMWR_RATING_STATE_ROLLUP_PMC],0),MATCH(G$9,MMWR_RATING_STATE_ROLLUP_PMC[#Headers],0)),"ERROR"))</f>
        <v>432</v>
      </c>
      <c r="H40" s="156">
        <f>IF($B40=" ","",IFERROR(INDEX(MMWR_RATING_STATE_ROLLUP_PMC[],MATCH($B40,MMWR_RATING_STATE_ROLLUP_PMC[MMWR_RATING_STATE_ROLLUP_PMC],0),MATCH(H$9,MMWR_RATING_STATE_ROLLUP_PMC[#Headers],0)),"ERROR"))</f>
        <v>72.928571428599994</v>
      </c>
      <c r="I40" s="156">
        <f>IF($B40=" ","",IFERROR(INDEX(MMWR_RATING_STATE_ROLLUP_PMC[],MATCH($B40,MMWR_RATING_STATE_ROLLUP_PMC[MMWR_RATING_STATE_ROLLUP_PMC],0),MATCH(I$9,MMWR_RATING_STATE_ROLLUP_PMC[#Headers],0)),"ERROR"))</f>
        <v>73.159722222200003</v>
      </c>
      <c r="J40" s="42"/>
      <c r="K40" s="42"/>
      <c r="L40" s="42"/>
      <c r="M40" s="42"/>
      <c r="N40" s="28"/>
    </row>
    <row r="41" spans="1:14" ht="13.2" x14ac:dyDescent="0.25">
      <c r="A41" s="25"/>
      <c r="B41" s="8" t="str">
        <f>VLOOKUP($B$15,DISTRICT_STATES[],9,0)</f>
        <v>New Jersey</v>
      </c>
      <c r="C41" s="155">
        <f>IF($B41=" ","",IFERROR(INDEX(MMWR_RATING_STATE_ROLLUP_PMC[],MATCH($B41,MMWR_RATING_STATE_ROLLUP_PMC[MMWR_RATING_STATE_ROLLUP_PMC],0),MATCH(C$9,MMWR_RATING_STATE_ROLLUP_PMC[#Headers],0)),"ERROR"))</f>
        <v>263</v>
      </c>
      <c r="D41" s="156">
        <f>IF($B41=" ","",IFERROR(INDEX(MMWR_RATING_STATE_ROLLUP_PMC[],MATCH($B41,MMWR_RATING_STATE_ROLLUP_PMC[MMWR_RATING_STATE_ROLLUP_PMC],0),MATCH(D$9,MMWR_RATING_STATE_ROLLUP_PMC[#Headers],0)),"ERROR"))</f>
        <v>67.992395437300004</v>
      </c>
      <c r="E41" s="157">
        <f>IF($B41=" ","",IFERROR(INDEX(MMWR_RATING_STATE_ROLLUP_PMC[],MATCH($B41,MMWR_RATING_STATE_ROLLUP_PMC[MMWR_RATING_STATE_ROLLUP_PMC],0),MATCH(E$9,MMWR_RATING_STATE_ROLLUP_PMC[#Headers],0))/$C41,"ERROR"))</f>
        <v>0.12547528517110265</v>
      </c>
      <c r="F41" s="155">
        <f>IF($B41=" ","",IFERROR(INDEX(MMWR_RATING_STATE_ROLLUP_PMC[],MATCH($B41,MMWR_RATING_STATE_ROLLUP_PMC[MMWR_RATING_STATE_ROLLUP_PMC],0),MATCH(F$9,MMWR_RATING_STATE_ROLLUP_PMC[#Headers],0)),"ERROR"))</f>
        <v>145</v>
      </c>
      <c r="G41" s="155">
        <f>IF($B41=" ","",IFERROR(INDEX(MMWR_RATING_STATE_ROLLUP_PMC[],MATCH($B41,MMWR_RATING_STATE_ROLLUP_PMC[MMWR_RATING_STATE_ROLLUP_PMC],0),MATCH(G$9,MMWR_RATING_STATE_ROLLUP_PMC[#Headers],0)),"ERROR"))</f>
        <v>1925</v>
      </c>
      <c r="H41" s="156">
        <f>IF($B41=" ","",IFERROR(INDEX(MMWR_RATING_STATE_ROLLUP_PMC[],MATCH($B41,MMWR_RATING_STATE_ROLLUP_PMC[MMWR_RATING_STATE_ROLLUP_PMC],0),MATCH(H$9,MMWR_RATING_STATE_ROLLUP_PMC[#Headers],0)),"ERROR"))</f>
        <v>89.744827586200003</v>
      </c>
      <c r="I41" s="156">
        <f>IF($B41=" ","",IFERROR(INDEX(MMWR_RATING_STATE_ROLLUP_PMC[],MATCH($B41,MMWR_RATING_STATE_ROLLUP_PMC[MMWR_RATING_STATE_ROLLUP_PMC],0),MATCH(I$9,MMWR_RATING_STATE_ROLLUP_PMC[#Headers],0)),"ERROR"))</f>
        <v>79.021818181800001</v>
      </c>
      <c r="J41" s="42"/>
      <c r="K41" s="42"/>
      <c r="L41" s="42"/>
      <c r="M41" s="42"/>
      <c r="N41" s="28"/>
    </row>
    <row r="42" spans="1:14" ht="13.2" x14ac:dyDescent="0.25">
      <c r="A42" s="25"/>
      <c r="B42" s="8" t="str">
        <f>VLOOKUP($B$15,DISTRICT_STATES[],10,0)</f>
        <v>New York</v>
      </c>
      <c r="C42" s="155">
        <f>IF($B42=" ","",IFERROR(INDEX(MMWR_RATING_STATE_ROLLUP_PMC[],MATCH($B42,MMWR_RATING_STATE_ROLLUP_PMC[MMWR_RATING_STATE_ROLLUP_PMC],0),MATCH(C$9,MMWR_RATING_STATE_ROLLUP_PMC[#Headers],0)),"ERROR"))</f>
        <v>613</v>
      </c>
      <c r="D42" s="156">
        <f>IF($B42=" ","",IFERROR(INDEX(MMWR_RATING_STATE_ROLLUP_PMC[],MATCH($B42,MMWR_RATING_STATE_ROLLUP_PMC[MMWR_RATING_STATE_ROLLUP_PMC],0),MATCH(D$9,MMWR_RATING_STATE_ROLLUP_PMC[#Headers],0)),"ERROR"))</f>
        <v>70.722675366999994</v>
      </c>
      <c r="E42" s="157">
        <f>IF($B42=" ","",IFERROR(INDEX(MMWR_RATING_STATE_ROLLUP_PMC[],MATCH($B42,MMWR_RATING_STATE_ROLLUP_PMC[MMWR_RATING_STATE_ROLLUP_PMC],0),MATCH(E$9,MMWR_RATING_STATE_ROLLUP_PMC[#Headers],0))/$C42,"ERROR"))</f>
        <v>0.12234910277324633</v>
      </c>
      <c r="F42" s="155">
        <f>IF($B42=" ","",IFERROR(INDEX(MMWR_RATING_STATE_ROLLUP_PMC[],MATCH($B42,MMWR_RATING_STATE_ROLLUP_PMC[MMWR_RATING_STATE_ROLLUP_PMC],0),MATCH(F$9,MMWR_RATING_STATE_ROLLUP_PMC[#Headers],0)),"ERROR"))</f>
        <v>374</v>
      </c>
      <c r="G42" s="155">
        <f>IF($B42=" ","",IFERROR(INDEX(MMWR_RATING_STATE_ROLLUP_PMC[],MATCH($B42,MMWR_RATING_STATE_ROLLUP_PMC[MMWR_RATING_STATE_ROLLUP_PMC],0),MATCH(G$9,MMWR_RATING_STATE_ROLLUP_PMC[#Headers],0)),"ERROR"))</f>
        <v>4606</v>
      </c>
      <c r="H42" s="156">
        <f>IF($B42=" ","",IFERROR(INDEX(MMWR_RATING_STATE_ROLLUP_PMC[],MATCH($B42,MMWR_RATING_STATE_ROLLUP_PMC[MMWR_RATING_STATE_ROLLUP_PMC],0),MATCH(H$9,MMWR_RATING_STATE_ROLLUP_PMC[#Headers],0)),"ERROR"))</f>
        <v>74.671122994699999</v>
      </c>
      <c r="I42" s="156">
        <f>IF($B42=" ","",IFERROR(INDEX(MMWR_RATING_STATE_ROLLUP_PMC[],MATCH($B42,MMWR_RATING_STATE_ROLLUP_PMC[MMWR_RATING_STATE_ROLLUP_PMC],0),MATCH(I$9,MMWR_RATING_STATE_ROLLUP_PMC[#Headers],0)),"ERROR"))</f>
        <v>70.177377333899997</v>
      </c>
      <c r="J42" s="42"/>
      <c r="K42" s="42"/>
      <c r="L42" s="42"/>
      <c r="M42" s="42"/>
      <c r="N42" s="28"/>
    </row>
    <row r="43" spans="1:14" ht="13.2" x14ac:dyDescent="0.25">
      <c r="A43" s="25"/>
      <c r="B43" s="8" t="str">
        <f>VLOOKUP($B$15,DISTRICT_STATES[],11,0)</f>
        <v>North Carolina</v>
      </c>
      <c r="C43" s="155">
        <f>IF($B43=" ","",IFERROR(INDEX(MMWR_RATING_STATE_ROLLUP_PMC[],MATCH($B43,MMWR_RATING_STATE_ROLLUP_PMC[MMWR_RATING_STATE_ROLLUP_PMC],0),MATCH(C$9,MMWR_RATING_STATE_ROLLUP_PMC[#Headers],0)),"ERROR"))</f>
        <v>651</v>
      </c>
      <c r="D43" s="156">
        <f>IF($B43=" ","",IFERROR(INDEX(MMWR_RATING_STATE_ROLLUP_PMC[],MATCH($B43,MMWR_RATING_STATE_ROLLUP_PMC[MMWR_RATING_STATE_ROLLUP_PMC],0),MATCH(D$9,MMWR_RATING_STATE_ROLLUP_PMC[#Headers],0)),"ERROR"))</f>
        <v>69.720430107499993</v>
      </c>
      <c r="E43" s="157">
        <f>IF($B43=" ","",IFERROR(INDEX(MMWR_RATING_STATE_ROLLUP_PMC[],MATCH($B43,MMWR_RATING_STATE_ROLLUP_PMC[MMWR_RATING_STATE_ROLLUP_PMC],0),MATCH(E$9,MMWR_RATING_STATE_ROLLUP_PMC[#Headers],0))/$C43,"ERROR"))</f>
        <v>0.13210445468509985</v>
      </c>
      <c r="F43" s="155">
        <f>IF($B43=" ","",IFERROR(INDEX(MMWR_RATING_STATE_ROLLUP_PMC[],MATCH($B43,MMWR_RATING_STATE_ROLLUP_PMC[MMWR_RATING_STATE_ROLLUP_PMC],0),MATCH(F$9,MMWR_RATING_STATE_ROLLUP_PMC[#Headers],0)),"ERROR"))</f>
        <v>403</v>
      </c>
      <c r="G43" s="155">
        <f>IF($B43=" ","",IFERROR(INDEX(MMWR_RATING_STATE_ROLLUP_PMC[],MATCH($B43,MMWR_RATING_STATE_ROLLUP_PMC[MMWR_RATING_STATE_ROLLUP_PMC],0),MATCH(G$9,MMWR_RATING_STATE_ROLLUP_PMC[#Headers],0)),"ERROR"))</f>
        <v>4969</v>
      </c>
      <c r="H43" s="156">
        <f>IF($B43=" ","",IFERROR(INDEX(MMWR_RATING_STATE_ROLLUP_PMC[],MATCH($B43,MMWR_RATING_STATE_ROLLUP_PMC[MMWR_RATING_STATE_ROLLUP_PMC],0),MATCH(H$9,MMWR_RATING_STATE_ROLLUP_PMC[#Headers],0)),"ERROR"))</f>
        <v>73.714640198500007</v>
      </c>
      <c r="I43" s="156">
        <f>IF($B43=" ","",IFERROR(INDEX(MMWR_RATING_STATE_ROLLUP_PMC[],MATCH($B43,MMWR_RATING_STATE_ROLLUP_PMC[MMWR_RATING_STATE_ROLLUP_PMC],0),MATCH(I$9,MMWR_RATING_STATE_ROLLUP_PMC[#Headers],0)),"ERROR"))</f>
        <v>76.006037432100001</v>
      </c>
      <c r="J43" s="42"/>
      <c r="K43" s="42"/>
      <c r="L43" s="42"/>
      <c r="M43" s="42"/>
      <c r="N43" s="28"/>
    </row>
    <row r="44" spans="1:14" ht="13.2" x14ac:dyDescent="0.25">
      <c r="A44" s="25"/>
      <c r="B44" s="8" t="str">
        <f>VLOOKUP($B$15,DISTRICT_STATES[],12,0)</f>
        <v>Pennsylvania</v>
      </c>
      <c r="C44" s="155">
        <f>IF($B44=" ","",IFERROR(INDEX(MMWR_RATING_STATE_ROLLUP_PMC[],MATCH($B44,MMWR_RATING_STATE_ROLLUP_PMC[MMWR_RATING_STATE_ROLLUP_PMC],0),MATCH(C$9,MMWR_RATING_STATE_ROLLUP_PMC[#Headers],0)),"ERROR"))</f>
        <v>776</v>
      </c>
      <c r="D44" s="156">
        <f>IF($B44=" ","",IFERROR(INDEX(MMWR_RATING_STATE_ROLLUP_PMC[],MATCH($B44,MMWR_RATING_STATE_ROLLUP_PMC[MMWR_RATING_STATE_ROLLUP_PMC],0),MATCH(D$9,MMWR_RATING_STATE_ROLLUP_PMC[#Headers],0)),"ERROR"))</f>
        <v>64.404639175300005</v>
      </c>
      <c r="E44" s="157">
        <f>IF($B44=" ","",IFERROR(INDEX(MMWR_RATING_STATE_ROLLUP_PMC[],MATCH($B44,MMWR_RATING_STATE_ROLLUP_PMC[MMWR_RATING_STATE_ROLLUP_PMC],0),MATCH(E$9,MMWR_RATING_STATE_ROLLUP_PMC[#Headers],0))/$C44,"ERROR"))</f>
        <v>0.10309278350515463</v>
      </c>
      <c r="F44" s="155">
        <f>IF($B44=" ","",IFERROR(INDEX(MMWR_RATING_STATE_ROLLUP_PMC[],MATCH($B44,MMWR_RATING_STATE_ROLLUP_PMC[MMWR_RATING_STATE_ROLLUP_PMC],0),MATCH(F$9,MMWR_RATING_STATE_ROLLUP_PMC[#Headers],0)),"ERROR"))</f>
        <v>392</v>
      </c>
      <c r="G44" s="155">
        <f>IF($B44=" ","",IFERROR(INDEX(MMWR_RATING_STATE_ROLLUP_PMC[],MATCH($B44,MMWR_RATING_STATE_ROLLUP_PMC[MMWR_RATING_STATE_ROLLUP_PMC],0),MATCH(G$9,MMWR_RATING_STATE_ROLLUP_PMC[#Headers],0)),"ERROR"))</f>
        <v>5505</v>
      </c>
      <c r="H44" s="156">
        <f>IF($B44=" ","",IFERROR(INDEX(MMWR_RATING_STATE_ROLLUP_PMC[],MATCH($B44,MMWR_RATING_STATE_ROLLUP_PMC[MMWR_RATING_STATE_ROLLUP_PMC],0),MATCH(H$9,MMWR_RATING_STATE_ROLLUP_PMC[#Headers],0)),"ERROR"))</f>
        <v>72.198979591799997</v>
      </c>
      <c r="I44" s="156">
        <f>IF($B44=" ","",IFERROR(INDEX(MMWR_RATING_STATE_ROLLUP_PMC[],MATCH($B44,MMWR_RATING_STATE_ROLLUP_PMC[MMWR_RATING_STATE_ROLLUP_PMC],0),MATCH(I$9,MMWR_RATING_STATE_ROLLUP_PMC[#Headers],0)),"ERROR"))</f>
        <v>68.665213442300001</v>
      </c>
      <c r="J44" s="42"/>
      <c r="K44" s="42"/>
      <c r="L44" s="42"/>
      <c r="M44" s="42"/>
      <c r="N44" s="28"/>
    </row>
    <row r="45" spans="1:14" ht="13.2" x14ac:dyDescent="0.25">
      <c r="A45" s="25"/>
      <c r="B45" s="8" t="str">
        <f>VLOOKUP($B$15,DISTRICT_STATES[],13,0)</f>
        <v>Rhode Island</v>
      </c>
      <c r="C45" s="155">
        <f>IF($B45=" ","",IFERROR(INDEX(MMWR_RATING_STATE_ROLLUP_PMC[],MATCH($B45,MMWR_RATING_STATE_ROLLUP_PMC[MMWR_RATING_STATE_ROLLUP_PMC],0),MATCH(C$9,MMWR_RATING_STATE_ROLLUP_PMC[#Headers],0)),"ERROR"))</f>
        <v>65</v>
      </c>
      <c r="D45" s="156">
        <f>IF($B45=" ","",IFERROR(INDEX(MMWR_RATING_STATE_ROLLUP_PMC[],MATCH($B45,MMWR_RATING_STATE_ROLLUP_PMC[MMWR_RATING_STATE_ROLLUP_PMC],0),MATCH(D$9,MMWR_RATING_STATE_ROLLUP_PMC[#Headers],0)),"ERROR"))</f>
        <v>60.0615384615</v>
      </c>
      <c r="E45" s="157">
        <f>IF($B45=" ","",IFERROR(INDEX(MMWR_RATING_STATE_ROLLUP_PMC[],MATCH($B45,MMWR_RATING_STATE_ROLLUP_PMC[MMWR_RATING_STATE_ROLLUP_PMC],0),MATCH(E$9,MMWR_RATING_STATE_ROLLUP_PMC[#Headers],0))/$C45,"ERROR"))</f>
        <v>0.1076923076923077</v>
      </c>
      <c r="F45" s="155">
        <f>IF($B45=" ","",IFERROR(INDEX(MMWR_RATING_STATE_ROLLUP_PMC[],MATCH($B45,MMWR_RATING_STATE_ROLLUP_PMC[MMWR_RATING_STATE_ROLLUP_PMC],0),MATCH(F$9,MMWR_RATING_STATE_ROLLUP_PMC[#Headers],0)),"ERROR"))</f>
        <v>28</v>
      </c>
      <c r="G45" s="155">
        <f>IF($B45=" ","",IFERROR(INDEX(MMWR_RATING_STATE_ROLLUP_PMC[],MATCH($B45,MMWR_RATING_STATE_ROLLUP_PMC[MMWR_RATING_STATE_ROLLUP_PMC],0),MATCH(G$9,MMWR_RATING_STATE_ROLLUP_PMC[#Headers],0)),"ERROR"))</f>
        <v>339</v>
      </c>
      <c r="H45" s="156">
        <f>IF($B45=" ","",IFERROR(INDEX(MMWR_RATING_STATE_ROLLUP_PMC[],MATCH($B45,MMWR_RATING_STATE_ROLLUP_PMC[MMWR_RATING_STATE_ROLLUP_PMC],0),MATCH(H$9,MMWR_RATING_STATE_ROLLUP_PMC[#Headers],0)),"ERROR"))</f>
        <v>69.285714285699996</v>
      </c>
      <c r="I45" s="156">
        <f>IF($B45=" ","",IFERROR(INDEX(MMWR_RATING_STATE_ROLLUP_PMC[],MATCH($B45,MMWR_RATING_STATE_ROLLUP_PMC[MMWR_RATING_STATE_ROLLUP_PMC],0),MATCH(I$9,MMWR_RATING_STATE_ROLLUP_PMC[#Headers],0)),"ERROR"))</f>
        <v>68.5221238938</v>
      </c>
      <c r="J45" s="42"/>
      <c r="K45" s="42"/>
      <c r="L45" s="42"/>
      <c r="M45" s="42"/>
      <c r="N45" s="28"/>
    </row>
    <row r="46" spans="1:14" ht="13.2" x14ac:dyDescent="0.25">
      <c r="A46" s="25"/>
      <c r="B46" s="8" t="str">
        <f>VLOOKUP($B$15,DISTRICT_STATES[],14,0)</f>
        <v>Vermont</v>
      </c>
      <c r="C46" s="155">
        <f>IF($B46=" ","",IFERROR(INDEX(MMWR_RATING_STATE_ROLLUP_PMC[],MATCH($B46,MMWR_RATING_STATE_ROLLUP_PMC[MMWR_RATING_STATE_ROLLUP_PMC],0),MATCH(C$9,MMWR_RATING_STATE_ROLLUP_PMC[#Headers],0)),"ERROR"))</f>
        <v>17</v>
      </c>
      <c r="D46" s="156">
        <f>IF($B46=" ","",IFERROR(INDEX(MMWR_RATING_STATE_ROLLUP_PMC[],MATCH($B46,MMWR_RATING_STATE_ROLLUP_PMC[MMWR_RATING_STATE_ROLLUP_PMC],0),MATCH(D$9,MMWR_RATING_STATE_ROLLUP_PMC[#Headers],0)),"ERROR"))</f>
        <v>65.176470588200004</v>
      </c>
      <c r="E46" s="157">
        <f>IF($B46=" ","",IFERROR(INDEX(MMWR_RATING_STATE_ROLLUP_PMC[],MATCH($B46,MMWR_RATING_STATE_ROLLUP_PMC[MMWR_RATING_STATE_ROLLUP_PMC],0),MATCH(E$9,MMWR_RATING_STATE_ROLLUP_PMC[#Headers],0))/$C46,"ERROR"))</f>
        <v>0.11764705882352941</v>
      </c>
      <c r="F46" s="155">
        <f>IF($B46=" ","",IFERROR(INDEX(MMWR_RATING_STATE_ROLLUP_PMC[],MATCH($B46,MMWR_RATING_STATE_ROLLUP_PMC[MMWR_RATING_STATE_ROLLUP_PMC],0),MATCH(F$9,MMWR_RATING_STATE_ROLLUP_PMC[#Headers],0)),"ERROR"))</f>
        <v>10</v>
      </c>
      <c r="G46" s="155">
        <f>IF($B46=" ","",IFERROR(INDEX(MMWR_RATING_STATE_ROLLUP_PMC[],MATCH($B46,MMWR_RATING_STATE_ROLLUP_PMC[MMWR_RATING_STATE_ROLLUP_PMC],0),MATCH(G$9,MMWR_RATING_STATE_ROLLUP_PMC[#Headers],0)),"ERROR"))</f>
        <v>123</v>
      </c>
      <c r="H46" s="156">
        <f>IF($B46=" ","",IFERROR(INDEX(MMWR_RATING_STATE_ROLLUP_PMC[],MATCH($B46,MMWR_RATING_STATE_ROLLUP_PMC[MMWR_RATING_STATE_ROLLUP_PMC],0),MATCH(H$9,MMWR_RATING_STATE_ROLLUP_PMC[#Headers],0)),"ERROR"))</f>
        <v>71.2</v>
      </c>
      <c r="I46" s="156">
        <f>IF($B46=" ","",IFERROR(INDEX(MMWR_RATING_STATE_ROLLUP_PMC[],MATCH($B46,MMWR_RATING_STATE_ROLLUP_PMC[MMWR_RATING_STATE_ROLLUP_PMC],0),MATCH(I$9,MMWR_RATING_STATE_ROLLUP_PMC[#Headers],0)),"ERROR"))</f>
        <v>85</v>
      </c>
      <c r="J46" s="42"/>
      <c r="K46" s="42"/>
      <c r="L46" s="42"/>
      <c r="M46" s="42"/>
      <c r="N46" s="28"/>
    </row>
    <row r="47" spans="1:14" ht="13.2" x14ac:dyDescent="0.25">
      <c r="A47" s="25"/>
      <c r="B47" s="8" t="str">
        <f>VLOOKUP($B$15,DISTRICT_STATES[],15,0)</f>
        <v>Virginia</v>
      </c>
      <c r="C47" s="155">
        <f>IF($B47=" ","",IFERROR(INDEX(MMWR_RATING_STATE_ROLLUP_PMC[],MATCH($B47,MMWR_RATING_STATE_ROLLUP_PMC[MMWR_RATING_STATE_ROLLUP_PMC],0),MATCH(C$9,MMWR_RATING_STATE_ROLLUP_PMC[#Headers],0)),"ERROR"))</f>
        <v>451</v>
      </c>
      <c r="D47" s="156">
        <f>IF($B47=" ","",IFERROR(INDEX(MMWR_RATING_STATE_ROLLUP_PMC[],MATCH($B47,MMWR_RATING_STATE_ROLLUP_PMC[MMWR_RATING_STATE_ROLLUP_PMC],0),MATCH(D$9,MMWR_RATING_STATE_ROLLUP_PMC[#Headers],0)),"ERROR"))</f>
        <v>73.325942350299997</v>
      </c>
      <c r="E47" s="157">
        <f>IF($B47=" ","",IFERROR(INDEX(MMWR_RATING_STATE_ROLLUP_PMC[],MATCH($B47,MMWR_RATING_STATE_ROLLUP_PMC[MMWR_RATING_STATE_ROLLUP_PMC],0),MATCH(E$9,MMWR_RATING_STATE_ROLLUP_PMC[#Headers],0))/$C47,"ERROR"))</f>
        <v>0.12416851441241686</v>
      </c>
      <c r="F47" s="155">
        <f>IF($B47=" ","",IFERROR(INDEX(MMWR_RATING_STATE_ROLLUP_PMC[],MATCH($B47,MMWR_RATING_STATE_ROLLUP_PMC[MMWR_RATING_STATE_ROLLUP_PMC],0),MATCH(F$9,MMWR_RATING_STATE_ROLLUP_PMC[#Headers],0)),"ERROR"))</f>
        <v>245</v>
      </c>
      <c r="G47" s="155">
        <f>IF($B47=" ","",IFERROR(INDEX(MMWR_RATING_STATE_ROLLUP_PMC[],MATCH($B47,MMWR_RATING_STATE_ROLLUP_PMC[MMWR_RATING_STATE_ROLLUP_PMC],0),MATCH(G$9,MMWR_RATING_STATE_ROLLUP_PMC[#Headers],0)),"ERROR"))</f>
        <v>3075</v>
      </c>
      <c r="H47" s="156">
        <f>IF($B47=" ","",IFERROR(INDEX(MMWR_RATING_STATE_ROLLUP_PMC[],MATCH($B47,MMWR_RATING_STATE_ROLLUP_PMC[MMWR_RATING_STATE_ROLLUP_PMC],0),MATCH(H$9,MMWR_RATING_STATE_ROLLUP_PMC[#Headers],0)),"ERROR"))</f>
        <v>75.302040816300007</v>
      </c>
      <c r="I47" s="156">
        <f>IF($B47=" ","",IFERROR(INDEX(MMWR_RATING_STATE_ROLLUP_PMC[],MATCH($B47,MMWR_RATING_STATE_ROLLUP_PMC[MMWR_RATING_STATE_ROLLUP_PMC],0),MATCH(I$9,MMWR_RATING_STATE_ROLLUP_PMC[#Headers],0)),"ERROR"))</f>
        <v>81.065040650399993</v>
      </c>
      <c r="J47" s="42"/>
      <c r="K47" s="42"/>
      <c r="L47" s="42"/>
      <c r="M47" s="42"/>
      <c r="N47" s="28"/>
    </row>
    <row r="48" spans="1:14" ht="13.2" x14ac:dyDescent="0.25">
      <c r="A48" s="25"/>
      <c r="B48" s="8" t="str">
        <f>VLOOKUP($B$15,DISTRICT_STATES[],16,0)</f>
        <v>West Virginia</v>
      </c>
      <c r="C48" s="155">
        <f>IF($B48=" ","",IFERROR(INDEX(MMWR_RATING_STATE_ROLLUP_PMC[],MATCH($B48,MMWR_RATING_STATE_ROLLUP_PMC[MMWR_RATING_STATE_ROLLUP_PMC],0),MATCH(C$9,MMWR_RATING_STATE_ROLLUP_PMC[#Headers],0)),"ERROR"))</f>
        <v>125</v>
      </c>
      <c r="D48" s="156">
        <f>IF($B48=" ","",IFERROR(INDEX(MMWR_RATING_STATE_ROLLUP_PMC[],MATCH($B48,MMWR_RATING_STATE_ROLLUP_PMC[MMWR_RATING_STATE_ROLLUP_PMC],0),MATCH(D$9,MMWR_RATING_STATE_ROLLUP_PMC[#Headers],0)),"ERROR"))</f>
        <v>79.823999999999998</v>
      </c>
      <c r="E48" s="157">
        <f>IF($B48=" ","",IFERROR(INDEX(MMWR_RATING_STATE_ROLLUP_PMC[],MATCH($B48,MMWR_RATING_STATE_ROLLUP_PMC[MMWR_RATING_STATE_ROLLUP_PMC],0),MATCH(E$9,MMWR_RATING_STATE_ROLLUP_PMC[#Headers],0))/$C48,"ERROR"))</f>
        <v>0.16</v>
      </c>
      <c r="F48" s="155">
        <f>IF($B48=" ","",IFERROR(INDEX(MMWR_RATING_STATE_ROLLUP_PMC[],MATCH($B48,MMWR_RATING_STATE_ROLLUP_PMC[MMWR_RATING_STATE_ROLLUP_PMC],0),MATCH(F$9,MMWR_RATING_STATE_ROLLUP_PMC[#Headers],0)),"ERROR"))</f>
        <v>80</v>
      </c>
      <c r="G48" s="155">
        <f>IF($B48=" ","",IFERROR(INDEX(MMWR_RATING_STATE_ROLLUP_PMC[],MATCH($B48,MMWR_RATING_STATE_ROLLUP_PMC[MMWR_RATING_STATE_ROLLUP_PMC],0),MATCH(G$9,MMWR_RATING_STATE_ROLLUP_PMC[#Headers],0)),"ERROR"))</f>
        <v>894</v>
      </c>
      <c r="H48" s="156">
        <f>IF($B48=" ","",IFERROR(INDEX(MMWR_RATING_STATE_ROLLUP_PMC[],MATCH($B48,MMWR_RATING_STATE_ROLLUP_PMC[MMWR_RATING_STATE_ROLLUP_PMC],0),MATCH(H$9,MMWR_RATING_STATE_ROLLUP_PMC[#Headers],0)),"ERROR"))</f>
        <v>80.987499999999997</v>
      </c>
      <c r="I48" s="156">
        <f>IF($B48=" ","",IFERROR(INDEX(MMWR_RATING_STATE_ROLLUP_PMC[],MATCH($B48,MMWR_RATING_STATE_ROLLUP_PMC[MMWR_RATING_STATE_ROLLUP_PMC],0),MATCH(I$9,MMWR_RATING_STATE_ROLLUP_PMC[#Headers],0)),"ERROR"))</f>
        <v>77.570469798700003</v>
      </c>
      <c r="J48" s="42"/>
      <c r="K48" s="42"/>
      <c r="L48" s="42"/>
      <c r="M48" s="42"/>
      <c r="N48" s="28"/>
    </row>
    <row r="49" spans="1:14" ht="13.2" x14ac:dyDescent="0.25">
      <c r="A49" s="25"/>
      <c r="B49" s="372" t="s">
        <v>1052</v>
      </c>
      <c r="C49" s="373"/>
      <c r="D49" s="373"/>
      <c r="E49" s="373"/>
      <c r="F49" s="373"/>
      <c r="G49" s="373"/>
      <c r="H49" s="373"/>
      <c r="I49" s="373"/>
      <c r="J49" s="373"/>
      <c r="K49" s="373"/>
      <c r="L49" s="373"/>
      <c r="M49" s="385"/>
      <c r="N49" s="28"/>
    </row>
    <row r="50" spans="1:14" ht="13.2" x14ac:dyDescent="0.25">
      <c r="A50" s="25"/>
      <c r="B50" s="41" t="s">
        <v>1051</v>
      </c>
      <c r="C50" s="155">
        <f>IF($B50=" ","",IFERROR(INDEX(MMWR_RATING_STATE_ROLLUP_QST[],MATCH($B50,MMWR_RATING_STATE_ROLLUP_QST[MMWR_RATING_STATE_ROLLUP_QST],0),MATCH(C$9,MMWR_RATING_STATE_ROLLUP_QST[#Headers],0)),"ERROR"))</f>
        <v>8040</v>
      </c>
      <c r="D50" s="156">
        <f>IF($B50=" ","",IFERROR(INDEX(MMWR_RATING_STATE_ROLLUP_QST[],MATCH($B50,MMWR_RATING_STATE_ROLLUP_QST[MMWR_RATING_STATE_ROLLUP_QST],0),MATCH(D$9,MMWR_RATING_STATE_ROLLUP_QST[#Headers],0)),"ERROR"))</f>
        <v>71.286940298499999</v>
      </c>
      <c r="E50" s="157">
        <f>IF($B50=" ","",IFERROR(INDEX(MMWR_RATING_STATE_ROLLUP_QST[],MATCH($B50,MMWR_RATING_STATE_ROLLUP_QST[MMWR_RATING_STATE_ROLLUP_QST],0),MATCH(E$9,MMWR_RATING_STATE_ROLLUP_QST[#Headers],0))/$C50,"ERROR"))</f>
        <v>0.12388059701492538</v>
      </c>
      <c r="F50" s="155">
        <f>IF($B50=" ","",IFERROR(INDEX(MMWR_RATING_STATE_ROLLUP_QST[],MATCH($B50,MMWR_RATING_STATE_ROLLUP_QST[MMWR_RATING_STATE_ROLLUP_QST],0),MATCH(F$9,MMWR_RATING_STATE_ROLLUP_QST[#Headers],0)),"ERROR"))</f>
        <v>1867</v>
      </c>
      <c r="G50" s="155">
        <f>IF($B50=" ","",IFERROR(INDEX(MMWR_RATING_STATE_ROLLUP_QST[],MATCH($B50,MMWR_RATING_STATE_ROLLUP_QST[MMWR_RATING_STATE_ROLLUP_QST],0),MATCH(G$9,MMWR_RATING_STATE_ROLLUP_QST[#Headers],0)),"ERROR"))</f>
        <v>23579</v>
      </c>
      <c r="H50" s="156">
        <f>IF($B50=" ","",IFERROR(INDEX(MMWR_RATING_STATE_ROLLUP_QST[],MATCH($B50,MMWR_RATING_STATE_ROLLUP_QST[MMWR_RATING_STATE_ROLLUP_QST],0),MATCH(H$9,MMWR_RATING_STATE_ROLLUP_QST[#Headers],0)),"ERROR"))</f>
        <v>125.6298875201</v>
      </c>
      <c r="I50" s="156">
        <f>IF($B50=" ","",IFERROR(INDEX(MMWR_RATING_STATE_ROLLUP_QST[],MATCH($B50,MMWR_RATING_STATE_ROLLUP_QST[MMWR_RATING_STATE_ROLLUP_QST],0),MATCH(I$9,MMWR_RATING_STATE_ROLLUP_QST[#Headers],0)),"ERROR"))</f>
        <v>133.12256669070001</v>
      </c>
      <c r="J50" s="42"/>
      <c r="K50" s="42"/>
      <c r="L50" s="42"/>
      <c r="M50" s="42"/>
      <c r="N50" s="28"/>
    </row>
    <row r="51" spans="1:14" ht="13.2" x14ac:dyDescent="0.25">
      <c r="A51" s="25"/>
      <c r="B51" s="251" t="str">
        <f>INDEX(DISTRICT_STATES[],MATCH($B$5,DISTRICT_RO[District],0),1)</f>
        <v>North Atlantic</v>
      </c>
      <c r="C51" s="155">
        <f>IF($B51=" ","",IFERROR(INDEX(MMWR_RATING_STATE_ROLLUP_QST[],MATCH($B51,MMWR_RATING_STATE_ROLLUP_QST[MMWR_RATING_STATE_ROLLUP_QST],0),MATCH(C$9,MMWR_RATING_STATE_ROLLUP_QST[#Headers],0)),"ERROR"))</f>
        <v>1885</v>
      </c>
      <c r="D51" s="156">
        <f>IF($B51=" ","",IFERROR(INDEX(MMWR_RATING_STATE_ROLLUP_QST[],MATCH($B51,MMWR_RATING_STATE_ROLLUP_QST[MMWR_RATING_STATE_ROLLUP_QST],0),MATCH(D$9,MMWR_RATING_STATE_ROLLUP_QST[#Headers],0)),"ERROR"))</f>
        <v>74.410610079600005</v>
      </c>
      <c r="E51" s="157">
        <f>IF($B51=" ","",IFERROR(INDEX(MMWR_RATING_STATE_ROLLUP_QST[],MATCH($B51,MMWR_RATING_STATE_ROLLUP_QST[MMWR_RATING_STATE_ROLLUP_QST],0),MATCH(E$9,MMWR_RATING_STATE_ROLLUP_QST[#Headers],0))/$C51,"ERROR"))</f>
        <v>0.1273209549071618</v>
      </c>
      <c r="F51" s="155">
        <f>IF($B51=" ","",IFERROR(INDEX(MMWR_RATING_STATE_ROLLUP_QST[],MATCH($B51,MMWR_RATING_STATE_ROLLUP_QST[MMWR_RATING_STATE_ROLLUP_QST],0),MATCH(F$9,MMWR_RATING_STATE_ROLLUP_QST[#Headers],0)),"ERROR"))</f>
        <v>373</v>
      </c>
      <c r="G51" s="155">
        <f>IF($B51=" ","",IFERROR(INDEX(MMWR_RATING_STATE_ROLLUP_QST[],MATCH($B51,MMWR_RATING_STATE_ROLLUP_QST[MMWR_RATING_STATE_ROLLUP_QST],0),MATCH(G$9,MMWR_RATING_STATE_ROLLUP_QST[#Headers],0)),"ERROR"))</f>
        <v>5040</v>
      </c>
      <c r="H51" s="156">
        <f>IF($B51=" ","",IFERROR(INDEX(MMWR_RATING_STATE_ROLLUP_QST[],MATCH($B51,MMWR_RATING_STATE_ROLLUP_QST[MMWR_RATING_STATE_ROLLUP_QST],0),MATCH(H$9,MMWR_RATING_STATE_ROLLUP_QST[#Headers],0)),"ERROR"))</f>
        <v>137.10723860589999</v>
      </c>
      <c r="I51" s="156">
        <f>IF($B51=" ","",IFERROR(INDEX(MMWR_RATING_STATE_ROLLUP_QST[],MATCH($B51,MMWR_RATING_STATE_ROLLUP_QST[MMWR_RATING_STATE_ROLLUP_QST],0),MATCH(I$9,MMWR_RATING_STATE_ROLLUP_QST[#Headers],0)),"ERROR"))</f>
        <v>139.85218253970001</v>
      </c>
      <c r="J51" s="42"/>
      <c r="K51" s="42"/>
      <c r="L51" s="42"/>
      <c r="M51" s="42"/>
      <c r="N51" s="28"/>
    </row>
    <row r="52" spans="1:14" ht="13.2" x14ac:dyDescent="0.25">
      <c r="A52" s="25"/>
      <c r="B52" s="8" t="str">
        <f>VLOOKUP($B$15,DISTRICT_STATES[],2,0)</f>
        <v>Connecticut</v>
      </c>
      <c r="C52" s="155">
        <f>IF($B52=" ","",IFERROR(INDEX(MMWR_RATING_STATE_ROLLUP_QST[],MATCH($B52,MMWR_RATING_STATE_ROLLUP_QST[MMWR_RATING_STATE_ROLLUP_QST],0),MATCH(C$9,MMWR_RATING_STATE_ROLLUP_QST[#Headers],0)),"ERROR"))</f>
        <v>43</v>
      </c>
      <c r="D52" s="156">
        <f>IF($B52=" ","",IFERROR(INDEX(MMWR_RATING_STATE_ROLLUP_QST[],MATCH($B52,MMWR_RATING_STATE_ROLLUP_QST[MMWR_RATING_STATE_ROLLUP_QST],0),MATCH(D$9,MMWR_RATING_STATE_ROLLUP_QST[#Headers],0)),"ERROR"))</f>
        <v>57.069767441899998</v>
      </c>
      <c r="E52" s="157">
        <f>IF($B52=" ","",IFERROR(INDEX(MMWR_RATING_STATE_ROLLUP_QST[],MATCH($B52,MMWR_RATING_STATE_ROLLUP_QST[MMWR_RATING_STATE_ROLLUP_QST],0),MATCH(E$9,MMWR_RATING_STATE_ROLLUP_QST[#Headers],0))/$C52,"ERROR"))</f>
        <v>0</v>
      </c>
      <c r="F52" s="155">
        <f>IF($B52=" ","",IFERROR(INDEX(MMWR_RATING_STATE_ROLLUP_QST[],MATCH($B52,MMWR_RATING_STATE_ROLLUP_QST[MMWR_RATING_STATE_ROLLUP_QST],0),MATCH(F$9,MMWR_RATING_STATE_ROLLUP_QST[#Headers],0)),"ERROR"))</f>
        <v>9</v>
      </c>
      <c r="G52" s="155">
        <f>IF($B52=" ","",IFERROR(INDEX(MMWR_RATING_STATE_ROLLUP_QST[],MATCH($B52,MMWR_RATING_STATE_ROLLUP_QST[MMWR_RATING_STATE_ROLLUP_QST],0),MATCH(G$9,MMWR_RATING_STATE_ROLLUP_QST[#Headers],0)),"ERROR"))</f>
        <v>139</v>
      </c>
      <c r="H52" s="156">
        <f>IF($B52=" ","",IFERROR(INDEX(MMWR_RATING_STATE_ROLLUP_QST[],MATCH($B52,MMWR_RATING_STATE_ROLLUP_QST[MMWR_RATING_STATE_ROLLUP_QST],0),MATCH(H$9,MMWR_RATING_STATE_ROLLUP_QST[#Headers],0)),"ERROR"))</f>
        <v>143.2222222222</v>
      </c>
      <c r="I52" s="156">
        <f>IF($B52=" ","",IFERROR(INDEX(MMWR_RATING_STATE_ROLLUP_QST[],MATCH($B52,MMWR_RATING_STATE_ROLLUP_QST[MMWR_RATING_STATE_ROLLUP_QST],0),MATCH(I$9,MMWR_RATING_STATE_ROLLUP_QST[#Headers],0)),"ERROR"))</f>
        <v>137.68345323739999</v>
      </c>
      <c r="J52" s="42"/>
      <c r="K52" s="42"/>
      <c r="L52" s="42"/>
      <c r="M52" s="42"/>
      <c r="N52" s="28"/>
    </row>
    <row r="53" spans="1:14" ht="13.2" x14ac:dyDescent="0.25">
      <c r="A53" s="25"/>
      <c r="B53" s="8" t="str">
        <f>VLOOKUP($B$15,DISTRICT_STATES[],3,0)</f>
        <v>Delaware</v>
      </c>
      <c r="C53" s="155">
        <f>IF($B53=" ","",IFERROR(INDEX(MMWR_RATING_STATE_ROLLUP_QST[],MATCH($B53,MMWR_RATING_STATE_ROLLUP_QST[MMWR_RATING_STATE_ROLLUP_QST],0),MATCH(C$9,MMWR_RATING_STATE_ROLLUP_QST[#Headers],0)),"ERROR"))</f>
        <v>15</v>
      </c>
      <c r="D53" s="156">
        <f>IF($B53=" ","",IFERROR(INDEX(MMWR_RATING_STATE_ROLLUP_QST[],MATCH($B53,MMWR_RATING_STATE_ROLLUP_QST[MMWR_RATING_STATE_ROLLUP_QST],0),MATCH(D$9,MMWR_RATING_STATE_ROLLUP_QST[#Headers],0)),"ERROR"))</f>
        <v>73.400000000000006</v>
      </c>
      <c r="E53" s="157">
        <f>IF($B53=" ","",IFERROR(INDEX(MMWR_RATING_STATE_ROLLUP_QST[],MATCH($B53,MMWR_RATING_STATE_ROLLUP_QST[MMWR_RATING_STATE_ROLLUP_QST],0),MATCH(E$9,MMWR_RATING_STATE_ROLLUP_QST[#Headers],0))/$C53,"ERROR"))</f>
        <v>0.2</v>
      </c>
      <c r="F53" s="155">
        <f>IF($B53=" ","",IFERROR(INDEX(MMWR_RATING_STATE_ROLLUP_QST[],MATCH($B53,MMWR_RATING_STATE_ROLLUP_QST[MMWR_RATING_STATE_ROLLUP_QST],0),MATCH(F$9,MMWR_RATING_STATE_ROLLUP_QST[#Headers],0)),"ERROR"))</f>
        <v>4</v>
      </c>
      <c r="G53" s="155">
        <f>IF($B53=" ","",IFERROR(INDEX(MMWR_RATING_STATE_ROLLUP_QST[],MATCH($B53,MMWR_RATING_STATE_ROLLUP_QST[MMWR_RATING_STATE_ROLLUP_QST],0),MATCH(G$9,MMWR_RATING_STATE_ROLLUP_QST[#Headers],0)),"ERROR"))</f>
        <v>43</v>
      </c>
      <c r="H53" s="156">
        <f>IF($B53=" ","",IFERROR(INDEX(MMWR_RATING_STATE_ROLLUP_QST[],MATCH($B53,MMWR_RATING_STATE_ROLLUP_QST[MMWR_RATING_STATE_ROLLUP_QST],0),MATCH(H$9,MMWR_RATING_STATE_ROLLUP_QST[#Headers],0)),"ERROR"))</f>
        <v>114</v>
      </c>
      <c r="I53" s="156">
        <f>IF($B53=" ","",IFERROR(INDEX(MMWR_RATING_STATE_ROLLUP_QST[],MATCH($B53,MMWR_RATING_STATE_ROLLUP_QST[MMWR_RATING_STATE_ROLLUP_QST],0),MATCH(I$9,MMWR_RATING_STATE_ROLLUP_QST[#Headers],0)),"ERROR"))</f>
        <v>118.8837209302</v>
      </c>
      <c r="J53" s="42"/>
      <c r="K53" s="42"/>
      <c r="L53" s="42"/>
      <c r="M53" s="42"/>
      <c r="N53" s="28"/>
    </row>
    <row r="54" spans="1:14" ht="13.2" x14ac:dyDescent="0.25">
      <c r="A54" s="25"/>
      <c r="B54" s="8" t="str">
        <f>VLOOKUP($B$15,DISTRICT_STATES[],4,0)</f>
        <v>District of Columbia</v>
      </c>
      <c r="C54" s="155">
        <f>IF($B54=" ","",IFERROR(INDEX(MMWR_RATING_STATE_ROLLUP_QST[],MATCH($B54,MMWR_RATING_STATE_ROLLUP_QST[MMWR_RATING_STATE_ROLLUP_QST],0),MATCH(C$9,MMWR_RATING_STATE_ROLLUP_QST[#Headers],0)),"ERROR"))</f>
        <v>18</v>
      </c>
      <c r="D54" s="156">
        <f>IF($B54=" ","",IFERROR(INDEX(MMWR_RATING_STATE_ROLLUP_QST[],MATCH($B54,MMWR_RATING_STATE_ROLLUP_QST[MMWR_RATING_STATE_ROLLUP_QST],0),MATCH(D$9,MMWR_RATING_STATE_ROLLUP_QST[#Headers],0)),"ERROR"))</f>
        <v>66.5</v>
      </c>
      <c r="E54" s="157">
        <f>IF($B54=" ","",IFERROR(INDEX(MMWR_RATING_STATE_ROLLUP_QST[],MATCH($B54,MMWR_RATING_STATE_ROLLUP_QST[MMWR_RATING_STATE_ROLLUP_QST],0),MATCH(E$9,MMWR_RATING_STATE_ROLLUP_QST[#Headers],0))/$C54,"ERROR"))</f>
        <v>5.5555555555555552E-2</v>
      </c>
      <c r="F54" s="155">
        <f>IF($B54=" ","",IFERROR(INDEX(MMWR_RATING_STATE_ROLLUP_QST[],MATCH($B54,MMWR_RATING_STATE_ROLLUP_QST[MMWR_RATING_STATE_ROLLUP_QST],0),MATCH(F$9,MMWR_RATING_STATE_ROLLUP_QST[#Headers],0)),"ERROR"))</f>
        <v>1</v>
      </c>
      <c r="G54" s="155">
        <f>IF($B54=" ","",IFERROR(INDEX(MMWR_RATING_STATE_ROLLUP_QST[],MATCH($B54,MMWR_RATING_STATE_ROLLUP_QST[MMWR_RATING_STATE_ROLLUP_QST],0),MATCH(G$9,MMWR_RATING_STATE_ROLLUP_QST[#Headers],0)),"ERROR"))</f>
        <v>42</v>
      </c>
      <c r="H54" s="156">
        <f>IF($B54=" ","",IFERROR(INDEX(MMWR_RATING_STATE_ROLLUP_QST[],MATCH($B54,MMWR_RATING_STATE_ROLLUP_QST[MMWR_RATING_STATE_ROLLUP_QST],0),MATCH(H$9,MMWR_RATING_STATE_ROLLUP_QST[#Headers],0)),"ERROR"))</f>
        <v>134</v>
      </c>
      <c r="I54" s="156">
        <f>IF($B54=" ","",IFERROR(INDEX(MMWR_RATING_STATE_ROLLUP_QST[],MATCH($B54,MMWR_RATING_STATE_ROLLUP_QST[MMWR_RATING_STATE_ROLLUP_QST],0),MATCH(I$9,MMWR_RATING_STATE_ROLLUP_QST[#Headers],0)),"ERROR"))</f>
        <v>142.8571428571</v>
      </c>
      <c r="J54" s="42"/>
      <c r="K54" s="42"/>
      <c r="L54" s="42"/>
      <c r="M54" s="42"/>
      <c r="N54" s="28"/>
    </row>
    <row r="55" spans="1:14" ht="13.2" x14ac:dyDescent="0.25">
      <c r="A55" s="25"/>
      <c r="B55" s="8" t="str">
        <f>VLOOKUP($B$15,DISTRICT_STATES[],5,0)</f>
        <v>Maine</v>
      </c>
      <c r="C55" s="155">
        <f>IF($B55=" ","",IFERROR(INDEX(MMWR_RATING_STATE_ROLLUP_QST[],MATCH($B55,MMWR_RATING_STATE_ROLLUP_QST[MMWR_RATING_STATE_ROLLUP_QST],0),MATCH(C$9,MMWR_RATING_STATE_ROLLUP_QST[#Headers],0)),"ERROR"))</f>
        <v>13</v>
      </c>
      <c r="D55" s="156">
        <f>IF($B55=" ","",IFERROR(INDEX(MMWR_RATING_STATE_ROLLUP_QST[],MATCH($B55,MMWR_RATING_STATE_ROLLUP_QST[MMWR_RATING_STATE_ROLLUP_QST],0),MATCH(D$9,MMWR_RATING_STATE_ROLLUP_QST[#Headers],0)),"ERROR"))</f>
        <v>82.153846153800004</v>
      </c>
      <c r="E55" s="157">
        <f>IF($B55=" ","",IFERROR(INDEX(MMWR_RATING_STATE_ROLLUP_QST[],MATCH($B55,MMWR_RATING_STATE_ROLLUP_QST[MMWR_RATING_STATE_ROLLUP_QST],0),MATCH(E$9,MMWR_RATING_STATE_ROLLUP_QST[#Headers],0))/$C55,"ERROR"))</f>
        <v>0.15384615384615385</v>
      </c>
      <c r="F55" s="155">
        <f>IF($B55=" ","",IFERROR(INDEX(MMWR_RATING_STATE_ROLLUP_QST[],MATCH($B55,MMWR_RATING_STATE_ROLLUP_QST[MMWR_RATING_STATE_ROLLUP_QST],0),MATCH(F$9,MMWR_RATING_STATE_ROLLUP_QST[#Headers],0)),"ERROR"))</f>
        <v>3</v>
      </c>
      <c r="G55" s="155">
        <f>IF($B55=" ","",IFERROR(INDEX(MMWR_RATING_STATE_ROLLUP_QST[],MATCH($B55,MMWR_RATING_STATE_ROLLUP_QST[MMWR_RATING_STATE_ROLLUP_QST],0),MATCH(G$9,MMWR_RATING_STATE_ROLLUP_QST[#Headers],0)),"ERROR"))</f>
        <v>65</v>
      </c>
      <c r="H55" s="156">
        <f>IF($B55=" ","",IFERROR(INDEX(MMWR_RATING_STATE_ROLLUP_QST[],MATCH($B55,MMWR_RATING_STATE_ROLLUP_QST[MMWR_RATING_STATE_ROLLUP_QST],0),MATCH(H$9,MMWR_RATING_STATE_ROLLUP_QST[#Headers],0)),"ERROR"))</f>
        <v>81.333333333300004</v>
      </c>
      <c r="I55" s="156">
        <f>IF($B55=" ","",IFERROR(INDEX(MMWR_RATING_STATE_ROLLUP_QST[],MATCH($B55,MMWR_RATING_STATE_ROLLUP_QST[MMWR_RATING_STATE_ROLLUP_QST],0),MATCH(I$9,MMWR_RATING_STATE_ROLLUP_QST[#Headers],0)),"ERROR"))</f>
        <v>127.6615384615</v>
      </c>
      <c r="J55" s="42"/>
      <c r="K55" s="42"/>
      <c r="L55" s="42"/>
      <c r="M55" s="42"/>
      <c r="N55" s="28"/>
    </row>
    <row r="56" spans="1:14" ht="13.2" x14ac:dyDescent="0.25">
      <c r="A56" s="25"/>
      <c r="B56" s="8" t="str">
        <f>VLOOKUP($B$15,DISTRICT_STATES[],6,0)</f>
        <v>Maryland</v>
      </c>
      <c r="C56" s="155">
        <f>IF($B56=" ","",IFERROR(INDEX(MMWR_RATING_STATE_ROLLUP_QST[],MATCH($B56,MMWR_RATING_STATE_ROLLUP_QST[MMWR_RATING_STATE_ROLLUP_QST],0),MATCH(C$9,MMWR_RATING_STATE_ROLLUP_QST[#Headers],0)),"ERROR"))</f>
        <v>199</v>
      </c>
      <c r="D56" s="156">
        <f>IF($B56=" ","",IFERROR(INDEX(MMWR_RATING_STATE_ROLLUP_QST[],MATCH($B56,MMWR_RATING_STATE_ROLLUP_QST[MMWR_RATING_STATE_ROLLUP_QST],0),MATCH(D$9,MMWR_RATING_STATE_ROLLUP_QST[#Headers],0)),"ERROR"))</f>
        <v>74.613065326599994</v>
      </c>
      <c r="E56" s="157">
        <f>IF($B56=" ","",IFERROR(INDEX(MMWR_RATING_STATE_ROLLUP_QST[],MATCH($B56,MMWR_RATING_STATE_ROLLUP_QST[MMWR_RATING_STATE_ROLLUP_QST],0),MATCH(E$9,MMWR_RATING_STATE_ROLLUP_QST[#Headers],0))/$C56,"ERROR"))</f>
        <v>0.11557788944723618</v>
      </c>
      <c r="F56" s="155">
        <f>IF($B56=" ","",IFERROR(INDEX(MMWR_RATING_STATE_ROLLUP_QST[],MATCH($B56,MMWR_RATING_STATE_ROLLUP_QST[MMWR_RATING_STATE_ROLLUP_QST],0),MATCH(F$9,MMWR_RATING_STATE_ROLLUP_QST[#Headers],0)),"ERROR"))</f>
        <v>41</v>
      </c>
      <c r="G56" s="155">
        <f>IF($B56=" ","",IFERROR(INDEX(MMWR_RATING_STATE_ROLLUP_QST[],MATCH($B56,MMWR_RATING_STATE_ROLLUP_QST[MMWR_RATING_STATE_ROLLUP_QST],0),MATCH(G$9,MMWR_RATING_STATE_ROLLUP_QST[#Headers],0)),"ERROR"))</f>
        <v>525</v>
      </c>
      <c r="H56" s="156">
        <f>IF($B56=" ","",IFERROR(INDEX(MMWR_RATING_STATE_ROLLUP_QST[],MATCH($B56,MMWR_RATING_STATE_ROLLUP_QST[MMWR_RATING_STATE_ROLLUP_QST],0),MATCH(H$9,MMWR_RATING_STATE_ROLLUP_QST[#Headers],0)),"ERROR"))</f>
        <v>119.4146341463</v>
      </c>
      <c r="I56" s="156">
        <f>IF($B56=" ","",IFERROR(INDEX(MMWR_RATING_STATE_ROLLUP_QST[],MATCH($B56,MMWR_RATING_STATE_ROLLUP_QST[MMWR_RATING_STATE_ROLLUP_QST],0),MATCH(I$9,MMWR_RATING_STATE_ROLLUP_QST[#Headers],0)),"ERROR"))</f>
        <v>140.63809523809999</v>
      </c>
      <c r="J56" s="42"/>
      <c r="K56" s="42"/>
      <c r="L56" s="42"/>
      <c r="M56" s="42"/>
      <c r="N56" s="28"/>
    </row>
    <row r="57" spans="1:14" ht="13.2" x14ac:dyDescent="0.25">
      <c r="A57" s="25"/>
      <c r="B57" s="8" t="str">
        <f>VLOOKUP($B$15,DISTRICT_STATES[],7,0)</f>
        <v>Massachusetts</v>
      </c>
      <c r="C57" s="155">
        <f>IF($B57=" ","",IFERROR(INDEX(MMWR_RATING_STATE_ROLLUP_QST[],MATCH($B57,MMWR_RATING_STATE_ROLLUP_QST[MMWR_RATING_STATE_ROLLUP_QST],0),MATCH(C$9,MMWR_RATING_STATE_ROLLUP_QST[#Headers],0)),"ERROR"))</f>
        <v>81</v>
      </c>
      <c r="D57" s="156">
        <f>IF($B57=" ","",IFERROR(INDEX(MMWR_RATING_STATE_ROLLUP_QST[],MATCH($B57,MMWR_RATING_STATE_ROLLUP_QST[MMWR_RATING_STATE_ROLLUP_QST],0),MATCH(D$9,MMWR_RATING_STATE_ROLLUP_QST[#Headers],0)),"ERROR"))</f>
        <v>66.493827160500004</v>
      </c>
      <c r="E57" s="157">
        <f>IF($B57=" ","",IFERROR(INDEX(MMWR_RATING_STATE_ROLLUP_QST[],MATCH($B57,MMWR_RATING_STATE_ROLLUP_QST[MMWR_RATING_STATE_ROLLUP_QST],0),MATCH(E$9,MMWR_RATING_STATE_ROLLUP_QST[#Headers],0))/$C57,"ERROR"))</f>
        <v>7.407407407407407E-2</v>
      </c>
      <c r="F57" s="155">
        <f>IF($B57=" ","",IFERROR(INDEX(MMWR_RATING_STATE_ROLLUP_QST[],MATCH($B57,MMWR_RATING_STATE_ROLLUP_QST[MMWR_RATING_STATE_ROLLUP_QST],0),MATCH(F$9,MMWR_RATING_STATE_ROLLUP_QST[#Headers],0)),"ERROR"))</f>
        <v>9</v>
      </c>
      <c r="G57" s="155">
        <f>IF($B57=" ","",IFERROR(INDEX(MMWR_RATING_STATE_ROLLUP_QST[],MATCH($B57,MMWR_RATING_STATE_ROLLUP_QST[MMWR_RATING_STATE_ROLLUP_QST],0),MATCH(G$9,MMWR_RATING_STATE_ROLLUP_QST[#Headers],0)),"ERROR"))</f>
        <v>207</v>
      </c>
      <c r="H57" s="156">
        <f>IF($B57=" ","",IFERROR(INDEX(MMWR_RATING_STATE_ROLLUP_QST[],MATCH($B57,MMWR_RATING_STATE_ROLLUP_QST[MMWR_RATING_STATE_ROLLUP_QST],0),MATCH(H$9,MMWR_RATING_STATE_ROLLUP_QST[#Headers],0)),"ERROR"))</f>
        <v>105.2222222222</v>
      </c>
      <c r="I57" s="156">
        <f>IF($B57=" ","",IFERROR(INDEX(MMWR_RATING_STATE_ROLLUP_QST[],MATCH($B57,MMWR_RATING_STATE_ROLLUP_QST[MMWR_RATING_STATE_ROLLUP_QST],0),MATCH(I$9,MMWR_RATING_STATE_ROLLUP_QST[#Headers],0)),"ERROR"))</f>
        <v>130.30434782610001</v>
      </c>
      <c r="J57" s="42"/>
      <c r="K57" s="42"/>
      <c r="L57" s="42"/>
      <c r="M57" s="42"/>
      <c r="N57" s="28"/>
    </row>
    <row r="58" spans="1:14" ht="13.2" x14ac:dyDescent="0.25">
      <c r="A58" s="25"/>
      <c r="B58" s="8" t="str">
        <f>VLOOKUP($B$15,DISTRICT_STATES[],8,0)</f>
        <v>New Hampshire</v>
      </c>
      <c r="C58" s="155">
        <f>IF($B58=" ","",IFERROR(INDEX(MMWR_RATING_STATE_ROLLUP_QST[],MATCH($B58,MMWR_RATING_STATE_ROLLUP_QST[MMWR_RATING_STATE_ROLLUP_QST],0),MATCH(C$9,MMWR_RATING_STATE_ROLLUP_QST[#Headers],0)),"ERROR"))</f>
        <v>11</v>
      </c>
      <c r="D58" s="156">
        <f>IF($B58=" ","",IFERROR(INDEX(MMWR_RATING_STATE_ROLLUP_QST[],MATCH($B58,MMWR_RATING_STATE_ROLLUP_QST[MMWR_RATING_STATE_ROLLUP_QST],0),MATCH(D$9,MMWR_RATING_STATE_ROLLUP_QST[#Headers],0)),"ERROR"))</f>
        <v>73.909090909100001</v>
      </c>
      <c r="E58" s="157">
        <f>IF($B58=" ","",IFERROR(INDEX(MMWR_RATING_STATE_ROLLUP_QST[],MATCH($B58,MMWR_RATING_STATE_ROLLUP_QST[MMWR_RATING_STATE_ROLLUP_QST],0),MATCH(E$9,MMWR_RATING_STATE_ROLLUP_QST[#Headers],0))/$C58,"ERROR"))</f>
        <v>0.27272727272727271</v>
      </c>
      <c r="F58" s="155">
        <f>IF($B58=" ","",IFERROR(INDEX(MMWR_RATING_STATE_ROLLUP_QST[],MATCH($B58,MMWR_RATING_STATE_ROLLUP_QST[MMWR_RATING_STATE_ROLLUP_QST],0),MATCH(F$9,MMWR_RATING_STATE_ROLLUP_QST[#Headers],0)),"ERROR"))</f>
        <v>5</v>
      </c>
      <c r="G58" s="155">
        <f>IF($B58=" ","",IFERROR(INDEX(MMWR_RATING_STATE_ROLLUP_QST[],MATCH($B58,MMWR_RATING_STATE_ROLLUP_QST[MMWR_RATING_STATE_ROLLUP_QST],0),MATCH(G$9,MMWR_RATING_STATE_ROLLUP_QST[#Headers],0)),"ERROR"))</f>
        <v>62</v>
      </c>
      <c r="H58" s="156">
        <f>IF($B58=" ","",IFERROR(INDEX(MMWR_RATING_STATE_ROLLUP_QST[],MATCH($B58,MMWR_RATING_STATE_ROLLUP_QST[MMWR_RATING_STATE_ROLLUP_QST],0),MATCH(H$9,MMWR_RATING_STATE_ROLLUP_QST[#Headers],0)),"ERROR"))</f>
        <v>100.4</v>
      </c>
      <c r="I58" s="156">
        <f>IF($B58=" ","",IFERROR(INDEX(MMWR_RATING_STATE_ROLLUP_QST[],MATCH($B58,MMWR_RATING_STATE_ROLLUP_QST[MMWR_RATING_STATE_ROLLUP_QST],0),MATCH(I$9,MMWR_RATING_STATE_ROLLUP_QST[#Headers],0)),"ERROR"))</f>
        <v>120.25806451610001</v>
      </c>
      <c r="J58" s="42"/>
      <c r="K58" s="42"/>
      <c r="L58" s="42"/>
      <c r="M58" s="42"/>
      <c r="N58" s="28"/>
    </row>
    <row r="59" spans="1:14" ht="13.2" x14ac:dyDescent="0.25">
      <c r="A59" s="25"/>
      <c r="B59" s="8" t="str">
        <f>VLOOKUP($B$15,DISTRICT_STATES[],9,0)</f>
        <v>New Jersey</v>
      </c>
      <c r="C59" s="155">
        <f>IF($B59=" ","",IFERROR(INDEX(MMWR_RATING_STATE_ROLLUP_QST[],MATCH($B59,MMWR_RATING_STATE_ROLLUP_QST[MMWR_RATING_STATE_ROLLUP_QST],0),MATCH(C$9,MMWR_RATING_STATE_ROLLUP_QST[#Headers],0)),"ERROR"))</f>
        <v>74</v>
      </c>
      <c r="D59" s="156">
        <f>IF($B59=" ","",IFERROR(INDEX(MMWR_RATING_STATE_ROLLUP_QST[],MATCH($B59,MMWR_RATING_STATE_ROLLUP_QST[MMWR_RATING_STATE_ROLLUP_QST],0),MATCH(D$9,MMWR_RATING_STATE_ROLLUP_QST[#Headers],0)),"ERROR"))</f>
        <v>66.013513513500001</v>
      </c>
      <c r="E59" s="157">
        <f>IF($B59=" ","",IFERROR(INDEX(MMWR_RATING_STATE_ROLLUP_QST[],MATCH($B59,MMWR_RATING_STATE_ROLLUP_QST[MMWR_RATING_STATE_ROLLUP_QST],0),MATCH(E$9,MMWR_RATING_STATE_ROLLUP_QST[#Headers],0))/$C59,"ERROR"))</f>
        <v>0.10810810810810811</v>
      </c>
      <c r="F59" s="155">
        <f>IF($B59=" ","",IFERROR(INDEX(MMWR_RATING_STATE_ROLLUP_QST[],MATCH($B59,MMWR_RATING_STATE_ROLLUP_QST[MMWR_RATING_STATE_ROLLUP_QST],0),MATCH(F$9,MMWR_RATING_STATE_ROLLUP_QST[#Headers],0)),"ERROR"))</f>
        <v>20</v>
      </c>
      <c r="G59" s="155">
        <f>IF($B59=" ","",IFERROR(INDEX(MMWR_RATING_STATE_ROLLUP_QST[],MATCH($B59,MMWR_RATING_STATE_ROLLUP_QST[MMWR_RATING_STATE_ROLLUP_QST],0),MATCH(G$9,MMWR_RATING_STATE_ROLLUP_QST[#Headers],0)),"ERROR"))</f>
        <v>218</v>
      </c>
      <c r="H59" s="156">
        <f>IF($B59=" ","",IFERROR(INDEX(MMWR_RATING_STATE_ROLLUP_QST[],MATCH($B59,MMWR_RATING_STATE_ROLLUP_QST[MMWR_RATING_STATE_ROLLUP_QST],0),MATCH(H$9,MMWR_RATING_STATE_ROLLUP_QST[#Headers],0)),"ERROR"))</f>
        <v>117.75</v>
      </c>
      <c r="I59" s="156">
        <f>IF($B59=" ","",IFERROR(INDEX(MMWR_RATING_STATE_ROLLUP_QST[],MATCH($B59,MMWR_RATING_STATE_ROLLUP_QST[MMWR_RATING_STATE_ROLLUP_QST],0),MATCH(I$9,MMWR_RATING_STATE_ROLLUP_QST[#Headers],0)),"ERROR"))</f>
        <v>134.9311926606</v>
      </c>
      <c r="J59" s="42"/>
      <c r="K59" s="42"/>
      <c r="L59" s="42"/>
      <c r="M59" s="42"/>
      <c r="N59" s="28"/>
    </row>
    <row r="60" spans="1:14" ht="13.2" x14ac:dyDescent="0.25">
      <c r="A60" s="25"/>
      <c r="B60" s="8" t="str">
        <f>VLOOKUP($B$15,DISTRICT_STATES[],10,0)</f>
        <v>New York</v>
      </c>
      <c r="C60" s="155">
        <f>IF($B60=" ","",IFERROR(INDEX(MMWR_RATING_STATE_ROLLUP_QST[],MATCH($B60,MMWR_RATING_STATE_ROLLUP_QST[MMWR_RATING_STATE_ROLLUP_QST],0),MATCH(C$9,MMWR_RATING_STATE_ROLLUP_QST[#Headers],0)),"ERROR"))</f>
        <v>207</v>
      </c>
      <c r="D60" s="156">
        <f>IF($B60=" ","",IFERROR(INDEX(MMWR_RATING_STATE_ROLLUP_QST[],MATCH($B60,MMWR_RATING_STATE_ROLLUP_QST[MMWR_RATING_STATE_ROLLUP_QST],0),MATCH(D$9,MMWR_RATING_STATE_ROLLUP_QST[#Headers],0)),"ERROR"))</f>
        <v>63.6859903382</v>
      </c>
      <c r="E60" s="157">
        <f>IF($B60=" ","",IFERROR(INDEX(MMWR_RATING_STATE_ROLLUP_QST[],MATCH($B60,MMWR_RATING_STATE_ROLLUP_QST[MMWR_RATING_STATE_ROLLUP_QST],0),MATCH(E$9,MMWR_RATING_STATE_ROLLUP_QST[#Headers],0))/$C60,"ERROR"))</f>
        <v>9.6618357487922704E-2</v>
      </c>
      <c r="F60" s="155">
        <f>IF($B60=" ","",IFERROR(INDEX(MMWR_RATING_STATE_ROLLUP_QST[],MATCH($B60,MMWR_RATING_STATE_ROLLUP_QST[MMWR_RATING_STATE_ROLLUP_QST],0),MATCH(F$9,MMWR_RATING_STATE_ROLLUP_QST[#Headers],0)),"ERROR"))</f>
        <v>34</v>
      </c>
      <c r="G60" s="155">
        <f>IF($B60=" ","",IFERROR(INDEX(MMWR_RATING_STATE_ROLLUP_QST[],MATCH($B60,MMWR_RATING_STATE_ROLLUP_QST[MMWR_RATING_STATE_ROLLUP_QST],0),MATCH(G$9,MMWR_RATING_STATE_ROLLUP_QST[#Headers],0)),"ERROR"))</f>
        <v>528</v>
      </c>
      <c r="H60" s="156">
        <f>IF($B60=" ","",IFERROR(INDEX(MMWR_RATING_STATE_ROLLUP_QST[],MATCH($B60,MMWR_RATING_STATE_ROLLUP_QST[MMWR_RATING_STATE_ROLLUP_QST],0),MATCH(H$9,MMWR_RATING_STATE_ROLLUP_QST[#Headers],0)),"ERROR"))</f>
        <v>133.1470588235</v>
      </c>
      <c r="I60" s="156">
        <f>IF($B60=" ","",IFERROR(INDEX(MMWR_RATING_STATE_ROLLUP_QST[],MATCH($B60,MMWR_RATING_STATE_ROLLUP_QST[MMWR_RATING_STATE_ROLLUP_QST],0),MATCH(I$9,MMWR_RATING_STATE_ROLLUP_QST[#Headers],0)),"ERROR"))</f>
        <v>134.61553030300001</v>
      </c>
      <c r="J60" s="42"/>
      <c r="K60" s="42"/>
      <c r="L60" s="42"/>
      <c r="M60" s="42"/>
      <c r="N60" s="28"/>
    </row>
    <row r="61" spans="1:14" ht="13.2" x14ac:dyDescent="0.25">
      <c r="A61" s="25"/>
      <c r="B61" s="8" t="str">
        <f>VLOOKUP($B$15,DISTRICT_STATES[],11,0)</f>
        <v>North Carolina</v>
      </c>
      <c r="C61" s="155">
        <f>IF($B61=" ","",IFERROR(INDEX(MMWR_RATING_STATE_ROLLUP_QST[],MATCH($B61,MMWR_RATING_STATE_ROLLUP_QST[MMWR_RATING_STATE_ROLLUP_QST],0),MATCH(C$9,MMWR_RATING_STATE_ROLLUP_QST[#Headers],0)),"ERROR"))</f>
        <v>503</v>
      </c>
      <c r="D61" s="156">
        <f>IF($B61=" ","",IFERROR(INDEX(MMWR_RATING_STATE_ROLLUP_QST[],MATCH($B61,MMWR_RATING_STATE_ROLLUP_QST[MMWR_RATING_STATE_ROLLUP_QST],0),MATCH(D$9,MMWR_RATING_STATE_ROLLUP_QST[#Headers],0)),"ERROR"))</f>
        <v>73.240556659999996</v>
      </c>
      <c r="E61" s="157">
        <f>IF($B61=" ","",IFERROR(INDEX(MMWR_RATING_STATE_ROLLUP_QST[],MATCH($B61,MMWR_RATING_STATE_ROLLUP_QST[MMWR_RATING_STATE_ROLLUP_QST],0),MATCH(E$9,MMWR_RATING_STATE_ROLLUP_QST[#Headers],0))/$C61,"ERROR"))</f>
        <v>0.12127236580516898</v>
      </c>
      <c r="F61" s="155">
        <f>IF($B61=" ","",IFERROR(INDEX(MMWR_RATING_STATE_ROLLUP_QST[],MATCH($B61,MMWR_RATING_STATE_ROLLUP_QST[MMWR_RATING_STATE_ROLLUP_QST],0),MATCH(F$9,MMWR_RATING_STATE_ROLLUP_QST[#Headers],0)),"ERROR"))</f>
        <v>97</v>
      </c>
      <c r="G61" s="155">
        <f>IF($B61=" ","",IFERROR(INDEX(MMWR_RATING_STATE_ROLLUP_QST[],MATCH($B61,MMWR_RATING_STATE_ROLLUP_QST[MMWR_RATING_STATE_ROLLUP_QST],0),MATCH(G$9,MMWR_RATING_STATE_ROLLUP_QST[#Headers],0)),"ERROR"))</f>
        <v>1219</v>
      </c>
      <c r="H61" s="156">
        <f>IF($B61=" ","",IFERROR(INDEX(MMWR_RATING_STATE_ROLLUP_QST[],MATCH($B61,MMWR_RATING_STATE_ROLLUP_QST[MMWR_RATING_STATE_ROLLUP_QST],0),MATCH(H$9,MMWR_RATING_STATE_ROLLUP_QST[#Headers],0)),"ERROR"))</f>
        <v>148.3608247423</v>
      </c>
      <c r="I61" s="156">
        <f>IF($B61=" ","",IFERROR(INDEX(MMWR_RATING_STATE_ROLLUP_QST[],MATCH($B61,MMWR_RATING_STATE_ROLLUP_QST[MMWR_RATING_STATE_ROLLUP_QST],0),MATCH(I$9,MMWR_RATING_STATE_ROLLUP_QST[#Headers],0)),"ERROR"))</f>
        <v>141.7858900738</v>
      </c>
      <c r="J61" s="42"/>
      <c r="K61" s="42"/>
      <c r="L61" s="42"/>
      <c r="M61" s="42"/>
      <c r="N61" s="28"/>
    </row>
    <row r="62" spans="1:14" ht="13.2" x14ac:dyDescent="0.25">
      <c r="A62" s="25"/>
      <c r="B62" s="8" t="str">
        <f>VLOOKUP($B$15,DISTRICT_STATES[],12,0)</f>
        <v>Pennsylvania</v>
      </c>
      <c r="C62" s="155">
        <f>IF($B62=" ","",IFERROR(INDEX(MMWR_RATING_STATE_ROLLUP_QST[],MATCH($B62,MMWR_RATING_STATE_ROLLUP_QST[MMWR_RATING_STATE_ROLLUP_QST],0),MATCH(C$9,MMWR_RATING_STATE_ROLLUP_QST[#Headers],0)),"ERROR"))</f>
        <v>165</v>
      </c>
      <c r="D62" s="156">
        <f>IF($B62=" ","",IFERROR(INDEX(MMWR_RATING_STATE_ROLLUP_QST[],MATCH($B62,MMWR_RATING_STATE_ROLLUP_QST[MMWR_RATING_STATE_ROLLUP_QST],0),MATCH(D$9,MMWR_RATING_STATE_ROLLUP_QST[#Headers],0)),"ERROR"))</f>
        <v>72.254545454500004</v>
      </c>
      <c r="E62" s="157">
        <f>IF($B62=" ","",IFERROR(INDEX(MMWR_RATING_STATE_ROLLUP_QST[],MATCH($B62,MMWR_RATING_STATE_ROLLUP_QST[MMWR_RATING_STATE_ROLLUP_QST],0),MATCH(E$9,MMWR_RATING_STATE_ROLLUP_QST[#Headers],0))/$C62,"ERROR"))</f>
        <v>0.11515151515151516</v>
      </c>
      <c r="F62" s="155">
        <f>IF($B62=" ","",IFERROR(INDEX(MMWR_RATING_STATE_ROLLUP_QST[],MATCH($B62,MMWR_RATING_STATE_ROLLUP_QST[MMWR_RATING_STATE_ROLLUP_QST],0),MATCH(F$9,MMWR_RATING_STATE_ROLLUP_QST[#Headers],0)),"ERROR"))</f>
        <v>35</v>
      </c>
      <c r="G62" s="155">
        <f>IF($B62=" ","",IFERROR(INDEX(MMWR_RATING_STATE_ROLLUP_QST[],MATCH($B62,MMWR_RATING_STATE_ROLLUP_QST[MMWR_RATING_STATE_ROLLUP_QST],0),MATCH(G$9,MMWR_RATING_STATE_ROLLUP_QST[#Headers],0)),"ERROR"))</f>
        <v>472</v>
      </c>
      <c r="H62" s="156">
        <f>IF($B62=" ","",IFERROR(INDEX(MMWR_RATING_STATE_ROLLUP_QST[],MATCH($B62,MMWR_RATING_STATE_ROLLUP_QST[MMWR_RATING_STATE_ROLLUP_QST],0),MATCH(H$9,MMWR_RATING_STATE_ROLLUP_QST[#Headers],0)),"ERROR"))</f>
        <v>134.05714285709999</v>
      </c>
      <c r="I62" s="156">
        <f>IF($B62=" ","",IFERROR(INDEX(MMWR_RATING_STATE_ROLLUP_QST[],MATCH($B62,MMWR_RATING_STATE_ROLLUP_QST[MMWR_RATING_STATE_ROLLUP_QST],0),MATCH(I$9,MMWR_RATING_STATE_ROLLUP_QST[#Headers],0)),"ERROR"))</f>
        <v>132.02542372880001</v>
      </c>
      <c r="J62" s="42"/>
      <c r="K62" s="42"/>
      <c r="L62" s="42"/>
      <c r="M62" s="42"/>
      <c r="N62" s="28"/>
    </row>
    <row r="63" spans="1:14" ht="13.2" x14ac:dyDescent="0.25">
      <c r="A63" s="25"/>
      <c r="B63" s="8" t="str">
        <f>VLOOKUP($B$15,DISTRICT_STATES[],13,0)</f>
        <v>Rhode Island</v>
      </c>
      <c r="C63" s="155">
        <f>IF($B63=" ","",IFERROR(INDEX(MMWR_RATING_STATE_ROLLUP_QST[],MATCH($B63,MMWR_RATING_STATE_ROLLUP_QST[MMWR_RATING_STATE_ROLLUP_QST],0),MATCH(C$9,MMWR_RATING_STATE_ROLLUP_QST[#Headers],0)),"ERROR"))</f>
        <v>11</v>
      </c>
      <c r="D63" s="156">
        <f>IF($B63=" ","",IFERROR(INDEX(MMWR_RATING_STATE_ROLLUP_QST[],MATCH($B63,MMWR_RATING_STATE_ROLLUP_QST[MMWR_RATING_STATE_ROLLUP_QST],0),MATCH(D$9,MMWR_RATING_STATE_ROLLUP_QST[#Headers],0)),"ERROR"))</f>
        <v>68.454545454500007</v>
      </c>
      <c r="E63" s="157">
        <f>IF($B63=" ","",IFERROR(INDEX(MMWR_RATING_STATE_ROLLUP_QST[],MATCH($B63,MMWR_RATING_STATE_ROLLUP_QST[MMWR_RATING_STATE_ROLLUP_QST],0),MATCH(E$9,MMWR_RATING_STATE_ROLLUP_QST[#Headers],0))/$C63,"ERROR"))</f>
        <v>9.0909090909090912E-2</v>
      </c>
      <c r="F63" s="155">
        <f>IF($B63=" ","",IFERROR(INDEX(MMWR_RATING_STATE_ROLLUP_QST[],MATCH($B63,MMWR_RATING_STATE_ROLLUP_QST[MMWR_RATING_STATE_ROLLUP_QST],0),MATCH(F$9,MMWR_RATING_STATE_ROLLUP_QST[#Headers],0)),"ERROR"))</f>
        <v>0</v>
      </c>
      <c r="G63" s="155">
        <f>IF($B63=" ","",IFERROR(INDEX(MMWR_RATING_STATE_ROLLUP_QST[],MATCH($B63,MMWR_RATING_STATE_ROLLUP_QST[MMWR_RATING_STATE_ROLLUP_QST],0),MATCH(G$9,MMWR_RATING_STATE_ROLLUP_QST[#Headers],0)),"ERROR"))</f>
        <v>28</v>
      </c>
      <c r="H63" s="156">
        <f>IF($B63=" ","",IFERROR(INDEX(MMWR_RATING_STATE_ROLLUP_QST[],MATCH($B63,MMWR_RATING_STATE_ROLLUP_QST[MMWR_RATING_STATE_ROLLUP_QST],0),MATCH(H$9,MMWR_RATING_STATE_ROLLUP_QST[#Headers],0)),"ERROR"))</f>
        <v>0</v>
      </c>
      <c r="I63" s="156">
        <f>IF($B63=" ","",IFERROR(INDEX(MMWR_RATING_STATE_ROLLUP_QST[],MATCH($B63,MMWR_RATING_STATE_ROLLUP_QST[MMWR_RATING_STATE_ROLLUP_QST],0),MATCH(I$9,MMWR_RATING_STATE_ROLLUP_QST[#Headers],0)),"ERROR"))</f>
        <v>100.3928571429</v>
      </c>
      <c r="J63" s="42"/>
      <c r="K63" s="42"/>
      <c r="L63" s="42"/>
      <c r="M63" s="42"/>
      <c r="N63" s="28"/>
    </row>
    <row r="64" spans="1:14" ht="13.2" x14ac:dyDescent="0.25">
      <c r="A64" s="25"/>
      <c r="B64" s="8" t="str">
        <f>VLOOKUP($B$15,DISTRICT_STATES[],14,0)</f>
        <v>Vermont</v>
      </c>
      <c r="C64" s="155">
        <f>IF($B64=" ","",IFERROR(INDEX(MMWR_RATING_STATE_ROLLUP_QST[],MATCH($B64,MMWR_RATING_STATE_ROLLUP_QST[MMWR_RATING_STATE_ROLLUP_QST],0),MATCH(C$9,MMWR_RATING_STATE_ROLLUP_QST[#Headers],0)),"ERROR"))</f>
        <v>5</v>
      </c>
      <c r="D64" s="156">
        <f>IF($B64=" ","",IFERROR(INDEX(MMWR_RATING_STATE_ROLLUP_QST[],MATCH($B64,MMWR_RATING_STATE_ROLLUP_QST[MMWR_RATING_STATE_ROLLUP_QST],0),MATCH(D$9,MMWR_RATING_STATE_ROLLUP_QST[#Headers],0)),"ERROR"))</f>
        <v>30.8</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22</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134.9090909091</v>
      </c>
      <c r="J64" s="42"/>
      <c r="K64" s="42"/>
      <c r="L64" s="42"/>
      <c r="M64" s="42"/>
      <c r="N64" s="28"/>
    </row>
    <row r="65" spans="1:14" ht="13.2" x14ac:dyDescent="0.25">
      <c r="A65" s="25"/>
      <c r="B65" s="8" t="str">
        <f>VLOOKUP($B$15,DISTRICT_STATES[],15,0)</f>
        <v>Virginia</v>
      </c>
      <c r="C65" s="155">
        <f>IF($B65=" ","",IFERROR(INDEX(MMWR_RATING_STATE_ROLLUP_QST[],MATCH($B65,MMWR_RATING_STATE_ROLLUP_QST[MMWR_RATING_STATE_ROLLUP_QST],0),MATCH(C$9,MMWR_RATING_STATE_ROLLUP_QST[#Headers],0)),"ERROR"))</f>
        <v>522</v>
      </c>
      <c r="D65" s="156">
        <f>IF($B65=" ","",IFERROR(INDEX(MMWR_RATING_STATE_ROLLUP_QST[],MATCH($B65,MMWR_RATING_STATE_ROLLUP_QST[MMWR_RATING_STATE_ROLLUP_QST],0),MATCH(D$9,MMWR_RATING_STATE_ROLLUP_QST[#Headers],0)),"ERROR"))</f>
        <v>85.197318007700005</v>
      </c>
      <c r="E65" s="157">
        <f>IF($B65=" ","",IFERROR(INDEX(MMWR_RATING_STATE_ROLLUP_QST[],MATCH($B65,MMWR_RATING_STATE_ROLLUP_QST[MMWR_RATING_STATE_ROLLUP_QST],0),MATCH(E$9,MMWR_RATING_STATE_ROLLUP_QST[#Headers],0))/$C65,"ERROR"))</f>
        <v>0.17432950191570881</v>
      </c>
      <c r="F65" s="155">
        <f>IF($B65=" ","",IFERROR(INDEX(MMWR_RATING_STATE_ROLLUP_QST[],MATCH($B65,MMWR_RATING_STATE_ROLLUP_QST[MMWR_RATING_STATE_ROLLUP_QST],0),MATCH(F$9,MMWR_RATING_STATE_ROLLUP_QST[#Headers],0)),"ERROR"))</f>
        <v>114</v>
      </c>
      <c r="G65" s="155">
        <f>IF($B65=" ","",IFERROR(INDEX(MMWR_RATING_STATE_ROLLUP_QST[],MATCH($B65,MMWR_RATING_STATE_ROLLUP_QST[MMWR_RATING_STATE_ROLLUP_QST],0),MATCH(G$9,MMWR_RATING_STATE_ROLLUP_QST[#Headers],0)),"ERROR"))</f>
        <v>1408</v>
      </c>
      <c r="H65" s="156">
        <f>IF($B65=" ","",IFERROR(INDEX(MMWR_RATING_STATE_ROLLUP_QST[],MATCH($B65,MMWR_RATING_STATE_ROLLUP_QST[MMWR_RATING_STATE_ROLLUP_QST],0),MATCH(H$9,MMWR_RATING_STATE_ROLLUP_QST[#Headers],0)),"ERROR"))</f>
        <v>145.62280701750001</v>
      </c>
      <c r="I65" s="156">
        <f>IF($B65=" ","",IFERROR(INDEX(MMWR_RATING_STATE_ROLLUP_QST[],MATCH($B65,MMWR_RATING_STATE_ROLLUP_QST[MMWR_RATING_STATE_ROLLUP_QST],0),MATCH(I$9,MMWR_RATING_STATE_ROLLUP_QST[#Headers],0)),"ERROR"))</f>
        <v>148.27485795449999</v>
      </c>
      <c r="J65" s="42"/>
      <c r="K65" s="42"/>
      <c r="L65" s="42"/>
      <c r="M65" s="42"/>
      <c r="N65" s="28"/>
    </row>
    <row r="66" spans="1:14" ht="13.2" x14ac:dyDescent="0.25">
      <c r="A66" s="25"/>
      <c r="B66" s="8" t="str">
        <f>VLOOKUP($B$15,DISTRICT_STATES[],16,0)</f>
        <v>West Virginia</v>
      </c>
      <c r="C66" s="155">
        <f>IF($B66=" ","",IFERROR(INDEX(MMWR_RATING_STATE_ROLLUP_QST[],MATCH($B66,MMWR_RATING_STATE_ROLLUP_QST[MMWR_RATING_STATE_ROLLUP_QST],0),MATCH(C$9,MMWR_RATING_STATE_ROLLUP_QST[#Headers],0)),"ERROR"))</f>
        <v>18</v>
      </c>
      <c r="D66" s="156">
        <f>IF($B66=" ","",IFERROR(INDEX(MMWR_RATING_STATE_ROLLUP_QST[],MATCH($B66,MMWR_RATING_STATE_ROLLUP_QST[MMWR_RATING_STATE_ROLLUP_QST],0),MATCH(D$9,MMWR_RATING_STATE_ROLLUP_QST[#Headers],0)),"ERROR"))</f>
        <v>65.944444444400006</v>
      </c>
      <c r="E66" s="157">
        <f>IF($B66=" ","",IFERROR(INDEX(MMWR_RATING_STATE_ROLLUP_QST[],MATCH($B66,MMWR_RATING_STATE_ROLLUP_QST[MMWR_RATING_STATE_ROLLUP_QST],0),MATCH(E$9,MMWR_RATING_STATE_ROLLUP_QST[#Headers],0))/$C66,"ERROR"))</f>
        <v>0.1111111111111111</v>
      </c>
      <c r="F66" s="155">
        <f>IF($B66=" ","",IFERROR(INDEX(MMWR_RATING_STATE_ROLLUP_QST[],MATCH($B66,MMWR_RATING_STATE_ROLLUP_QST[MMWR_RATING_STATE_ROLLUP_QST],0),MATCH(F$9,MMWR_RATING_STATE_ROLLUP_QST[#Headers],0)),"ERROR"))</f>
        <v>1</v>
      </c>
      <c r="G66" s="155">
        <f>IF($B66=" ","",IFERROR(INDEX(MMWR_RATING_STATE_ROLLUP_QST[],MATCH($B66,MMWR_RATING_STATE_ROLLUP_QST[MMWR_RATING_STATE_ROLLUP_QST],0),MATCH(G$9,MMWR_RATING_STATE_ROLLUP_QST[#Headers],0)),"ERROR"))</f>
        <v>62</v>
      </c>
      <c r="H66" s="156">
        <f>IF($B66=" ","",IFERROR(INDEX(MMWR_RATING_STATE_ROLLUP_QST[],MATCH($B66,MMWR_RATING_STATE_ROLLUP_QST[MMWR_RATING_STATE_ROLLUP_QST],0),MATCH(H$9,MMWR_RATING_STATE_ROLLUP_QST[#Headers],0)),"ERROR"))</f>
        <v>107</v>
      </c>
      <c r="I66" s="156">
        <f>IF($B66=" ","",IFERROR(INDEX(MMWR_RATING_STATE_ROLLUP_QST[],MATCH($B66,MMWR_RATING_STATE_ROLLUP_QST[MMWR_RATING_STATE_ROLLUP_QST],0),MATCH(I$9,MMWR_RATING_STATE_ROLLUP_QST[#Headers],0)),"ERROR"))</f>
        <v>126.5806451613</v>
      </c>
      <c r="J66" s="42"/>
      <c r="K66" s="42"/>
      <c r="L66" s="42"/>
      <c r="M66" s="42"/>
      <c r="N66" s="28"/>
    </row>
    <row r="67" spans="1:14" ht="13.2" x14ac:dyDescent="0.25">
      <c r="A67" s="25"/>
      <c r="B67" s="372" t="s">
        <v>1053</v>
      </c>
      <c r="C67" s="373"/>
      <c r="D67" s="373"/>
      <c r="E67" s="373"/>
      <c r="F67" s="373"/>
      <c r="G67" s="373"/>
      <c r="H67" s="373"/>
      <c r="I67" s="373"/>
      <c r="J67" s="373"/>
      <c r="K67" s="373"/>
      <c r="L67" s="373"/>
      <c r="M67" s="385"/>
      <c r="N67" s="28"/>
    </row>
    <row r="68" spans="1:14" ht="26.4" x14ac:dyDescent="0.25">
      <c r="A68" s="25"/>
      <c r="B68" s="253" t="s">
        <v>1049</v>
      </c>
      <c r="C68" s="155">
        <f>IF($B68=" ","",IFERROR(INDEX(MMWR_RATING_STATE_ROLLUP_BDD[],MATCH($B68,MMWR_RATING_STATE_ROLLUP_BDD[MMWR_RATING_STATE_ROLLUP_BDD],0),MATCH(C$9,MMWR_RATING_STATE_ROLLUP_BDD[#Headers],0)),"ERROR"))</f>
        <v>8747</v>
      </c>
      <c r="D68" s="156">
        <f>IF($B68=" ","",IFERROR(INDEX(MMWR_RATING_STATE_ROLLUP_BDD[],MATCH($B68,MMWR_RATING_STATE_ROLLUP_BDD[MMWR_RATING_STATE_ROLLUP_BDD],0),MATCH(D$9,MMWR_RATING_STATE_ROLLUP_BDD[#Headers],0)),"ERROR"))</f>
        <v>72.010746541700001</v>
      </c>
      <c r="E68" s="157">
        <f>IF($B68=" ","",IFERROR(INDEX(MMWR_RATING_STATE_ROLLUP_BDD[],MATCH($B68,MMWR_RATING_STATE_ROLLUP_BDD[MMWR_RATING_STATE_ROLLUP_BDD],0),MATCH(E$9,MMWR_RATING_STATE_ROLLUP_BDD[#Headers],0))/$C68,"ERROR"))</f>
        <v>0.10232079570138333</v>
      </c>
      <c r="F68" s="155">
        <f>IF($B68=" ","",IFERROR(INDEX(MMWR_RATING_STATE_ROLLUP_BDD[],MATCH($B68,MMWR_RATING_STATE_ROLLUP_BDD[MMWR_RATING_STATE_ROLLUP_BDD],0),MATCH(F$9,MMWR_RATING_STATE_ROLLUP_BDD[#Headers],0)),"ERROR"))</f>
        <v>1812</v>
      </c>
      <c r="G68" s="155">
        <f>IF($B68=" ","",IFERROR(INDEX(MMWR_RATING_STATE_ROLLUP_BDD[],MATCH($B68,MMWR_RATING_STATE_ROLLUP_BDD[MMWR_RATING_STATE_ROLLUP_BDD],0),MATCH(G$9,MMWR_RATING_STATE_ROLLUP_BDD[#Headers],0)),"ERROR"))</f>
        <v>23455</v>
      </c>
      <c r="H68" s="156">
        <f>IF($B68=" ","",IFERROR(INDEX(MMWR_RATING_STATE_ROLLUP_BDD[],MATCH($B68,MMWR_RATING_STATE_ROLLUP_BDD[MMWR_RATING_STATE_ROLLUP_BDD],0),MATCH(H$9,MMWR_RATING_STATE_ROLLUP_BDD[#Headers],0)),"ERROR"))</f>
        <v>134.50055187640001</v>
      </c>
      <c r="I68" s="156">
        <f>IF($B68=" ","",IFERROR(INDEX(MMWR_RATING_STATE_ROLLUP_BDD[],MATCH($B68,MMWR_RATING_STATE_ROLLUP_BDD[MMWR_RATING_STATE_ROLLUP_BDD],0),MATCH(I$9,MMWR_RATING_STATE_ROLLUP_BDD[#Headers],0)),"ERROR"))</f>
        <v>150.97437646559999</v>
      </c>
      <c r="J68" s="42"/>
      <c r="K68" s="42"/>
      <c r="L68" s="42"/>
      <c r="M68" s="42"/>
      <c r="N68" s="28"/>
    </row>
    <row r="69" spans="1:14" ht="13.2" x14ac:dyDescent="0.25">
      <c r="A69" s="25"/>
      <c r="B69" s="251" t="str">
        <f>INDEX(DISTRICT_STATES[],MATCH($B$5,DISTRICT_RO[District],0),1)</f>
        <v>North Atlantic</v>
      </c>
      <c r="C69" s="155">
        <f>IF($B69=" ","",IFERROR(INDEX(MMWR_RATING_STATE_ROLLUP_BDD[],MATCH($B69,MMWR_RATING_STATE_ROLLUP_BDD[MMWR_RATING_STATE_ROLLUP_BDD],0),MATCH(C$9,MMWR_RATING_STATE_ROLLUP_BDD[#Headers],0)),"ERROR"))</f>
        <v>2615</v>
      </c>
      <c r="D69" s="156">
        <f>IF($B69=" ","",IFERROR(INDEX(MMWR_RATING_STATE_ROLLUP_BDD[],MATCH($B69,MMWR_RATING_STATE_ROLLUP_BDD[MMWR_RATING_STATE_ROLLUP_BDD],0),MATCH(D$9,MMWR_RATING_STATE_ROLLUP_BDD[#Headers],0)),"ERROR"))</f>
        <v>72.052007648200004</v>
      </c>
      <c r="E69" s="157">
        <f>IF($B69=" ","",IFERROR(INDEX(MMWR_RATING_STATE_ROLLUP_BDD[],MATCH($B69,MMWR_RATING_STATE_ROLLUP_BDD[MMWR_RATING_STATE_ROLLUP_BDD],0),MATCH(E$9,MMWR_RATING_STATE_ROLLUP_BDD[#Headers],0))/$C69,"ERROR"))</f>
        <v>0.10669216061185469</v>
      </c>
      <c r="F69" s="155">
        <f>IF($B69=" ","",IFERROR(INDEX(MMWR_RATING_STATE_ROLLUP_BDD[],MATCH($B69,MMWR_RATING_STATE_ROLLUP_BDD[MMWR_RATING_STATE_ROLLUP_BDD],0),MATCH(F$9,MMWR_RATING_STATE_ROLLUP_BDD[#Headers],0)),"ERROR"))</f>
        <v>420</v>
      </c>
      <c r="G69" s="155">
        <f>IF($B69=" ","",IFERROR(INDEX(MMWR_RATING_STATE_ROLLUP_BDD[],MATCH($B69,MMWR_RATING_STATE_ROLLUP_BDD[MMWR_RATING_STATE_ROLLUP_BDD],0),MATCH(G$9,MMWR_RATING_STATE_ROLLUP_BDD[#Headers],0)),"ERROR"))</f>
        <v>5234</v>
      </c>
      <c r="H69" s="156">
        <f>IF($B69=" ","",IFERROR(INDEX(MMWR_RATING_STATE_ROLLUP_BDD[],MATCH($B69,MMWR_RATING_STATE_ROLLUP_BDD[MMWR_RATING_STATE_ROLLUP_BDD],0),MATCH(H$9,MMWR_RATING_STATE_ROLLUP_BDD[#Headers],0)),"ERROR"))</f>
        <v>141.6738095238</v>
      </c>
      <c r="I69" s="156">
        <f>IF($B69=" ","",IFERROR(INDEX(MMWR_RATING_STATE_ROLLUP_BDD[],MATCH($B69,MMWR_RATING_STATE_ROLLUP_BDD[MMWR_RATING_STATE_ROLLUP_BDD],0),MATCH(I$9,MMWR_RATING_STATE_ROLLUP_BDD[#Headers],0)),"ERROR"))</f>
        <v>139.45854031330001</v>
      </c>
      <c r="J69" s="42"/>
      <c r="K69" s="42"/>
      <c r="L69" s="42"/>
      <c r="M69" s="42"/>
      <c r="N69" s="28"/>
    </row>
    <row r="70" spans="1:14" ht="13.2" x14ac:dyDescent="0.25">
      <c r="A70" s="25"/>
      <c r="B70" s="8" t="str">
        <f>VLOOKUP($B$15,DISTRICT_STATES[],2,0)</f>
        <v>Connecticut</v>
      </c>
      <c r="C70" s="155">
        <f>IF($B70=" ","",IFERROR(INDEX(MMWR_RATING_STATE_ROLLUP_BDD[],MATCH($B70,MMWR_RATING_STATE_ROLLUP_BDD[MMWR_RATING_STATE_ROLLUP_BDD],0),MATCH(C$9,MMWR_RATING_STATE_ROLLUP_BDD[#Headers],0)),"ERROR"))</f>
        <v>50</v>
      </c>
      <c r="D70" s="156">
        <f>IF($B70=" ","",IFERROR(INDEX(MMWR_RATING_STATE_ROLLUP_BDD[],MATCH($B70,MMWR_RATING_STATE_ROLLUP_BDD[MMWR_RATING_STATE_ROLLUP_BDD],0),MATCH(D$9,MMWR_RATING_STATE_ROLLUP_BDD[#Headers],0)),"ERROR"))</f>
        <v>56.94</v>
      </c>
      <c r="E70" s="157">
        <f>IF($B70=" ","",IFERROR(INDEX(MMWR_RATING_STATE_ROLLUP_BDD[],MATCH($B70,MMWR_RATING_STATE_ROLLUP_BDD[MMWR_RATING_STATE_ROLLUP_BDD],0),MATCH(E$9,MMWR_RATING_STATE_ROLLUP_BDD[#Headers],0))/$C70,"ERROR"))</f>
        <v>0.04</v>
      </c>
      <c r="F70" s="155">
        <f>IF($B70=" ","",IFERROR(INDEX(MMWR_RATING_STATE_ROLLUP_BDD[],MATCH($B70,MMWR_RATING_STATE_ROLLUP_BDD[MMWR_RATING_STATE_ROLLUP_BDD],0),MATCH(F$9,MMWR_RATING_STATE_ROLLUP_BDD[#Headers],0)),"ERROR"))</f>
        <v>9</v>
      </c>
      <c r="G70" s="155">
        <f>IF($B70=" ","",IFERROR(INDEX(MMWR_RATING_STATE_ROLLUP_BDD[],MATCH($B70,MMWR_RATING_STATE_ROLLUP_BDD[MMWR_RATING_STATE_ROLLUP_BDD],0),MATCH(G$9,MMWR_RATING_STATE_ROLLUP_BDD[#Headers],0)),"ERROR"))</f>
        <v>72</v>
      </c>
      <c r="H70" s="156">
        <f>IF($B70=" ","",IFERROR(INDEX(MMWR_RATING_STATE_ROLLUP_BDD[],MATCH($B70,MMWR_RATING_STATE_ROLLUP_BDD[MMWR_RATING_STATE_ROLLUP_BDD],0),MATCH(H$9,MMWR_RATING_STATE_ROLLUP_BDD[#Headers],0)),"ERROR"))</f>
        <v>122.44444444440001</v>
      </c>
      <c r="I70" s="156">
        <f>IF($B70=" ","",IFERROR(INDEX(MMWR_RATING_STATE_ROLLUP_BDD[],MATCH($B70,MMWR_RATING_STATE_ROLLUP_BDD[MMWR_RATING_STATE_ROLLUP_BDD],0),MATCH(I$9,MMWR_RATING_STATE_ROLLUP_BDD[#Headers],0)),"ERROR"))</f>
        <v>116.4166666667</v>
      </c>
      <c r="J70" s="42"/>
      <c r="K70" s="42"/>
      <c r="L70" s="42"/>
      <c r="M70" s="42"/>
      <c r="N70" s="28"/>
    </row>
    <row r="71" spans="1:14" ht="13.2" x14ac:dyDescent="0.25">
      <c r="A71" s="25"/>
      <c r="B71" s="8" t="str">
        <f>VLOOKUP($B$15,DISTRICT_STATES[],3,0)</f>
        <v>Delaware</v>
      </c>
      <c r="C71" s="155">
        <f>IF($B71=" ","",IFERROR(INDEX(MMWR_RATING_STATE_ROLLUP_BDD[],MATCH($B71,MMWR_RATING_STATE_ROLLUP_BDD[MMWR_RATING_STATE_ROLLUP_BDD],0),MATCH(C$9,MMWR_RATING_STATE_ROLLUP_BDD[#Headers],0)),"ERROR"))</f>
        <v>15</v>
      </c>
      <c r="D71" s="156">
        <f>IF($B71=" ","",IFERROR(INDEX(MMWR_RATING_STATE_ROLLUP_BDD[],MATCH($B71,MMWR_RATING_STATE_ROLLUP_BDD[MMWR_RATING_STATE_ROLLUP_BDD],0),MATCH(D$9,MMWR_RATING_STATE_ROLLUP_BDD[#Headers],0)),"ERROR"))</f>
        <v>83.2</v>
      </c>
      <c r="E71" s="157">
        <f>IF($B71=" ","",IFERROR(INDEX(MMWR_RATING_STATE_ROLLUP_BDD[],MATCH($B71,MMWR_RATING_STATE_ROLLUP_BDD[MMWR_RATING_STATE_ROLLUP_BDD],0),MATCH(E$9,MMWR_RATING_STATE_ROLLUP_BDD[#Headers],0))/$C71,"ERROR"))</f>
        <v>0.2</v>
      </c>
      <c r="F71" s="155">
        <f>IF($B71=" ","",IFERROR(INDEX(MMWR_RATING_STATE_ROLLUP_BDD[],MATCH($B71,MMWR_RATING_STATE_ROLLUP_BDD[MMWR_RATING_STATE_ROLLUP_BDD],0),MATCH(F$9,MMWR_RATING_STATE_ROLLUP_BDD[#Headers],0)),"ERROR"))</f>
        <v>3</v>
      </c>
      <c r="G71" s="155">
        <f>IF($B71=" ","",IFERROR(INDEX(MMWR_RATING_STATE_ROLLUP_BDD[],MATCH($B71,MMWR_RATING_STATE_ROLLUP_BDD[MMWR_RATING_STATE_ROLLUP_BDD],0),MATCH(G$9,MMWR_RATING_STATE_ROLLUP_BDD[#Headers],0)),"ERROR"))</f>
        <v>37</v>
      </c>
      <c r="H71" s="156">
        <f>IF($B71=" ","",IFERROR(INDEX(MMWR_RATING_STATE_ROLLUP_BDD[],MATCH($B71,MMWR_RATING_STATE_ROLLUP_BDD[MMWR_RATING_STATE_ROLLUP_BDD],0),MATCH(H$9,MMWR_RATING_STATE_ROLLUP_BDD[#Headers],0)),"ERROR"))</f>
        <v>147.3333333333</v>
      </c>
      <c r="I71" s="156">
        <f>IF($B71=" ","",IFERROR(INDEX(MMWR_RATING_STATE_ROLLUP_BDD[],MATCH($B71,MMWR_RATING_STATE_ROLLUP_BDD[MMWR_RATING_STATE_ROLLUP_BDD],0),MATCH(I$9,MMWR_RATING_STATE_ROLLUP_BDD[#Headers],0)),"ERROR"))</f>
        <v>121.5405405405</v>
      </c>
      <c r="J71" s="42"/>
      <c r="K71" s="42"/>
      <c r="L71" s="42"/>
      <c r="M71" s="42"/>
      <c r="N71" s="28"/>
    </row>
    <row r="72" spans="1:14" ht="13.2" x14ac:dyDescent="0.25">
      <c r="A72" s="25"/>
      <c r="B72" s="8" t="str">
        <f>VLOOKUP($B$15,DISTRICT_STATES[],4,0)</f>
        <v>District of Columbia</v>
      </c>
      <c r="C72" s="155">
        <f>IF($B72=" ","",IFERROR(INDEX(MMWR_RATING_STATE_ROLLUP_BDD[],MATCH($B72,MMWR_RATING_STATE_ROLLUP_BDD[MMWR_RATING_STATE_ROLLUP_BDD],0),MATCH(C$9,MMWR_RATING_STATE_ROLLUP_BDD[#Headers],0)),"ERROR"))</f>
        <v>21</v>
      </c>
      <c r="D72" s="156">
        <f>IF($B72=" ","",IFERROR(INDEX(MMWR_RATING_STATE_ROLLUP_BDD[],MATCH($B72,MMWR_RATING_STATE_ROLLUP_BDD[MMWR_RATING_STATE_ROLLUP_BDD],0),MATCH(D$9,MMWR_RATING_STATE_ROLLUP_BDD[#Headers],0)),"ERROR"))</f>
        <v>66.047619047599994</v>
      </c>
      <c r="E72" s="157">
        <f>IF($B72=" ","",IFERROR(INDEX(MMWR_RATING_STATE_ROLLUP_BDD[],MATCH($B72,MMWR_RATING_STATE_ROLLUP_BDD[MMWR_RATING_STATE_ROLLUP_BDD],0),MATCH(E$9,MMWR_RATING_STATE_ROLLUP_BDD[#Headers],0))/$C72,"ERROR"))</f>
        <v>4.7619047619047616E-2</v>
      </c>
      <c r="F72" s="155">
        <f>IF($B72=" ","",IFERROR(INDEX(MMWR_RATING_STATE_ROLLUP_BDD[],MATCH($B72,MMWR_RATING_STATE_ROLLUP_BDD[MMWR_RATING_STATE_ROLLUP_BDD],0),MATCH(F$9,MMWR_RATING_STATE_ROLLUP_BDD[#Headers],0)),"ERROR"))</f>
        <v>6</v>
      </c>
      <c r="G72" s="155">
        <f>IF($B72=" ","",IFERROR(INDEX(MMWR_RATING_STATE_ROLLUP_BDD[],MATCH($B72,MMWR_RATING_STATE_ROLLUP_BDD[MMWR_RATING_STATE_ROLLUP_BDD],0),MATCH(G$9,MMWR_RATING_STATE_ROLLUP_BDD[#Headers],0)),"ERROR"))</f>
        <v>32</v>
      </c>
      <c r="H72" s="156">
        <f>IF($B72=" ","",IFERROR(INDEX(MMWR_RATING_STATE_ROLLUP_BDD[],MATCH($B72,MMWR_RATING_STATE_ROLLUP_BDD[MMWR_RATING_STATE_ROLLUP_BDD],0),MATCH(H$9,MMWR_RATING_STATE_ROLLUP_BDD[#Headers],0)),"ERROR"))</f>
        <v>111.8333333333</v>
      </c>
      <c r="I72" s="156">
        <f>IF($B72=" ","",IFERROR(INDEX(MMWR_RATING_STATE_ROLLUP_BDD[],MATCH($B72,MMWR_RATING_STATE_ROLLUP_BDD[MMWR_RATING_STATE_ROLLUP_BDD],0),MATCH(I$9,MMWR_RATING_STATE_ROLLUP_BDD[#Headers],0)),"ERROR"))</f>
        <v>122.75</v>
      </c>
      <c r="J72" s="42"/>
      <c r="K72" s="42"/>
      <c r="L72" s="42"/>
      <c r="M72" s="42"/>
      <c r="N72" s="28"/>
    </row>
    <row r="73" spans="1:14" ht="13.2" x14ac:dyDescent="0.25">
      <c r="A73" s="25"/>
      <c r="B73" s="8" t="str">
        <f>VLOOKUP($B$15,DISTRICT_STATES[],5,0)</f>
        <v>Maine</v>
      </c>
      <c r="C73" s="155">
        <f>IF($B73=" ","",IFERROR(INDEX(MMWR_RATING_STATE_ROLLUP_BDD[],MATCH($B73,MMWR_RATING_STATE_ROLLUP_BDD[MMWR_RATING_STATE_ROLLUP_BDD],0),MATCH(C$9,MMWR_RATING_STATE_ROLLUP_BDD[#Headers],0)),"ERROR"))</f>
        <v>15</v>
      </c>
      <c r="D73" s="156">
        <f>IF($B73=" ","",IFERROR(INDEX(MMWR_RATING_STATE_ROLLUP_BDD[],MATCH($B73,MMWR_RATING_STATE_ROLLUP_BDD[MMWR_RATING_STATE_ROLLUP_BDD],0),MATCH(D$9,MMWR_RATING_STATE_ROLLUP_BDD[#Headers],0)),"ERROR"))</f>
        <v>61.133333333300001</v>
      </c>
      <c r="E73" s="157">
        <f>IF($B73=" ","",IFERROR(INDEX(MMWR_RATING_STATE_ROLLUP_BDD[],MATCH($B73,MMWR_RATING_STATE_ROLLUP_BDD[MMWR_RATING_STATE_ROLLUP_BDD],0),MATCH(E$9,MMWR_RATING_STATE_ROLLUP_BDD[#Headers],0))/$C73,"ERROR"))</f>
        <v>6.6666666666666666E-2</v>
      </c>
      <c r="F73" s="155">
        <f>IF($B73=" ","",IFERROR(INDEX(MMWR_RATING_STATE_ROLLUP_BDD[],MATCH($B73,MMWR_RATING_STATE_ROLLUP_BDD[MMWR_RATING_STATE_ROLLUP_BDD],0),MATCH(F$9,MMWR_RATING_STATE_ROLLUP_BDD[#Headers],0)),"ERROR"))</f>
        <v>3</v>
      </c>
      <c r="G73" s="155">
        <f>IF($B73=" ","",IFERROR(INDEX(MMWR_RATING_STATE_ROLLUP_BDD[],MATCH($B73,MMWR_RATING_STATE_ROLLUP_BDD[MMWR_RATING_STATE_ROLLUP_BDD],0),MATCH(G$9,MMWR_RATING_STATE_ROLLUP_BDD[#Headers],0)),"ERROR"))</f>
        <v>34</v>
      </c>
      <c r="H73" s="156">
        <f>IF($B73=" ","",IFERROR(INDEX(MMWR_RATING_STATE_ROLLUP_BDD[],MATCH($B73,MMWR_RATING_STATE_ROLLUP_BDD[MMWR_RATING_STATE_ROLLUP_BDD],0),MATCH(H$9,MMWR_RATING_STATE_ROLLUP_BDD[#Headers],0)),"ERROR"))</f>
        <v>102.6666666667</v>
      </c>
      <c r="I73" s="156">
        <f>IF($B73=" ","",IFERROR(INDEX(MMWR_RATING_STATE_ROLLUP_BDD[],MATCH($B73,MMWR_RATING_STATE_ROLLUP_BDD[MMWR_RATING_STATE_ROLLUP_BDD],0),MATCH(I$9,MMWR_RATING_STATE_ROLLUP_BDD[#Headers],0)),"ERROR"))</f>
        <v>116.73529411760001</v>
      </c>
      <c r="J73" s="42"/>
      <c r="K73" s="42"/>
      <c r="L73" s="42"/>
      <c r="M73" s="42"/>
      <c r="N73" s="28"/>
    </row>
    <row r="74" spans="1:14" ht="13.2" x14ac:dyDescent="0.25">
      <c r="A74" s="25"/>
      <c r="B74" s="8" t="str">
        <f>VLOOKUP($B$15,DISTRICT_STATES[],6,0)</f>
        <v>Maryland</v>
      </c>
      <c r="C74" s="155">
        <f>IF($B74=" ","",IFERROR(INDEX(MMWR_RATING_STATE_ROLLUP_BDD[],MATCH($B74,MMWR_RATING_STATE_ROLLUP_BDD[MMWR_RATING_STATE_ROLLUP_BDD],0),MATCH(C$9,MMWR_RATING_STATE_ROLLUP_BDD[#Headers],0)),"ERROR"))</f>
        <v>257</v>
      </c>
      <c r="D74" s="156">
        <f>IF($B74=" ","",IFERROR(INDEX(MMWR_RATING_STATE_ROLLUP_BDD[],MATCH($B74,MMWR_RATING_STATE_ROLLUP_BDD[MMWR_RATING_STATE_ROLLUP_BDD],0),MATCH(D$9,MMWR_RATING_STATE_ROLLUP_BDD[#Headers],0)),"ERROR"))</f>
        <v>75.505836575900005</v>
      </c>
      <c r="E74" s="157">
        <f>IF($B74=" ","",IFERROR(INDEX(MMWR_RATING_STATE_ROLLUP_BDD[],MATCH($B74,MMWR_RATING_STATE_ROLLUP_BDD[MMWR_RATING_STATE_ROLLUP_BDD],0),MATCH(E$9,MMWR_RATING_STATE_ROLLUP_BDD[#Headers],0))/$C74,"ERROR"))</f>
        <v>0.10116731517509728</v>
      </c>
      <c r="F74" s="155">
        <f>IF($B74=" ","",IFERROR(INDEX(MMWR_RATING_STATE_ROLLUP_BDD[],MATCH($B74,MMWR_RATING_STATE_ROLLUP_BDD[MMWR_RATING_STATE_ROLLUP_BDD],0),MATCH(F$9,MMWR_RATING_STATE_ROLLUP_BDD[#Headers],0)),"ERROR"))</f>
        <v>46</v>
      </c>
      <c r="G74" s="155">
        <f>IF($B74=" ","",IFERROR(INDEX(MMWR_RATING_STATE_ROLLUP_BDD[],MATCH($B74,MMWR_RATING_STATE_ROLLUP_BDD[MMWR_RATING_STATE_ROLLUP_BDD],0),MATCH(G$9,MMWR_RATING_STATE_ROLLUP_BDD[#Headers],0)),"ERROR"))</f>
        <v>588</v>
      </c>
      <c r="H74" s="156">
        <f>IF($B74=" ","",IFERROR(INDEX(MMWR_RATING_STATE_ROLLUP_BDD[],MATCH($B74,MMWR_RATING_STATE_ROLLUP_BDD[MMWR_RATING_STATE_ROLLUP_BDD],0),MATCH(H$9,MMWR_RATING_STATE_ROLLUP_BDD[#Headers],0)),"ERROR"))</f>
        <v>166.3913043478</v>
      </c>
      <c r="I74" s="156">
        <f>IF($B74=" ","",IFERROR(INDEX(MMWR_RATING_STATE_ROLLUP_BDD[],MATCH($B74,MMWR_RATING_STATE_ROLLUP_BDD[MMWR_RATING_STATE_ROLLUP_BDD],0),MATCH(I$9,MMWR_RATING_STATE_ROLLUP_BDD[#Headers],0)),"ERROR"))</f>
        <v>151.15476190480001</v>
      </c>
      <c r="J74" s="42"/>
      <c r="K74" s="42"/>
      <c r="L74" s="42"/>
      <c r="M74" s="42"/>
      <c r="N74" s="28"/>
    </row>
    <row r="75" spans="1:14" ht="13.2" x14ac:dyDescent="0.25">
      <c r="A75" s="25"/>
      <c r="B75" s="8" t="str">
        <f>VLOOKUP($B$15,DISTRICT_STATES[],7,0)</f>
        <v>Massachusetts</v>
      </c>
      <c r="C75" s="155">
        <f>IF($B75=" ","",IFERROR(INDEX(MMWR_RATING_STATE_ROLLUP_BDD[],MATCH($B75,MMWR_RATING_STATE_ROLLUP_BDD[MMWR_RATING_STATE_ROLLUP_BDD],0),MATCH(C$9,MMWR_RATING_STATE_ROLLUP_BDD[#Headers],0)),"ERROR"))</f>
        <v>36</v>
      </c>
      <c r="D75" s="156">
        <f>IF($B75=" ","",IFERROR(INDEX(MMWR_RATING_STATE_ROLLUP_BDD[],MATCH($B75,MMWR_RATING_STATE_ROLLUP_BDD[MMWR_RATING_STATE_ROLLUP_BDD],0),MATCH(D$9,MMWR_RATING_STATE_ROLLUP_BDD[#Headers],0)),"ERROR"))</f>
        <v>79.888888888899999</v>
      </c>
      <c r="E75" s="157">
        <f>IF($B75=" ","",IFERROR(INDEX(MMWR_RATING_STATE_ROLLUP_BDD[],MATCH($B75,MMWR_RATING_STATE_ROLLUP_BDD[MMWR_RATING_STATE_ROLLUP_BDD],0),MATCH(E$9,MMWR_RATING_STATE_ROLLUP_BDD[#Headers],0))/$C75,"ERROR"))</f>
        <v>0.19444444444444445</v>
      </c>
      <c r="F75" s="155">
        <f>IF($B75=" ","",IFERROR(INDEX(MMWR_RATING_STATE_ROLLUP_BDD[],MATCH($B75,MMWR_RATING_STATE_ROLLUP_BDD[MMWR_RATING_STATE_ROLLUP_BDD],0),MATCH(F$9,MMWR_RATING_STATE_ROLLUP_BDD[#Headers],0)),"ERROR"))</f>
        <v>5</v>
      </c>
      <c r="G75" s="155">
        <f>IF($B75=" ","",IFERROR(INDEX(MMWR_RATING_STATE_ROLLUP_BDD[],MATCH($B75,MMWR_RATING_STATE_ROLLUP_BDD[MMWR_RATING_STATE_ROLLUP_BDD],0),MATCH(G$9,MMWR_RATING_STATE_ROLLUP_BDD[#Headers],0)),"ERROR"))</f>
        <v>121</v>
      </c>
      <c r="H75" s="156">
        <f>IF($B75=" ","",IFERROR(INDEX(MMWR_RATING_STATE_ROLLUP_BDD[],MATCH($B75,MMWR_RATING_STATE_ROLLUP_BDD[MMWR_RATING_STATE_ROLLUP_BDD],0),MATCH(H$9,MMWR_RATING_STATE_ROLLUP_BDD[#Headers],0)),"ERROR"))</f>
        <v>132</v>
      </c>
      <c r="I75" s="156">
        <f>IF($B75=" ","",IFERROR(INDEX(MMWR_RATING_STATE_ROLLUP_BDD[],MATCH($B75,MMWR_RATING_STATE_ROLLUP_BDD[MMWR_RATING_STATE_ROLLUP_BDD],0),MATCH(I$9,MMWR_RATING_STATE_ROLLUP_BDD[#Headers],0)),"ERROR"))</f>
        <v>155.60330578509999</v>
      </c>
      <c r="J75" s="42"/>
      <c r="K75" s="42"/>
      <c r="L75" s="42"/>
      <c r="M75" s="42"/>
      <c r="N75" s="28"/>
    </row>
    <row r="76" spans="1:14" ht="13.2" x14ac:dyDescent="0.25">
      <c r="A76" s="25"/>
      <c r="B76" s="8" t="str">
        <f>VLOOKUP($B$15,DISTRICT_STATES[],8,0)</f>
        <v>New Hampshire</v>
      </c>
      <c r="C76" s="155">
        <f>IF($B76=" ","",IFERROR(INDEX(MMWR_RATING_STATE_ROLLUP_BDD[],MATCH($B76,MMWR_RATING_STATE_ROLLUP_BDD[MMWR_RATING_STATE_ROLLUP_BDD],0),MATCH(C$9,MMWR_RATING_STATE_ROLLUP_BDD[#Headers],0)),"ERROR"))</f>
        <v>15</v>
      </c>
      <c r="D76" s="156">
        <f>IF($B76=" ","",IFERROR(INDEX(MMWR_RATING_STATE_ROLLUP_BDD[],MATCH($B76,MMWR_RATING_STATE_ROLLUP_BDD[MMWR_RATING_STATE_ROLLUP_BDD],0),MATCH(D$9,MMWR_RATING_STATE_ROLLUP_BDD[#Headers],0)),"ERROR"))</f>
        <v>94.666666666699996</v>
      </c>
      <c r="E76" s="157">
        <f>IF($B76=" ","",IFERROR(INDEX(MMWR_RATING_STATE_ROLLUP_BDD[],MATCH($B76,MMWR_RATING_STATE_ROLLUP_BDD[MMWR_RATING_STATE_ROLLUP_BDD],0),MATCH(E$9,MMWR_RATING_STATE_ROLLUP_BDD[#Headers],0))/$C76,"ERROR"))</f>
        <v>0.13333333333333333</v>
      </c>
      <c r="F76" s="155">
        <f>IF($B76=" ","",IFERROR(INDEX(MMWR_RATING_STATE_ROLLUP_BDD[],MATCH($B76,MMWR_RATING_STATE_ROLLUP_BDD[MMWR_RATING_STATE_ROLLUP_BDD],0),MATCH(F$9,MMWR_RATING_STATE_ROLLUP_BDD[#Headers],0)),"ERROR"))</f>
        <v>5</v>
      </c>
      <c r="G76" s="155">
        <f>IF($B76=" ","",IFERROR(INDEX(MMWR_RATING_STATE_ROLLUP_BDD[],MATCH($B76,MMWR_RATING_STATE_ROLLUP_BDD[MMWR_RATING_STATE_ROLLUP_BDD],0),MATCH(G$9,MMWR_RATING_STATE_ROLLUP_BDD[#Headers],0)),"ERROR"))</f>
        <v>28</v>
      </c>
      <c r="H76" s="156">
        <f>IF($B76=" ","",IFERROR(INDEX(MMWR_RATING_STATE_ROLLUP_BDD[],MATCH($B76,MMWR_RATING_STATE_ROLLUP_BDD[MMWR_RATING_STATE_ROLLUP_BDD],0),MATCH(H$9,MMWR_RATING_STATE_ROLLUP_BDD[#Headers],0)),"ERROR"))</f>
        <v>122.2</v>
      </c>
      <c r="I76" s="156">
        <f>IF($B76=" ","",IFERROR(INDEX(MMWR_RATING_STATE_ROLLUP_BDD[],MATCH($B76,MMWR_RATING_STATE_ROLLUP_BDD[MMWR_RATING_STATE_ROLLUP_BDD],0),MATCH(I$9,MMWR_RATING_STATE_ROLLUP_BDD[#Headers],0)),"ERROR"))</f>
        <v>152.46428571429999</v>
      </c>
      <c r="J76" s="42"/>
      <c r="K76" s="42"/>
      <c r="L76" s="42"/>
      <c r="M76" s="42"/>
      <c r="N76" s="28"/>
    </row>
    <row r="77" spans="1:14" ht="13.2" x14ac:dyDescent="0.25">
      <c r="A77" s="25"/>
      <c r="B77" s="8" t="str">
        <f>VLOOKUP($B$15,DISTRICT_STATES[],9,0)</f>
        <v>New Jersey</v>
      </c>
      <c r="C77" s="155">
        <f>IF($B77=" ","",IFERROR(INDEX(MMWR_RATING_STATE_ROLLUP_BDD[],MATCH($B77,MMWR_RATING_STATE_ROLLUP_BDD[MMWR_RATING_STATE_ROLLUP_BDD],0),MATCH(C$9,MMWR_RATING_STATE_ROLLUP_BDD[#Headers],0)),"ERROR"))</f>
        <v>60</v>
      </c>
      <c r="D77" s="156">
        <f>IF($B77=" ","",IFERROR(INDEX(MMWR_RATING_STATE_ROLLUP_BDD[],MATCH($B77,MMWR_RATING_STATE_ROLLUP_BDD[MMWR_RATING_STATE_ROLLUP_BDD],0),MATCH(D$9,MMWR_RATING_STATE_ROLLUP_BDD[#Headers],0)),"ERROR"))</f>
        <v>75.233333333299996</v>
      </c>
      <c r="E77" s="157">
        <f>IF($B77=" ","",IFERROR(INDEX(MMWR_RATING_STATE_ROLLUP_BDD[],MATCH($B77,MMWR_RATING_STATE_ROLLUP_BDD[MMWR_RATING_STATE_ROLLUP_BDD],0),MATCH(E$9,MMWR_RATING_STATE_ROLLUP_BDD[#Headers],0))/$C77,"ERROR"))</f>
        <v>0.16666666666666666</v>
      </c>
      <c r="F77" s="155">
        <f>IF($B77=" ","",IFERROR(INDEX(MMWR_RATING_STATE_ROLLUP_BDD[],MATCH($B77,MMWR_RATING_STATE_ROLLUP_BDD[MMWR_RATING_STATE_ROLLUP_BDD],0),MATCH(F$9,MMWR_RATING_STATE_ROLLUP_BDD[#Headers],0)),"ERROR"))</f>
        <v>10</v>
      </c>
      <c r="G77" s="155">
        <f>IF($B77=" ","",IFERROR(INDEX(MMWR_RATING_STATE_ROLLUP_BDD[],MATCH($B77,MMWR_RATING_STATE_ROLLUP_BDD[MMWR_RATING_STATE_ROLLUP_BDD],0),MATCH(G$9,MMWR_RATING_STATE_ROLLUP_BDD[#Headers],0)),"ERROR"))</f>
        <v>172</v>
      </c>
      <c r="H77" s="156">
        <f>IF($B77=" ","",IFERROR(INDEX(MMWR_RATING_STATE_ROLLUP_BDD[],MATCH($B77,MMWR_RATING_STATE_ROLLUP_BDD[MMWR_RATING_STATE_ROLLUP_BDD],0),MATCH(H$9,MMWR_RATING_STATE_ROLLUP_BDD[#Headers],0)),"ERROR"))</f>
        <v>116.4</v>
      </c>
      <c r="I77" s="156">
        <f>IF($B77=" ","",IFERROR(INDEX(MMWR_RATING_STATE_ROLLUP_BDD[],MATCH($B77,MMWR_RATING_STATE_ROLLUP_BDD[MMWR_RATING_STATE_ROLLUP_BDD],0),MATCH(I$9,MMWR_RATING_STATE_ROLLUP_BDD[#Headers],0)),"ERROR"))</f>
        <v>140.56395348839999</v>
      </c>
      <c r="J77" s="42"/>
      <c r="K77" s="42"/>
      <c r="L77" s="42"/>
      <c r="M77" s="42"/>
      <c r="N77" s="28"/>
    </row>
    <row r="78" spans="1:14" ht="13.2" x14ac:dyDescent="0.25">
      <c r="A78" s="25"/>
      <c r="B78" s="8" t="str">
        <f>VLOOKUP($B$15,DISTRICT_STATES[],10,0)</f>
        <v>New York</v>
      </c>
      <c r="C78" s="155">
        <f>IF($B78=" ","",IFERROR(INDEX(MMWR_RATING_STATE_ROLLUP_BDD[],MATCH($B78,MMWR_RATING_STATE_ROLLUP_BDD[MMWR_RATING_STATE_ROLLUP_BDD],0),MATCH(C$9,MMWR_RATING_STATE_ROLLUP_BDD[#Headers],0)),"ERROR"))</f>
        <v>142</v>
      </c>
      <c r="D78" s="156">
        <f>IF($B78=" ","",IFERROR(INDEX(MMWR_RATING_STATE_ROLLUP_BDD[],MATCH($B78,MMWR_RATING_STATE_ROLLUP_BDD[MMWR_RATING_STATE_ROLLUP_BDD],0),MATCH(D$9,MMWR_RATING_STATE_ROLLUP_BDD[#Headers],0)),"ERROR"))</f>
        <v>74.781690140799995</v>
      </c>
      <c r="E78" s="157">
        <f>IF($B78=" ","",IFERROR(INDEX(MMWR_RATING_STATE_ROLLUP_BDD[],MATCH($B78,MMWR_RATING_STATE_ROLLUP_BDD[MMWR_RATING_STATE_ROLLUP_BDD],0),MATCH(E$9,MMWR_RATING_STATE_ROLLUP_BDD[#Headers],0))/$C78,"ERROR"))</f>
        <v>0.11971830985915492</v>
      </c>
      <c r="F78" s="155">
        <f>IF($B78=" ","",IFERROR(INDEX(MMWR_RATING_STATE_ROLLUP_BDD[],MATCH($B78,MMWR_RATING_STATE_ROLLUP_BDD[MMWR_RATING_STATE_ROLLUP_BDD],0),MATCH(F$9,MMWR_RATING_STATE_ROLLUP_BDD[#Headers],0)),"ERROR"))</f>
        <v>30</v>
      </c>
      <c r="G78" s="155">
        <f>IF($B78=" ","",IFERROR(INDEX(MMWR_RATING_STATE_ROLLUP_BDD[],MATCH($B78,MMWR_RATING_STATE_ROLLUP_BDD[MMWR_RATING_STATE_ROLLUP_BDD],0),MATCH(G$9,MMWR_RATING_STATE_ROLLUP_BDD[#Headers],0)),"ERROR"))</f>
        <v>416</v>
      </c>
      <c r="H78" s="156">
        <f>IF($B78=" ","",IFERROR(INDEX(MMWR_RATING_STATE_ROLLUP_BDD[],MATCH($B78,MMWR_RATING_STATE_ROLLUP_BDD[MMWR_RATING_STATE_ROLLUP_BDD],0),MATCH(H$9,MMWR_RATING_STATE_ROLLUP_BDD[#Headers],0)),"ERROR"))</f>
        <v>127.6333333333</v>
      </c>
      <c r="I78" s="156">
        <f>IF($B78=" ","",IFERROR(INDEX(MMWR_RATING_STATE_ROLLUP_BDD[],MATCH($B78,MMWR_RATING_STATE_ROLLUP_BDD[MMWR_RATING_STATE_ROLLUP_BDD],0),MATCH(I$9,MMWR_RATING_STATE_ROLLUP_BDD[#Headers],0)),"ERROR"))</f>
        <v>148.16105769230001</v>
      </c>
      <c r="J78" s="42"/>
      <c r="K78" s="42"/>
      <c r="L78" s="42"/>
      <c r="M78" s="42"/>
      <c r="N78" s="28"/>
    </row>
    <row r="79" spans="1:14" ht="13.2" x14ac:dyDescent="0.25">
      <c r="A79" s="25"/>
      <c r="B79" s="8" t="str">
        <f>VLOOKUP($B$15,DISTRICT_STATES[],11,0)</f>
        <v>North Carolina</v>
      </c>
      <c r="C79" s="155">
        <f>IF($B79=" ","",IFERROR(INDEX(MMWR_RATING_STATE_ROLLUP_BDD[],MATCH($B79,MMWR_RATING_STATE_ROLLUP_BDD[MMWR_RATING_STATE_ROLLUP_BDD],0),MATCH(C$9,MMWR_RATING_STATE_ROLLUP_BDD[#Headers],0)),"ERROR"))</f>
        <v>1038</v>
      </c>
      <c r="D79" s="156">
        <f>IF($B79=" ","",IFERROR(INDEX(MMWR_RATING_STATE_ROLLUP_BDD[],MATCH($B79,MMWR_RATING_STATE_ROLLUP_BDD[MMWR_RATING_STATE_ROLLUP_BDD],0),MATCH(D$9,MMWR_RATING_STATE_ROLLUP_BDD[#Headers],0)),"ERROR"))</f>
        <v>67.1965317919</v>
      </c>
      <c r="E79" s="157">
        <f>IF($B79=" ","",IFERROR(INDEX(MMWR_RATING_STATE_ROLLUP_BDD[],MATCH($B79,MMWR_RATING_STATE_ROLLUP_BDD[MMWR_RATING_STATE_ROLLUP_BDD],0),MATCH(E$9,MMWR_RATING_STATE_ROLLUP_BDD[#Headers],0))/$C79,"ERROR"))</f>
        <v>9.2485549132947972E-2</v>
      </c>
      <c r="F79" s="155">
        <f>IF($B79=" ","",IFERROR(INDEX(MMWR_RATING_STATE_ROLLUP_BDD[],MATCH($B79,MMWR_RATING_STATE_ROLLUP_BDD[MMWR_RATING_STATE_ROLLUP_BDD],0),MATCH(F$9,MMWR_RATING_STATE_ROLLUP_BDD[#Headers],0)),"ERROR"))</f>
        <v>144</v>
      </c>
      <c r="G79" s="155">
        <f>IF($B79=" ","",IFERROR(INDEX(MMWR_RATING_STATE_ROLLUP_BDD[],MATCH($B79,MMWR_RATING_STATE_ROLLUP_BDD[MMWR_RATING_STATE_ROLLUP_BDD],0),MATCH(G$9,MMWR_RATING_STATE_ROLLUP_BDD[#Headers],0)),"ERROR"))</f>
        <v>1661</v>
      </c>
      <c r="H79" s="156">
        <f>IF($B79=" ","",IFERROR(INDEX(MMWR_RATING_STATE_ROLLUP_BDD[],MATCH($B79,MMWR_RATING_STATE_ROLLUP_BDD[MMWR_RATING_STATE_ROLLUP_BDD],0),MATCH(H$9,MMWR_RATING_STATE_ROLLUP_BDD[#Headers],0)),"ERROR"))</f>
        <v>132.93055555559999</v>
      </c>
      <c r="I79" s="156">
        <f>IF($B79=" ","",IFERROR(INDEX(MMWR_RATING_STATE_ROLLUP_BDD[],MATCH($B79,MMWR_RATING_STATE_ROLLUP_BDD[MMWR_RATING_STATE_ROLLUP_BDD],0),MATCH(I$9,MMWR_RATING_STATE_ROLLUP_BDD[#Headers],0)),"ERROR"))</f>
        <v>128.60686333530001</v>
      </c>
      <c r="J79" s="42"/>
      <c r="K79" s="42"/>
      <c r="L79" s="42"/>
      <c r="M79" s="42"/>
      <c r="N79" s="28"/>
    </row>
    <row r="80" spans="1:14" ht="13.2" x14ac:dyDescent="0.25">
      <c r="A80" s="25"/>
      <c r="B80" s="8" t="str">
        <f>VLOOKUP($B$15,DISTRICT_STATES[],12,0)</f>
        <v>Pennsylvania</v>
      </c>
      <c r="C80" s="155">
        <f>IF($B80=" ","",IFERROR(INDEX(MMWR_RATING_STATE_ROLLUP_BDD[],MATCH($B80,MMWR_RATING_STATE_ROLLUP_BDD[MMWR_RATING_STATE_ROLLUP_BDD],0),MATCH(C$9,MMWR_RATING_STATE_ROLLUP_BDD[#Headers],0)),"ERROR"))</f>
        <v>92</v>
      </c>
      <c r="D80" s="156">
        <f>IF($B80=" ","",IFERROR(INDEX(MMWR_RATING_STATE_ROLLUP_BDD[],MATCH($B80,MMWR_RATING_STATE_ROLLUP_BDD[MMWR_RATING_STATE_ROLLUP_BDD],0),MATCH(D$9,MMWR_RATING_STATE_ROLLUP_BDD[#Headers],0)),"ERROR"))</f>
        <v>73</v>
      </c>
      <c r="E80" s="157">
        <f>IF($B80=" ","",IFERROR(INDEX(MMWR_RATING_STATE_ROLLUP_BDD[],MATCH($B80,MMWR_RATING_STATE_ROLLUP_BDD[MMWR_RATING_STATE_ROLLUP_BDD],0),MATCH(E$9,MMWR_RATING_STATE_ROLLUP_BDD[#Headers],0))/$C80,"ERROR"))</f>
        <v>9.7826086956521743E-2</v>
      </c>
      <c r="F80" s="155">
        <f>IF($B80=" ","",IFERROR(INDEX(MMWR_RATING_STATE_ROLLUP_BDD[],MATCH($B80,MMWR_RATING_STATE_ROLLUP_BDD[MMWR_RATING_STATE_ROLLUP_BDD],0),MATCH(F$9,MMWR_RATING_STATE_ROLLUP_BDD[#Headers],0)),"ERROR"))</f>
        <v>33</v>
      </c>
      <c r="G80" s="155">
        <f>IF($B80=" ","",IFERROR(INDEX(MMWR_RATING_STATE_ROLLUP_BDD[],MATCH($B80,MMWR_RATING_STATE_ROLLUP_BDD[MMWR_RATING_STATE_ROLLUP_BDD],0),MATCH(G$9,MMWR_RATING_STATE_ROLLUP_BDD[#Headers],0)),"ERROR"))</f>
        <v>326</v>
      </c>
      <c r="H80" s="156">
        <f>IF($B80=" ","",IFERROR(INDEX(MMWR_RATING_STATE_ROLLUP_BDD[],MATCH($B80,MMWR_RATING_STATE_ROLLUP_BDD[MMWR_RATING_STATE_ROLLUP_BDD],0),MATCH(H$9,MMWR_RATING_STATE_ROLLUP_BDD[#Headers],0)),"ERROR"))</f>
        <v>172.51515151519999</v>
      </c>
      <c r="I80" s="156">
        <f>IF($B80=" ","",IFERROR(INDEX(MMWR_RATING_STATE_ROLLUP_BDD[],MATCH($B80,MMWR_RATING_STATE_ROLLUP_BDD[MMWR_RATING_STATE_ROLLUP_BDD],0),MATCH(I$9,MMWR_RATING_STATE_ROLLUP_BDD[#Headers],0)),"ERROR"))</f>
        <v>153.28220858899999</v>
      </c>
      <c r="J80" s="42"/>
      <c r="K80" s="42"/>
      <c r="L80" s="42"/>
      <c r="M80" s="42"/>
      <c r="N80" s="28"/>
    </row>
    <row r="81" spans="1:14" ht="13.2" x14ac:dyDescent="0.25">
      <c r="A81" s="25"/>
      <c r="B81" s="8" t="str">
        <f>VLOOKUP($B$15,DISTRICT_STATES[],13,0)</f>
        <v>Rhode Island</v>
      </c>
      <c r="C81" s="155">
        <f>IF($B81=" ","",IFERROR(INDEX(MMWR_RATING_STATE_ROLLUP_BDD[],MATCH($B81,MMWR_RATING_STATE_ROLLUP_BDD[MMWR_RATING_STATE_ROLLUP_BDD],0),MATCH(C$9,MMWR_RATING_STATE_ROLLUP_BDD[#Headers],0)),"ERROR"))</f>
        <v>6</v>
      </c>
      <c r="D81" s="156">
        <f>IF($B81=" ","",IFERROR(INDEX(MMWR_RATING_STATE_ROLLUP_BDD[],MATCH($B81,MMWR_RATING_STATE_ROLLUP_BDD[MMWR_RATING_STATE_ROLLUP_BDD],0),MATCH(D$9,MMWR_RATING_STATE_ROLLUP_BDD[#Headers],0)),"ERROR"))</f>
        <v>53.666666666700003</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1</v>
      </c>
      <c r="G81" s="155">
        <f>IF($B81=" ","",IFERROR(INDEX(MMWR_RATING_STATE_ROLLUP_BDD[],MATCH($B81,MMWR_RATING_STATE_ROLLUP_BDD[MMWR_RATING_STATE_ROLLUP_BDD],0),MATCH(G$9,MMWR_RATING_STATE_ROLLUP_BDD[#Headers],0)),"ERROR"))</f>
        <v>14</v>
      </c>
      <c r="H81" s="156">
        <f>IF($B81=" ","",IFERROR(INDEX(MMWR_RATING_STATE_ROLLUP_BDD[],MATCH($B81,MMWR_RATING_STATE_ROLLUP_BDD[MMWR_RATING_STATE_ROLLUP_BDD],0),MATCH(H$9,MMWR_RATING_STATE_ROLLUP_BDD[#Headers],0)),"ERROR"))</f>
        <v>3</v>
      </c>
      <c r="I81" s="156">
        <f>IF($B81=" ","",IFERROR(INDEX(MMWR_RATING_STATE_ROLLUP_BDD[],MATCH($B81,MMWR_RATING_STATE_ROLLUP_BDD[MMWR_RATING_STATE_ROLLUP_BDD],0),MATCH(I$9,MMWR_RATING_STATE_ROLLUP_BDD[#Headers],0)),"ERROR"))</f>
        <v>135.71428571429999</v>
      </c>
      <c r="J81" s="42"/>
      <c r="K81" s="42"/>
      <c r="L81" s="42"/>
      <c r="M81" s="42"/>
      <c r="N81" s="28"/>
    </row>
    <row r="82" spans="1:14" ht="13.2" x14ac:dyDescent="0.25">
      <c r="A82" s="25"/>
      <c r="B82" s="8" t="str">
        <f>VLOOKUP($B$15,DISTRICT_STATES[],14,0)</f>
        <v>Vermont</v>
      </c>
      <c r="C82" s="155">
        <f>IF($B82=" ","",IFERROR(INDEX(MMWR_RATING_STATE_ROLLUP_BDD[],MATCH($B82,MMWR_RATING_STATE_ROLLUP_BDD[MMWR_RATING_STATE_ROLLUP_BDD],0),MATCH(C$9,MMWR_RATING_STATE_ROLLUP_BDD[#Headers],0)),"ERROR"))</f>
        <v>6</v>
      </c>
      <c r="D82" s="156">
        <f>IF($B82=" ","",IFERROR(INDEX(MMWR_RATING_STATE_ROLLUP_BDD[],MATCH($B82,MMWR_RATING_STATE_ROLLUP_BDD[MMWR_RATING_STATE_ROLLUP_BDD],0),MATCH(D$9,MMWR_RATING_STATE_ROLLUP_BDD[#Headers],0)),"ERROR"))</f>
        <v>55</v>
      </c>
      <c r="E82" s="157">
        <f>IF($B82=" ","",IFERROR(INDEX(MMWR_RATING_STATE_ROLLUP_BDD[],MATCH($B82,MMWR_RATING_STATE_ROLLUP_BDD[MMWR_RATING_STATE_ROLLUP_BDD],0),MATCH(E$9,MMWR_RATING_STATE_ROLLUP_BDD[#Headers],0))/$C82,"ERROR"))</f>
        <v>0.16666666666666666</v>
      </c>
      <c r="F82" s="155">
        <f>IF($B82=" ","",IFERROR(INDEX(MMWR_RATING_STATE_ROLLUP_BDD[],MATCH($B82,MMWR_RATING_STATE_ROLLUP_BDD[MMWR_RATING_STATE_ROLLUP_BDD],0),MATCH(F$9,MMWR_RATING_STATE_ROLLUP_BDD[#Headers],0)),"ERROR"))</f>
        <v>0</v>
      </c>
      <c r="G82" s="155">
        <f>IF($B82=" ","",IFERROR(INDEX(MMWR_RATING_STATE_ROLLUP_BDD[],MATCH($B82,MMWR_RATING_STATE_ROLLUP_BDD[MMWR_RATING_STATE_ROLLUP_BDD],0),MATCH(G$9,MMWR_RATING_STATE_ROLLUP_BDD[#Headers],0)),"ERROR"))</f>
        <v>16</v>
      </c>
      <c r="H82" s="156">
        <f>IF($B82=" ","",IFERROR(INDEX(MMWR_RATING_STATE_ROLLUP_BDD[],MATCH($B82,MMWR_RATING_STATE_ROLLUP_BDD[MMWR_RATING_STATE_ROLLUP_BDD],0),MATCH(H$9,MMWR_RATING_STATE_ROLLUP_BDD[#Headers],0)),"ERROR"))</f>
        <v>0</v>
      </c>
      <c r="I82" s="156">
        <f>IF($B82=" ","",IFERROR(INDEX(MMWR_RATING_STATE_ROLLUP_BDD[],MATCH($B82,MMWR_RATING_STATE_ROLLUP_BDD[MMWR_RATING_STATE_ROLLUP_BDD],0),MATCH(I$9,MMWR_RATING_STATE_ROLLUP_BDD[#Headers],0)),"ERROR"))</f>
        <v>154</v>
      </c>
      <c r="J82" s="42"/>
      <c r="K82" s="42"/>
      <c r="L82" s="42"/>
      <c r="M82" s="42"/>
      <c r="N82" s="28"/>
    </row>
    <row r="83" spans="1:14" ht="13.2" x14ac:dyDescent="0.25">
      <c r="A83" s="25"/>
      <c r="B83" s="8" t="str">
        <f>VLOOKUP($B$15,DISTRICT_STATES[],15,0)</f>
        <v>Virginia</v>
      </c>
      <c r="C83" s="155">
        <f>IF($B83=" ","",IFERROR(INDEX(MMWR_RATING_STATE_ROLLUP_BDD[],MATCH($B83,MMWR_RATING_STATE_ROLLUP_BDD[MMWR_RATING_STATE_ROLLUP_BDD],0),MATCH(C$9,MMWR_RATING_STATE_ROLLUP_BDD[#Headers],0)),"ERROR"))</f>
        <v>839</v>
      </c>
      <c r="D83" s="156">
        <f>IF($B83=" ","",IFERROR(INDEX(MMWR_RATING_STATE_ROLLUP_BDD[],MATCH($B83,MMWR_RATING_STATE_ROLLUP_BDD[MMWR_RATING_STATE_ROLLUP_BDD],0),MATCH(D$9,MMWR_RATING_STATE_ROLLUP_BDD[#Headers],0)),"ERROR"))</f>
        <v>76.632896305100004</v>
      </c>
      <c r="E83" s="157">
        <f>IF($B83=" ","",IFERROR(INDEX(MMWR_RATING_STATE_ROLLUP_BDD[],MATCH($B83,MMWR_RATING_STATE_ROLLUP_BDD[MMWR_RATING_STATE_ROLLUP_BDD],0),MATCH(E$9,MMWR_RATING_STATE_ROLLUP_BDD[#Headers],0))/$C83,"ERROR"))</f>
        <v>0.12157330154946365</v>
      </c>
      <c r="F83" s="155">
        <f>IF($B83=" ","",IFERROR(INDEX(MMWR_RATING_STATE_ROLLUP_BDD[],MATCH($B83,MMWR_RATING_STATE_ROLLUP_BDD[MMWR_RATING_STATE_ROLLUP_BDD],0),MATCH(F$9,MMWR_RATING_STATE_ROLLUP_BDD[#Headers],0)),"ERROR"))</f>
        <v>122</v>
      </c>
      <c r="G83" s="155">
        <f>IF($B83=" ","",IFERROR(INDEX(MMWR_RATING_STATE_ROLLUP_BDD[],MATCH($B83,MMWR_RATING_STATE_ROLLUP_BDD[MMWR_RATING_STATE_ROLLUP_BDD],0),MATCH(G$9,MMWR_RATING_STATE_ROLLUP_BDD[#Headers],0)),"ERROR"))</f>
        <v>1659</v>
      </c>
      <c r="H83" s="156">
        <f>IF($B83=" ","",IFERROR(INDEX(MMWR_RATING_STATE_ROLLUP_BDD[],MATCH($B83,MMWR_RATING_STATE_ROLLUP_BDD[MMWR_RATING_STATE_ROLLUP_BDD],0),MATCH(H$9,MMWR_RATING_STATE_ROLLUP_BDD[#Headers],0)),"ERROR"))</f>
        <v>145.98360655740001</v>
      </c>
      <c r="I83" s="156">
        <f>IF($B83=" ","",IFERROR(INDEX(MMWR_RATING_STATE_ROLLUP_BDD[],MATCH($B83,MMWR_RATING_STATE_ROLLUP_BDD[MMWR_RATING_STATE_ROLLUP_BDD],0),MATCH(I$9,MMWR_RATING_STATE_ROLLUP_BDD[#Headers],0)),"ERROR"))</f>
        <v>141.2061482821</v>
      </c>
      <c r="J83" s="42"/>
      <c r="K83" s="42"/>
      <c r="L83" s="42"/>
      <c r="M83" s="42"/>
      <c r="N83" s="28"/>
    </row>
    <row r="84" spans="1:14" ht="13.2" x14ac:dyDescent="0.25">
      <c r="A84" s="25"/>
      <c r="B84" s="252" t="str">
        <f>VLOOKUP($B$15,DISTRICT_STATES[],16,0)</f>
        <v>West Virginia</v>
      </c>
      <c r="C84" s="155">
        <f>IF($B84=" ","",IFERROR(INDEX(MMWR_RATING_STATE_ROLLUP_BDD[],MATCH($B84,MMWR_RATING_STATE_ROLLUP_BDD[MMWR_RATING_STATE_ROLLUP_BDD],0),MATCH(C$9,MMWR_RATING_STATE_ROLLUP_BDD[#Headers],0)),"ERROR"))</f>
        <v>23</v>
      </c>
      <c r="D84" s="156">
        <f>IF($B84=" ","",IFERROR(INDEX(MMWR_RATING_STATE_ROLLUP_BDD[],MATCH($B84,MMWR_RATING_STATE_ROLLUP_BDD[MMWR_RATING_STATE_ROLLUP_BDD],0),MATCH(D$9,MMWR_RATING_STATE_ROLLUP_BDD[#Headers],0)),"ERROR"))</f>
        <v>76.956521739099998</v>
      </c>
      <c r="E84" s="157">
        <f>IF($B84=" ","",IFERROR(INDEX(MMWR_RATING_STATE_ROLLUP_BDD[],MATCH($B84,MMWR_RATING_STATE_ROLLUP_BDD[MMWR_RATING_STATE_ROLLUP_BDD],0),MATCH(E$9,MMWR_RATING_STATE_ROLLUP_BDD[#Headers],0))/$C84,"ERROR"))</f>
        <v>8.6956521739130432E-2</v>
      </c>
      <c r="F84" s="155">
        <f>IF($B84=" ","",IFERROR(INDEX(MMWR_RATING_STATE_ROLLUP_BDD[],MATCH($B84,MMWR_RATING_STATE_ROLLUP_BDD[MMWR_RATING_STATE_ROLLUP_BDD],0),MATCH(F$9,MMWR_RATING_STATE_ROLLUP_BDD[#Headers],0)),"ERROR"))</f>
        <v>3</v>
      </c>
      <c r="G84" s="155">
        <f>IF($B84=" ","",IFERROR(INDEX(MMWR_RATING_STATE_ROLLUP_BDD[],MATCH($B84,MMWR_RATING_STATE_ROLLUP_BDD[MMWR_RATING_STATE_ROLLUP_BDD],0),MATCH(G$9,MMWR_RATING_STATE_ROLLUP_BDD[#Headers],0)),"ERROR"))</f>
        <v>58</v>
      </c>
      <c r="H84" s="156">
        <f>IF($B84=" ","",IFERROR(INDEX(MMWR_RATING_STATE_ROLLUP_BDD[],MATCH($B84,MMWR_RATING_STATE_ROLLUP_BDD[MMWR_RATING_STATE_ROLLUP_BDD],0),MATCH(H$9,MMWR_RATING_STATE_ROLLUP_BDD[#Headers],0)),"ERROR"))</f>
        <v>138</v>
      </c>
      <c r="I84" s="156">
        <f>IF($B84=" ","",IFERROR(INDEX(MMWR_RATING_STATE_ROLLUP_BDD[],MATCH($B84,MMWR_RATING_STATE_ROLLUP_BDD[MMWR_RATING_STATE_ROLLUP_BDD],0),MATCH(I$9,MMWR_RATING_STATE_ROLLUP_BDD[#Headers],0)),"ERROR"))</f>
        <v>157.775862069</v>
      </c>
      <c r="J84" s="42"/>
      <c r="K84" s="42"/>
      <c r="L84" s="42"/>
      <c r="M84" s="42"/>
      <c r="N84" s="28"/>
    </row>
    <row r="85" spans="1:14" ht="12.75" customHeight="1" x14ac:dyDescent="0.25">
      <c r="A85" s="25"/>
      <c r="B85" s="26"/>
      <c r="C85" s="26"/>
      <c r="D85" s="26"/>
      <c r="E85" s="26"/>
      <c r="F85" s="26"/>
      <c r="G85" s="26"/>
      <c r="H85" s="26"/>
      <c r="I85" s="26"/>
      <c r="J85" s="26"/>
      <c r="K85" s="26"/>
      <c r="L85" s="26"/>
      <c r="M85" s="26"/>
      <c r="N85" s="28"/>
    </row>
    <row r="86" spans="1:14" ht="12.75" hidden="1" customHeight="1" x14ac:dyDescent="0.25"/>
    <row r="87" spans="1:14" ht="12.75" hidden="1" customHeight="1" x14ac:dyDescent="0.25"/>
    <row r="88" spans="1:14" ht="12.75" hidden="1" customHeight="1" x14ac:dyDescent="0.25"/>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45720</xdr:colOff>
                <xdr:row>4</xdr:row>
                <xdr:rowOff>7620</xdr:rowOff>
              </from>
              <to>
                <xdr:col>1</xdr:col>
                <xdr:colOff>1844040</xdr:colOff>
                <xdr:row>5</xdr:row>
                <xdr:rowOff>60960</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3.2" zeroHeight="1" x14ac:dyDescent="0.25"/>
  <cols>
    <col min="1" max="1" width="2.88671875" customWidth="1"/>
    <col min="2" max="21" width="15.44140625" customWidth="1"/>
    <col min="22" max="22" width="3" customWidth="1"/>
    <col min="23" max="16384" width="9.109375" hidden="1"/>
  </cols>
  <sheetData>
    <row r="1" spans="1:22" s="21" customFormat="1" ht="14.25" customHeight="1" thickBot="1" x14ac:dyDescent="0.3">
      <c r="A1" s="25"/>
      <c r="B1" s="26"/>
      <c r="C1" s="54"/>
      <c r="D1" s="54"/>
      <c r="E1" s="54"/>
      <c r="F1" s="54"/>
      <c r="G1" s="54"/>
      <c r="H1" s="54"/>
      <c r="I1" s="54"/>
      <c r="J1" s="54"/>
      <c r="K1" s="54"/>
      <c r="L1" s="54"/>
      <c r="M1" s="54"/>
      <c r="N1" s="54"/>
      <c r="O1" s="54"/>
      <c r="P1" s="54"/>
      <c r="Q1" s="54"/>
      <c r="R1" s="54"/>
      <c r="S1" s="54"/>
      <c r="T1" s="54"/>
      <c r="U1" s="54"/>
      <c r="V1" s="25"/>
    </row>
    <row r="2" spans="1:22" s="1" customFormat="1" ht="25.2" thickBot="1" x14ac:dyDescent="0.45">
      <c r="A2" s="25"/>
      <c r="B2" s="413" t="s">
        <v>305</v>
      </c>
      <c r="C2" s="414"/>
      <c r="D2" s="414"/>
      <c r="E2" s="414"/>
      <c r="F2" s="414"/>
      <c r="G2" s="414"/>
      <c r="H2" s="414"/>
      <c r="I2" s="414"/>
      <c r="J2" s="414"/>
      <c r="K2" s="414"/>
      <c r="L2" s="414"/>
      <c r="M2" s="414"/>
      <c r="N2" s="414"/>
      <c r="O2" s="414"/>
      <c r="P2" s="414"/>
      <c r="Q2" s="414"/>
      <c r="R2" s="414"/>
      <c r="S2" s="414"/>
      <c r="T2" s="414"/>
      <c r="U2" s="415"/>
      <c r="V2" s="25"/>
    </row>
    <row r="3" spans="1:22" s="1" customFormat="1" ht="63" customHeight="1" thickBot="1" x14ac:dyDescent="0.3">
      <c r="A3" s="25"/>
      <c r="B3" s="422" t="s">
        <v>320</v>
      </c>
      <c r="C3" s="423"/>
      <c r="D3" s="423"/>
      <c r="E3" s="423"/>
      <c r="F3" s="423"/>
      <c r="G3" s="423"/>
      <c r="H3" s="423"/>
      <c r="I3" s="423"/>
      <c r="J3" s="423"/>
      <c r="K3" s="423"/>
      <c r="L3" s="423"/>
      <c r="M3" s="423"/>
      <c r="N3" s="423"/>
      <c r="O3" s="423"/>
      <c r="P3" s="423"/>
      <c r="Q3" s="423"/>
      <c r="R3" s="423"/>
      <c r="S3" s="423"/>
      <c r="T3" s="423"/>
      <c r="U3" s="424"/>
      <c r="V3" s="25"/>
    </row>
    <row r="4" spans="1:22" s="1" customFormat="1" ht="32.25" customHeight="1" thickBot="1" x14ac:dyDescent="0.3">
      <c r="A4" s="25"/>
      <c r="B4" s="419" t="str">
        <f>Transformation!B4</f>
        <v>As of: August 29, 2015</v>
      </c>
      <c r="C4" s="420"/>
      <c r="D4" s="420"/>
      <c r="E4" s="420"/>
      <c r="F4" s="420"/>
      <c r="G4" s="420"/>
      <c r="H4" s="420"/>
      <c r="I4" s="420"/>
      <c r="J4" s="420"/>
      <c r="K4" s="420"/>
      <c r="L4" s="420"/>
      <c r="M4" s="420"/>
      <c r="N4" s="420"/>
      <c r="O4" s="420"/>
      <c r="P4" s="420"/>
      <c r="Q4" s="420"/>
      <c r="R4" s="420"/>
      <c r="S4" s="420"/>
      <c r="T4" s="420"/>
      <c r="U4" s="421"/>
      <c r="V4" s="25"/>
    </row>
    <row r="5" spans="1:22" s="1" customFormat="1" ht="27" customHeight="1" thickBot="1" x14ac:dyDescent="0.45">
      <c r="A5" s="25"/>
      <c r="B5" s="426" t="s">
        <v>247</v>
      </c>
      <c r="C5" s="427"/>
      <c r="D5" s="427"/>
      <c r="E5" s="427"/>
      <c r="F5" s="427"/>
      <c r="G5" s="427"/>
      <c r="H5" s="428"/>
      <c r="I5" s="55"/>
      <c r="J5" s="426" t="s">
        <v>244</v>
      </c>
      <c r="K5" s="427"/>
      <c r="L5" s="427"/>
      <c r="M5" s="427"/>
      <c r="N5" s="428"/>
      <c r="O5" s="56"/>
      <c r="P5" s="429" t="s">
        <v>11</v>
      </c>
      <c r="Q5" s="430"/>
      <c r="R5" s="430"/>
      <c r="S5" s="430"/>
      <c r="T5" s="430"/>
      <c r="U5" s="431"/>
      <c r="V5" s="25"/>
    </row>
    <row r="6" spans="1:22" s="1" customFormat="1" ht="65.25" customHeight="1" thickBot="1" x14ac:dyDescent="0.3">
      <c r="A6" s="25"/>
      <c r="B6" s="416" t="s">
        <v>288</v>
      </c>
      <c r="C6" s="417"/>
      <c r="D6" s="417"/>
      <c r="E6" s="418"/>
      <c r="F6" s="57" t="s">
        <v>12</v>
      </c>
      <c r="G6" s="58" t="s">
        <v>3</v>
      </c>
      <c r="H6" s="59" t="s">
        <v>4</v>
      </c>
      <c r="I6" s="25"/>
      <c r="J6" s="405" t="s">
        <v>288</v>
      </c>
      <c r="K6" s="406"/>
      <c r="L6" s="60" t="s">
        <v>12</v>
      </c>
      <c r="M6" s="61" t="s">
        <v>3</v>
      </c>
      <c r="N6" s="62" t="s">
        <v>4</v>
      </c>
      <c r="O6" s="63"/>
      <c r="P6" s="432" t="s">
        <v>288</v>
      </c>
      <c r="Q6" s="433"/>
      <c r="R6" s="64" t="s">
        <v>498</v>
      </c>
      <c r="S6" s="434" t="s">
        <v>288</v>
      </c>
      <c r="T6" s="435"/>
      <c r="U6" s="65" t="s">
        <v>140</v>
      </c>
      <c r="V6" s="25"/>
    </row>
    <row r="7" spans="1:22" s="1" customFormat="1" ht="32.25" customHeight="1" thickBot="1" x14ac:dyDescent="0.3">
      <c r="A7" s="25"/>
      <c r="B7" s="399" t="s">
        <v>307</v>
      </c>
      <c r="C7" s="400"/>
      <c r="D7" s="400"/>
      <c r="E7" s="400"/>
      <c r="F7" s="169">
        <f>SUM(F8:F10)</f>
        <v>125076</v>
      </c>
      <c r="G7" s="170">
        <f>SUM(G8:G10)</f>
        <v>40720</v>
      </c>
      <c r="H7" s="171">
        <f t="shared" ref="H7:H44" si="0">IF(G7="--", 0, G7/F7)</f>
        <v>0.32556205826857271</v>
      </c>
      <c r="I7" s="25"/>
      <c r="J7" s="399" t="s">
        <v>273</v>
      </c>
      <c r="K7" s="400"/>
      <c r="L7" s="170">
        <f>SUM(L8:L10)</f>
        <v>25129</v>
      </c>
      <c r="M7" s="170">
        <f>SUM(M8:M10)</f>
        <v>3465</v>
      </c>
      <c r="N7" s="181">
        <f>IF(M7="--", 0, M7/L7)</f>
        <v>0.13788849536392217</v>
      </c>
      <c r="O7" s="66"/>
      <c r="P7" s="399" t="s">
        <v>978</v>
      </c>
      <c r="Q7" s="400"/>
      <c r="R7" s="182">
        <f>R8+R9+R10+R11+R12</f>
        <v>313775</v>
      </c>
      <c r="S7" s="399"/>
      <c r="T7" s="400"/>
      <c r="U7" s="67"/>
      <c r="V7" s="25"/>
    </row>
    <row r="8" spans="1:22" s="1" customFormat="1" ht="51" customHeight="1" x14ac:dyDescent="0.25">
      <c r="A8" s="25"/>
      <c r="B8" s="284" t="s">
        <v>257</v>
      </c>
      <c r="C8" s="285"/>
      <c r="D8" s="285"/>
      <c r="E8" s="425"/>
      <c r="F8" s="172">
        <f>IFERROR(VLOOKUP(MID(B8,4,3),MMWR_TRAD_AGG_NATIONAL[],2,0),"--")</f>
        <v>380</v>
      </c>
      <c r="G8" s="173">
        <f>IFERROR(VLOOKUP(MID(B8,4,3),MMWR_TRAD_AGG_NATIONAL[],3,0),"--")</f>
        <v>225</v>
      </c>
      <c r="H8" s="174">
        <f t="shared" si="0"/>
        <v>0.59210526315789469</v>
      </c>
      <c r="I8" s="25"/>
      <c r="J8" s="401" t="s">
        <v>275</v>
      </c>
      <c r="K8" s="402"/>
      <c r="L8" s="172">
        <f>IFERROR(VLOOKUP(MID(J8,4,3),MMWR_TRAD_AGG_NATIONAL[],2,0),"--")</f>
        <v>5557</v>
      </c>
      <c r="M8" s="173">
        <f>IFERROR(VLOOKUP(MID(J8,4,3),MMWR_TRAD_AGG_NATIONAL[],3,0),"--")</f>
        <v>288</v>
      </c>
      <c r="N8" s="174">
        <f>IF(M8="--", 0, M8/L8)</f>
        <v>5.1826525103473096E-2</v>
      </c>
      <c r="O8" s="68" t="s">
        <v>319</v>
      </c>
      <c r="P8" s="436" t="s">
        <v>248</v>
      </c>
      <c r="Q8" s="437"/>
      <c r="R8" s="183">
        <f>VLOOKUP(P8,MMWR_APP_NATIONAL[],2,0)</f>
        <v>220675</v>
      </c>
      <c r="S8" s="404" t="s">
        <v>237</v>
      </c>
      <c r="T8" s="403"/>
      <c r="U8" s="184">
        <f>VLOOKUP(P8,MMWR_APP_NATIONAL[],3,0)</f>
        <v>396.17319587629999</v>
      </c>
      <c r="V8" s="25"/>
    </row>
    <row r="9" spans="1:22" s="1" customFormat="1" ht="45" customHeight="1" x14ac:dyDescent="0.25">
      <c r="A9" s="25"/>
      <c r="B9" s="284" t="s">
        <v>255</v>
      </c>
      <c r="C9" s="285"/>
      <c r="D9" s="285"/>
      <c r="E9" s="425"/>
      <c r="F9" s="172">
        <f>IFERROR(VLOOKUP(MID(B9,4,3),MMWR_TRAD_AGG_NATIONAL[],2,0),"--")</f>
        <v>39207</v>
      </c>
      <c r="G9" s="173">
        <f>IFERROR(VLOOKUP(MID(B9,4,3),MMWR_TRAD_AGG_NATIONAL[],3,0),"--")</f>
        <v>13544</v>
      </c>
      <c r="H9" s="174">
        <f t="shared" si="0"/>
        <v>0.34544851684648148</v>
      </c>
      <c r="I9" s="68" t="s">
        <v>319</v>
      </c>
      <c r="J9" s="284" t="s">
        <v>274</v>
      </c>
      <c r="K9" s="285"/>
      <c r="L9" s="172">
        <f>IFERROR(VLOOKUP(MID(J9,4,3),MMWR_TRAD_AGG_NATIONAL[],2,0),"--")</f>
        <v>5702</v>
      </c>
      <c r="M9" s="173">
        <f>IFERROR(VLOOKUP(MID(J9,4,3),MMWR_TRAD_AGG_NATIONAL[],3,0),"--")</f>
        <v>227</v>
      </c>
      <c r="N9" s="174">
        <f>IF(M9="--", 0, M9/L9)</f>
        <v>3.9810592774465102E-2</v>
      </c>
      <c r="O9" s="68" t="s">
        <v>319</v>
      </c>
      <c r="P9" s="447" t="s">
        <v>249</v>
      </c>
      <c r="Q9" s="448"/>
      <c r="R9" s="185">
        <f>VLOOKUP(P9,MMWR_APP_NATIONAL[],2,0)</f>
        <v>56502</v>
      </c>
      <c r="S9" s="449" t="s">
        <v>238</v>
      </c>
      <c r="T9" s="394"/>
      <c r="U9" s="186">
        <f>VLOOKUP(P9,MMWR_APP_NATIONAL[],3,0)</f>
        <v>615.80313971190003</v>
      </c>
      <c r="V9" s="25"/>
    </row>
    <row r="10" spans="1:22" s="1" customFormat="1" ht="63" customHeight="1" thickBot="1" x14ac:dyDescent="0.3">
      <c r="A10" s="25"/>
      <c r="B10" s="284" t="s">
        <v>256</v>
      </c>
      <c r="C10" s="285"/>
      <c r="D10" s="285"/>
      <c r="E10" s="425"/>
      <c r="F10" s="172">
        <f>IFERROR(VLOOKUP(MID(B10,4,3),MMWR_TRAD_AGG_NATIONAL[],2,0),"--")</f>
        <v>85489</v>
      </c>
      <c r="G10" s="173">
        <f>IFERROR(VLOOKUP(MID(B10,4,3),MMWR_TRAD_AGG_NATIONAL[],3,0),"--")</f>
        <v>26951</v>
      </c>
      <c r="H10" s="174">
        <f t="shared" si="0"/>
        <v>0.31525693364058532</v>
      </c>
      <c r="I10" s="68" t="s">
        <v>319</v>
      </c>
      <c r="J10" s="286" t="s">
        <v>276</v>
      </c>
      <c r="K10" s="287"/>
      <c r="L10" s="172">
        <f>IFERROR(VLOOKUP(MID(J10,4,3),MMWR_TRAD_AGG_NATIONAL[],2,0),"--")</f>
        <v>13870</v>
      </c>
      <c r="M10" s="173">
        <f>IFERROR(VLOOKUP(MID(J10,4,3),MMWR_TRAD_AGG_NATIONAL[],3,0),"--")</f>
        <v>2950</v>
      </c>
      <c r="N10" s="174">
        <f>IF(M10="--", 0, M10/L10)</f>
        <v>0.21268925739005046</v>
      </c>
      <c r="O10" s="69"/>
      <c r="P10" s="447" t="s">
        <v>250</v>
      </c>
      <c r="Q10" s="448"/>
      <c r="R10" s="185">
        <f>VLOOKUP(P10,MMWR_APP_NATIONAL[],2,0)</f>
        <v>23669</v>
      </c>
      <c r="S10" s="449" t="s">
        <v>239</v>
      </c>
      <c r="T10" s="394"/>
      <c r="U10" s="186">
        <f>VLOOKUP(P10,MMWR_APP_NATIONAL[],3,0)</f>
        <v>523.01989944649995</v>
      </c>
      <c r="V10" s="25"/>
    </row>
    <row r="11" spans="1:22" s="1" customFormat="1" ht="45" customHeight="1" thickBot="1" x14ac:dyDescent="0.3">
      <c r="A11" s="25"/>
      <c r="B11" s="399" t="s">
        <v>308</v>
      </c>
      <c r="C11" s="400"/>
      <c r="D11" s="400"/>
      <c r="E11" s="400"/>
      <c r="F11" s="169">
        <f>SUM(F12:F13)</f>
        <v>7080</v>
      </c>
      <c r="G11" s="170">
        <f>SUM(G12:G13)</f>
        <v>1415</v>
      </c>
      <c r="H11" s="171">
        <f t="shared" si="0"/>
        <v>0.1998587570621469</v>
      </c>
      <c r="I11" s="25"/>
      <c r="J11" s="399" t="s">
        <v>245</v>
      </c>
      <c r="K11" s="400"/>
      <c r="L11" s="169">
        <f>SUM(L12:L17)</f>
        <v>30171</v>
      </c>
      <c r="M11" s="169">
        <f>SUM(M12:M17)</f>
        <v>6798</v>
      </c>
      <c r="N11" s="162">
        <f>IF(M11="--", 0, M11/L11)</f>
        <v>0.22531570050710947</v>
      </c>
      <c r="O11" s="69"/>
      <c r="P11" s="447" t="s">
        <v>979</v>
      </c>
      <c r="Q11" s="448"/>
      <c r="R11" s="185">
        <f>VLOOKUP(P11,MMWR_APP_NATIONAL[],2,0)</f>
        <v>12503</v>
      </c>
      <c r="S11" s="449" t="s">
        <v>240</v>
      </c>
      <c r="T11" s="394"/>
      <c r="U11" s="186">
        <f>VLOOKUP(P11,MMWR_APP_NATIONAL[],3,0)</f>
        <v>185.6176117732</v>
      </c>
      <c r="V11" s="25"/>
    </row>
    <row r="12" spans="1:22" s="1" customFormat="1" ht="46.5" customHeight="1" thickBot="1" x14ac:dyDescent="0.3">
      <c r="A12" s="25"/>
      <c r="B12" s="395" t="s">
        <v>278</v>
      </c>
      <c r="C12" s="396"/>
      <c r="D12" s="396"/>
      <c r="E12" s="397"/>
      <c r="F12" s="172">
        <f>IFERROR(VLOOKUP(MID(B12,4,3),MMWR_TRAD_AGG_NATIONAL[],2,0),"--")</f>
        <v>6613</v>
      </c>
      <c r="G12" s="173">
        <f>IFERROR(VLOOKUP(MID(B12,4,3),MMWR_TRAD_AGG_NATIONAL[],3,0),"--")</f>
        <v>1060</v>
      </c>
      <c r="H12" s="174">
        <f t="shared" si="0"/>
        <v>0.16029033721457736</v>
      </c>
      <c r="I12" s="68" t="s">
        <v>319</v>
      </c>
      <c r="J12" s="286" t="s">
        <v>268</v>
      </c>
      <c r="K12" s="394"/>
      <c r="L12" s="172">
        <f>IFERROR(VLOOKUP(MID(J12,4,3)&amp;"p",MMWR_TRAD_AGG_NATIONAL[],2,0),"--")</f>
        <v>938</v>
      </c>
      <c r="M12" s="173">
        <f>IFERROR(VLOOKUP(MID(J12,4,3)&amp;"p",MMWR_TRAD_AGG_NATIONAL[],3,0),"--")</f>
        <v>78</v>
      </c>
      <c r="N12" s="174">
        <f t="shared" ref="N12:N17" si="1">IF(L12="--", 0,M12/L12)</f>
        <v>8.3155650319829424E-2</v>
      </c>
      <c r="O12" s="69"/>
      <c r="P12" s="447" t="s">
        <v>960</v>
      </c>
      <c r="Q12" s="448"/>
      <c r="R12" s="185">
        <f>VLOOKUP(P12,MMWR_APP_NATIONAL[],2,0)</f>
        <v>426</v>
      </c>
      <c r="S12" s="450" t="s">
        <v>977</v>
      </c>
      <c r="T12" s="398"/>
      <c r="U12" s="186">
        <f>VLOOKUP(P12,MMWR_APP_NATIONAL[],3,0)</f>
        <v>437.15492957750001</v>
      </c>
      <c r="V12" s="25"/>
    </row>
    <row r="13" spans="1:22" s="1" customFormat="1" ht="49.5" customHeight="1" thickBot="1" x14ac:dyDescent="0.3">
      <c r="A13" s="25"/>
      <c r="B13" s="395" t="s">
        <v>258</v>
      </c>
      <c r="C13" s="396"/>
      <c r="D13" s="396"/>
      <c r="E13" s="397"/>
      <c r="F13" s="172">
        <f>IFERROR(VLOOKUP(MID(B13,4,3),MMWR_TRAD_AGG_NATIONAL[],2,0),"--")</f>
        <v>467</v>
      </c>
      <c r="G13" s="173">
        <f>IFERROR(VLOOKUP(MID(B13,4,3),MMWR_TRAD_AGG_NATIONAL[],3,0),"--")</f>
        <v>355</v>
      </c>
      <c r="H13" s="174">
        <f t="shared" si="0"/>
        <v>0.76017130620985007</v>
      </c>
      <c r="I13" s="25"/>
      <c r="J13" s="286" t="s">
        <v>277</v>
      </c>
      <c r="K13" s="394"/>
      <c r="L13" s="172">
        <f>IFERROR(VLOOKUP(MID(J13,4,3),MMWR_TRAD_AGG_NATIONAL[],2,0),"--")</f>
        <v>3466</v>
      </c>
      <c r="M13" s="173">
        <f>IFERROR(VLOOKUP(MID(J13,4,3),MMWR_TRAD_AGG_NATIONAL[],3,0),"--")</f>
        <v>848</v>
      </c>
      <c r="N13" s="174">
        <f t="shared" si="1"/>
        <v>0.24466243508366994</v>
      </c>
      <c r="O13" s="69"/>
      <c r="P13" s="399" t="s">
        <v>989</v>
      </c>
      <c r="Q13" s="400"/>
      <c r="R13" s="443"/>
      <c r="S13" s="444">
        <f>VLOOKUP(P13,MMWR_APP_NATIONAL[],2,0)</f>
        <v>22955</v>
      </c>
      <c r="T13" s="445"/>
      <c r="U13" s="446"/>
      <c r="V13" s="25"/>
    </row>
    <row r="14" spans="1:22" s="1" customFormat="1" ht="45" customHeight="1" thickBot="1" x14ac:dyDescent="0.3">
      <c r="A14" s="25"/>
      <c r="B14" s="399" t="s">
        <v>1</v>
      </c>
      <c r="C14" s="400"/>
      <c r="D14" s="400"/>
      <c r="E14" s="400"/>
      <c r="F14" s="169">
        <f>SUM(F15:F21)</f>
        <v>200457</v>
      </c>
      <c r="G14" s="170">
        <f>SUM(G15:G21)</f>
        <v>48375</v>
      </c>
      <c r="H14" s="171">
        <f t="shared" si="0"/>
        <v>0.24132357562968618</v>
      </c>
      <c r="I14" s="25"/>
      <c r="J14" s="286" t="s">
        <v>279</v>
      </c>
      <c r="K14" s="394"/>
      <c r="L14" s="172">
        <f>IFERROR(VLOOKUP(MID(J14,4,3),MMWR_TRAD_AGG_NATIONAL[],2,0),"--")</f>
        <v>11456</v>
      </c>
      <c r="M14" s="173">
        <f>IFERROR(VLOOKUP(MID(J14,4,3),MMWR_TRAD_AGG_NATIONAL[],3,0),"--")</f>
        <v>2637</v>
      </c>
      <c r="N14" s="174">
        <f t="shared" si="1"/>
        <v>0.23018505586592178</v>
      </c>
      <c r="O14" s="69"/>
      <c r="P14" s="21"/>
      <c r="Q14" s="21"/>
      <c r="R14" s="21"/>
      <c r="S14" s="28"/>
      <c r="T14" s="28"/>
      <c r="U14" s="70"/>
      <c r="V14" s="25"/>
    </row>
    <row r="15" spans="1:22" s="1" customFormat="1" ht="44.25" customHeight="1" thickBot="1" x14ac:dyDescent="0.3">
      <c r="A15" s="25"/>
      <c r="B15" s="284" t="s">
        <v>259</v>
      </c>
      <c r="C15" s="285"/>
      <c r="D15" s="285"/>
      <c r="E15" s="425"/>
      <c r="F15" s="172">
        <f>IFERROR(VLOOKUP(MID(B15,4,3),MMWR_TRAD_AGG_NATIONAL[],2,0),"--")</f>
        <v>200058</v>
      </c>
      <c r="G15" s="173">
        <f>IFERROR(VLOOKUP(MID(B15,4,3),MMWR_TRAD_AGG_NATIONAL[],3,0),"--")</f>
        <v>48223</v>
      </c>
      <c r="H15" s="174">
        <f t="shared" si="0"/>
        <v>0.24104509692189266</v>
      </c>
      <c r="I15" s="68" t="s">
        <v>319</v>
      </c>
      <c r="J15" s="286" t="s">
        <v>280</v>
      </c>
      <c r="K15" s="394"/>
      <c r="L15" s="172">
        <f>IFERROR(VLOOKUP(MID(J15,4,3),MMWR_TRAD_AGG_NATIONAL[],2,0),"--")</f>
        <v>1</v>
      </c>
      <c r="M15" s="173">
        <f>IFERROR(VLOOKUP(MID(J15,4,3),MMWR_TRAD_AGG_NATIONAL[],3,0),"--")</f>
        <v>1</v>
      </c>
      <c r="N15" s="174">
        <f t="shared" si="1"/>
        <v>1</v>
      </c>
      <c r="O15" s="69"/>
      <c r="P15" s="25"/>
      <c r="Q15" s="25"/>
      <c r="R15" s="25"/>
      <c r="S15" s="25"/>
      <c r="T15" s="28"/>
      <c r="U15" s="71"/>
      <c r="V15" s="25"/>
    </row>
    <row r="16" spans="1:22" s="1" customFormat="1" ht="57.75" customHeight="1" thickBot="1" x14ac:dyDescent="0.3">
      <c r="A16" s="25"/>
      <c r="B16" s="286" t="s">
        <v>260</v>
      </c>
      <c r="C16" s="287"/>
      <c r="D16" s="287"/>
      <c r="E16" s="394"/>
      <c r="F16" s="172">
        <f>IFERROR(VLOOKUP(MID(B16,4,3),MMWR_TRAD_AGG_NATIONAL[],2,0),"--")</f>
        <v>214</v>
      </c>
      <c r="G16" s="173">
        <f>IFERROR(VLOOKUP(MID(B16,4,3),MMWR_TRAD_AGG_NATIONAL[],3,0),"--")</f>
        <v>32</v>
      </c>
      <c r="H16" s="174">
        <f t="shared" si="0"/>
        <v>0.14953271028037382</v>
      </c>
      <c r="I16" s="68" t="s">
        <v>319</v>
      </c>
      <c r="J16" s="286" t="s">
        <v>281</v>
      </c>
      <c r="K16" s="394"/>
      <c r="L16" s="172">
        <f>IFERROR(VLOOKUP(MID(J16,4,3),MMWR_TRAD_AGG_NATIONAL[],2,0),"--")</f>
        <v>3380</v>
      </c>
      <c r="M16" s="173">
        <f>IFERROR(VLOOKUP(MID(J16,4,3),MMWR_TRAD_AGG_NATIONAL[],3,0),"--")</f>
        <v>811</v>
      </c>
      <c r="N16" s="174">
        <f t="shared" si="1"/>
        <v>0.23994082840236686</v>
      </c>
      <c r="O16" s="69"/>
      <c r="P16" s="429" t="s">
        <v>961</v>
      </c>
      <c r="Q16" s="430"/>
      <c r="R16" s="430"/>
      <c r="S16" s="431"/>
      <c r="T16" s="28"/>
      <c r="U16" s="71"/>
      <c r="V16" s="25"/>
    </row>
    <row r="17" spans="1:22" s="1" customFormat="1" ht="31.5" customHeight="1" thickBot="1" x14ac:dyDescent="0.3">
      <c r="A17" s="25"/>
      <c r="B17" s="286" t="s">
        <v>261</v>
      </c>
      <c r="C17" s="287"/>
      <c r="D17" s="287"/>
      <c r="E17" s="394"/>
      <c r="F17" s="172">
        <f>IFERROR(VLOOKUP(MID(B17,4,3),MMWR_TRAD_AGG_NATIONAL[],2,0),"--")</f>
        <v>160</v>
      </c>
      <c r="G17" s="173">
        <f>IFERROR(VLOOKUP(MID(B17,4,3),MMWR_TRAD_AGG_NATIONAL[],3,0),"--")</f>
        <v>114</v>
      </c>
      <c r="H17" s="174">
        <f t="shared" si="0"/>
        <v>0.71250000000000002</v>
      </c>
      <c r="I17" s="25"/>
      <c r="J17" s="286" t="s">
        <v>282</v>
      </c>
      <c r="K17" s="394"/>
      <c r="L17" s="172">
        <f>IFERROR(VLOOKUP(MID(J17,4,3),MMWR_TRAD_AGG_NATIONAL[],2,0),"--")</f>
        <v>10930</v>
      </c>
      <c r="M17" s="173">
        <f>IFERROR(VLOOKUP(MID(J17,4,3),MMWR_TRAD_AGG_NATIONAL[],3,0),"--")</f>
        <v>2423</v>
      </c>
      <c r="N17" s="174">
        <f t="shared" si="1"/>
        <v>0.22168344007319304</v>
      </c>
      <c r="O17" s="72"/>
      <c r="P17" s="438" t="s">
        <v>253</v>
      </c>
      <c r="Q17" s="439"/>
      <c r="R17" s="439"/>
      <c r="S17" s="187">
        <f>IFERROR(VLOOKUP("160",MMWR_TRAD_AGG_NATIONAL[],2,0),"--")</f>
        <v>20786</v>
      </c>
      <c r="T17" s="28"/>
      <c r="U17" s="71"/>
      <c r="V17" s="25"/>
    </row>
    <row r="18" spans="1:22" s="1" customFormat="1" ht="32.25" customHeight="1" thickBot="1" x14ac:dyDescent="0.3">
      <c r="A18" s="25"/>
      <c r="B18" s="286" t="s">
        <v>262</v>
      </c>
      <c r="C18" s="287"/>
      <c r="D18" s="287"/>
      <c r="E18" s="394"/>
      <c r="F18" s="172">
        <f>IFERROR(VLOOKUP(MID(B18,4,3),MMWR_TRAD_AGG_NATIONAL[],2,0),"--")</f>
        <v>13</v>
      </c>
      <c r="G18" s="173">
        <f>IFERROR(VLOOKUP(MID(B18,4,3),MMWR_TRAD_AGG_NATIONAL[],3,0),"--")</f>
        <v>5</v>
      </c>
      <c r="H18" s="174">
        <f t="shared" si="0"/>
        <v>0.38461538461538464</v>
      </c>
      <c r="I18" s="68" t="s">
        <v>319</v>
      </c>
      <c r="J18" s="399" t="s">
        <v>15</v>
      </c>
      <c r="K18" s="400"/>
      <c r="L18" s="169">
        <f>SUM(L19:L21)</f>
        <v>889</v>
      </c>
      <c r="M18" s="169">
        <f>SUM(M19:M21)</f>
        <v>840</v>
      </c>
      <c r="N18" s="162">
        <f t="shared" ref="N18:N26" si="2">IF(M18="--", 0, M18/L18)</f>
        <v>0.94488188976377951</v>
      </c>
      <c r="O18" s="73"/>
      <c r="P18" s="440" t="s">
        <v>254</v>
      </c>
      <c r="Q18" s="441"/>
      <c r="R18" s="441"/>
      <c r="S18" s="188">
        <f>IFERROR(VLOOKUP("165",MMWR_TRAD_AGG_NATIONAL[],2,0),"--")</f>
        <v>9597</v>
      </c>
      <c r="T18" s="28"/>
      <c r="U18" s="71"/>
      <c r="V18" s="25"/>
    </row>
    <row r="19" spans="1:22" s="1" customFormat="1" ht="41.25" customHeight="1" x14ac:dyDescent="0.4">
      <c r="A19" s="25"/>
      <c r="B19" s="286" t="s">
        <v>263</v>
      </c>
      <c r="C19" s="287"/>
      <c r="D19" s="287"/>
      <c r="E19" s="394"/>
      <c r="F19" s="172">
        <f>IFERROR(VLOOKUP(MID(B19,4,3),MMWR_TRAD_AGG_NATIONAL[],2,0),"--")</f>
        <v>1</v>
      </c>
      <c r="G19" s="173">
        <f>IFERROR(VLOOKUP(MID(B19,4,3),MMWR_TRAD_AGG_NATIONAL[],3,0),"--")</f>
        <v>1</v>
      </c>
      <c r="H19" s="174">
        <f t="shared" si="0"/>
        <v>1</v>
      </c>
      <c r="I19" s="68" t="s">
        <v>319</v>
      </c>
      <c r="J19" s="286" t="s">
        <v>283</v>
      </c>
      <c r="K19" s="394"/>
      <c r="L19" s="172">
        <f>IFERROR(VLOOKUP(MID(J19,4,3),MMWR_TRAD_AGG_NATIONAL[],2,0),"--")</f>
        <v>538</v>
      </c>
      <c r="M19" s="173">
        <f>IFERROR(VLOOKUP(MID(J19,4,3),MMWR_TRAD_AGG_NATIONAL[],3,0),"--")</f>
        <v>529</v>
      </c>
      <c r="N19" s="174">
        <f t="shared" si="2"/>
        <v>0.98327137546468402</v>
      </c>
      <c r="O19" s="56"/>
      <c r="P19" s="25"/>
      <c r="Q19" s="25"/>
      <c r="R19" s="25"/>
      <c r="S19" s="25"/>
      <c r="T19" s="28"/>
      <c r="U19" s="71"/>
      <c r="V19" s="25"/>
    </row>
    <row r="20" spans="1:22" s="1" customFormat="1" ht="40.5" customHeight="1" x14ac:dyDescent="0.4">
      <c r="A20" s="25"/>
      <c r="B20" s="286" t="s">
        <v>264</v>
      </c>
      <c r="C20" s="287"/>
      <c r="D20" s="287"/>
      <c r="E20" s="394"/>
      <c r="F20" s="172">
        <f>IFERROR(VLOOKUP(MID(B20,4,3),MMWR_TRAD_AGG_NATIONAL[],2,0),"--")</f>
        <v>6</v>
      </c>
      <c r="G20" s="173">
        <f>IFERROR(VLOOKUP(MID(B20,4,3),MMWR_TRAD_AGG_NATIONAL[],3,0),"--")</f>
        <v>0</v>
      </c>
      <c r="H20" s="174">
        <f t="shared" si="0"/>
        <v>0</v>
      </c>
      <c r="I20" s="68" t="s">
        <v>319</v>
      </c>
      <c r="J20" s="286" t="s">
        <v>306</v>
      </c>
      <c r="K20" s="394"/>
      <c r="L20" s="172">
        <f>IFERROR(VLOOKUP(MID(J20,4,3),MMWR_TRAD_AGG_NATIONAL[],2,0),"--")</f>
        <v>335</v>
      </c>
      <c r="M20" s="173">
        <f>IFERROR(VLOOKUP(MID(J20,4,3),MMWR_TRAD_AGG_NATIONAL[],3,0),"--")</f>
        <v>306</v>
      </c>
      <c r="N20" s="174">
        <f t="shared" si="2"/>
        <v>0.91343283582089552</v>
      </c>
      <c r="O20" s="56"/>
      <c r="P20" s="56"/>
      <c r="Q20" s="56"/>
      <c r="R20" s="56"/>
      <c r="S20" s="56"/>
      <c r="T20" s="56"/>
      <c r="U20" s="74"/>
      <c r="V20" s="25"/>
    </row>
    <row r="21" spans="1:22" s="1" customFormat="1" ht="39" customHeight="1" thickBot="1" x14ac:dyDescent="0.45">
      <c r="A21" s="25"/>
      <c r="B21" s="286" t="s">
        <v>265</v>
      </c>
      <c r="C21" s="287"/>
      <c r="D21" s="287"/>
      <c r="E21" s="394"/>
      <c r="F21" s="172">
        <f>IFERROR(VLOOKUP(MID(B21,4,3),MMWR_TRAD_AGG_NATIONAL[],2,0),"--")</f>
        <v>5</v>
      </c>
      <c r="G21" s="173">
        <f>IFERROR(VLOOKUP(MID(B21,4,3),MMWR_TRAD_AGG_NATIONAL[],3,0),"--")</f>
        <v>0</v>
      </c>
      <c r="H21" s="174">
        <f t="shared" si="0"/>
        <v>0</v>
      </c>
      <c r="I21" s="68" t="s">
        <v>319</v>
      </c>
      <c r="J21" s="286" t="s">
        <v>284</v>
      </c>
      <c r="K21" s="394"/>
      <c r="L21" s="172">
        <f>IFERROR(VLOOKUP(MID(J21,4,3),MMWR_TRAD_AGG_NATIONAL[],2,0),"--")</f>
        <v>16</v>
      </c>
      <c r="M21" s="173">
        <f>IFERROR(VLOOKUP(MID(J21,4,3),MMWR_TRAD_AGG_NATIONAL[],3,0),"--")</f>
        <v>5</v>
      </c>
      <c r="N21" s="174">
        <f t="shared" si="2"/>
        <v>0.3125</v>
      </c>
      <c r="O21" s="56"/>
      <c r="P21" s="56"/>
      <c r="Q21" s="56"/>
      <c r="R21" s="56"/>
      <c r="S21" s="56"/>
      <c r="T21" s="56"/>
      <c r="U21" s="74"/>
      <c r="V21" s="25"/>
    </row>
    <row r="22" spans="1:22" s="1" customFormat="1" ht="32.25" customHeight="1" thickBot="1" x14ac:dyDescent="0.45">
      <c r="A22" s="25"/>
      <c r="B22" s="399" t="s">
        <v>13</v>
      </c>
      <c r="C22" s="400"/>
      <c r="D22" s="400"/>
      <c r="E22" s="400"/>
      <c r="F22" s="169">
        <f>SUM(F23:F29)</f>
        <v>498359</v>
      </c>
      <c r="G22" s="170">
        <f>SUM(G23:G29)</f>
        <v>303690</v>
      </c>
      <c r="H22" s="171">
        <f t="shared" si="0"/>
        <v>0.60937998511113478</v>
      </c>
      <c r="I22" s="25"/>
      <c r="J22" s="399" t="s">
        <v>232</v>
      </c>
      <c r="K22" s="400"/>
      <c r="L22" s="169">
        <f>SUM(L23:L26)</f>
        <v>4661</v>
      </c>
      <c r="M22" s="169">
        <f>SUM(M23:M26)</f>
        <v>950</v>
      </c>
      <c r="N22" s="162">
        <f t="shared" si="2"/>
        <v>0.20381892297790175</v>
      </c>
      <c r="O22" s="56"/>
      <c r="P22" s="25"/>
      <c r="Q22" s="25"/>
      <c r="R22" s="25"/>
      <c r="S22" s="25"/>
      <c r="T22" s="56"/>
      <c r="U22" s="74"/>
      <c r="V22" s="25"/>
    </row>
    <row r="23" spans="1:22" s="1" customFormat="1" ht="26.25" customHeight="1" x14ac:dyDescent="0.4">
      <c r="A23" s="25"/>
      <c r="B23" s="395" t="s">
        <v>266</v>
      </c>
      <c r="C23" s="396"/>
      <c r="D23" s="396"/>
      <c r="E23" s="397"/>
      <c r="F23" s="172">
        <f>IFERROR(VLOOKUP(MID(B23,4,3),MMWR_TRAD_AGG_NATIONAL[],2,0),"--")</f>
        <v>222910</v>
      </c>
      <c r="G23" s="173">
        <f>IFERROR(VLOOKUP(MID(B23,4,3),MMWR_TRAD_AGG_NATIONAL[],3,0),"--")</f>
        <v>159271</v>
      </c>
      <c r="H23" s="174">
        <f t="shared" si="0"/>
        <v>0.71450809743842802</v>
      </c>
      <c r="I23" s="25"/>
      <c r="J23" s="401" t="s">
        <v>287</v>
      </c>
      <c r="K23" s="403"/>
      <c r="L23" s="175">
        <f>IFERROR(VLOOKUP(MID(J23,4,3),MMWR_TRAD_AGG_NATIONAL[],2,0),"--")</f>
        <v>3347</v>
      </c>
      <c r="M23" s="176">
        <f>IFERROR(VLOOKUP(MID(J23,4,3),MMWR_TRAD_AGG_NATIONAL[],3,0),"--")</f>
        <v>546</v>
      </c>
      <c r="N23" s="177">
        <f t="shared" si="2"/>
        <v>0.16313116223483717</v>
      </c>
      <c r="O23" s="56"/>
      <c r="P23" s="25"/>
      <c r="Q23" s="25"/>
      <c r="R23" s="25"/>
      <c r="S23" s="25"/>
      <c r="T23" s="56"/>
      <c r="U23" s="74"/>
      <c r="V23" s="25"/>
    </row>
    <row r="24" spans="1:22" s="1" customFormat="1" ht="39.75" customHeight="1" x14ac:dyDescent="0.4">
      <c r="A24" s="25"/>
      <c r="B24" s="395" t="s">
        <v>267</v>
      </c>
      <c r="C24" s="396"/>
      <c r="D24" s="396"/>
      <c r="E24" s="397"/>
      <c r="F24" s="172">
        <f>IFERROR(VLOOKUP(MID(B24,4,3),MMWR_TRAD_AGG_NATIONAL[],2,0),"--")</f>
        <v>185</v>
      </c>
      <c r="G24" s="173">
        <f>IFERROR(VLOOKUP(MID(B24,4,3),MMWR_TRAD_AGG_NATIONAL[],3,0),"--")</f>
        <v>96</v>
      </c>
      <c r="H24" s="174">
        <f t="shared" si="0"/>
        <v>0.51891891891891895</v>
      </c>
      <c r="I24" s="25"/>
      <c r="J24" s="286" t="s">
        <v>286</v>
      </c>
      <c r="K24" s="394"/>
      <c r="L24" s="172">
        <f>IFERROR(VLOOKUP(MID(J24,4,3),MMWR_TRAD_AGG_NATIONAL[],2,0),"--")</f>
        <v>611</v>
      </c>
      <c r="M24" s="173">
        <f>IFERROR(VLOOKUP(MID(J24,4,3),MMWR_TRAD_AGG_NATIONAL[],3,0),"--")</f>
        <v>20</v>
      </c>
      <c r="N24" s="174">
        <f t="shared" si="2"/>
        <v>3.2733224222585927E-2</v>
      </c>
      <c r="O24" s="56"/>
      <c r="P24" s="25"/>
      <c r="Q24" s="25"/>
      <c r="R24" s="25"/>
      <c r="S24" s="25"/>
      <c r="T24" s="56"/>
      <c r="U24" s="74"/>
      <c r="V24" s="25"/>
    </row>
    <row r="25" spans="1:22" s="1" customFormat="1" ht="37.5" customHeight="1" x14ac:dyDescent="0.4">
      <c r="A25" s="25"/>
      <c r="B25" s="395" t="s">
        <v>268</v>
      </c>
      <c r="C25" s="396"/>
      <c r="D25" s="396"/>
      <c r="E25" s="397"/>
      <c r="F25" s="172">
        <f>IFERROR(VLOOKUP(MID(B25,4,3),MMWR_TRAD_AGG_NATIONAL[],2,0),"--")</f>
        <v>230</v>
      </c>
      <c r="G25" s="173">
        <f>IFERROR(VLOOKUP(MID(B25,4,3),MMWR_TRAD_AGG_NATIONAL[],3,0),"--")</f>
        <v>155</v>
      </c>
      <c r="H25" s="174">
        <f t="shared" si="0"/>
        <v>0.67391304347826086</v>
      </c>
      <c r="I25" s="25"/>
      <c r="J25" s="286" t="s">
        <v>285</v>
      </c>
      <c r="K25" s="394"/>
      <c r="L25" s="172">
        <f>IFERROR(VLOOKUP(MID(J25,4,3),MMWR_TRAD_AGG_NATIONAL[],2,0),"--")</f>
        <v>660</v>
      </c>
      <c r="M25" s="173">
        <f>IFERROR(VLOOKUP(MID(J25,4,3),MMWR_TRAD_AGG_NATIONAL[],3,0),"--")</f>
        <v>358</v>
      </c>
      <c r="N25" s="174">
        <f t="shared" si="2"/>
        <v>0.54242424242424248</v>
      </c>
      <c r="O25" s="56"/>
      <c r="P25" s="56"/>
      <c r="Q25" s="56"/>
      <c r="R25" s="56"/>
      <c r="S25" s="56"/>
      <c r="T25" s="56"/>
      <c r="U25" s="74"/>
      <c r="V25" s="25"/>
    </row>
    <row r="26" spans="1:22" s="1" customFormat="1" ht="37.5" customHeight="1" thickBot="1" x14ac:dyDescent="0.45">
      <c r="A26" s="25"/>
      <c r="B26" s="395" t="s">
        <v>269</v>
      </c>
      <c r="C26" s="396"/>
      <c r="D26" s="396"/>
      <c r="E26" s="397"/>
      <c r="F26" s="172">
        <f>IFERROR(VLOOKUP(MID(B26,4,3),MMWR_TRAD_AGG_NATIONAL[],2,0),"--")</f>
        <v>128846</v>
      </c>
      <c r="G26" s="173">
        <f>IFERROR(VLOOKUP(MID(B26,4,3),MMWR_TRAD_AGG_NATIONAL[],3,0),"--")</f>
        <v>88238</v>
      </c>
      <c r="H26" s="174">
        <f t="shared" si="0"/>
        <v>0.68483305651708237</v>
      </c>
      <c r="I26" s="56"/>
      <c r="J26" s="291" t="s">
        <v>322</v>
      </c>
      <c r="K26" s="398"/>
      <c r="L26" s="178">
        <f>IFERROR(VLOOKUP(MID(J26,4,3),MMWR_TRAD_AGG_NATIONAL[],2,0),"--")</f>
        <v>43</v>
      </c>
      <c r="M26" s="179">
        <f>IFERROR(VLOOKUP(MID(J26,4,3),MMWR_TRAD_AGG_NATIONAL[],3,0),"--")</f>
        <v>26</v>
      </c>
      <c r="N26" s="180">
        <f t="shared" si="2"/>
        <v>0.60465116279069764</v>
      </c>
      <c r="O26" s="56"/>
      <c r="P26" s="56"/>
      <c r="Q26" s="56"/>
      <c r="R26" s="56"/>
      <c r="S26" s="56"/>
      <c r="T26" s="56"/>
      <c r="U26" s="74"/>
      <c r="V26" s="25"/>
    </row>
    <row r="27" spans="1:22" s="1" customFormat="1" ht="26.25" customHeight="1" thickBot="1" x14ac:dyDescent="0.45">
      <c r="A27" s="25"/>
      <c r="B27" s="395" t="s">
        <v>270</v>
      </c>
      <c r="C27" s="396"/>
      <c r="D27" s="396"/>
      <c r="E27" s="397"/>
      <c r="F27" s="172">
        <f>IFERROR(VLOOKUP(MID(B27,4,3),MMWR_TRAD_AGG_NATIONAL[],2,0),"--")</f>
        <v>29</v>
      </c>
      <c r="G27" s="173">
        <f>IFERROR(VLOOKUP(MID(B27,4,3),MMWR_TRAD_AGG_NATIONAL[],3,0),"--")</f>
        <v>5</v>
      </c>
      <c r="H27" s="174">
        <f t="shared" si="0"/>
        <v>0.17241379310344829</v>
      </c>
      <c r="I27" s="56"/>
      <c r="J27" s="56"/>
      <c r="K27" s="56"/>
      <c r="L27" s="56"/>
      <c r="M27" s="56"/>
      <c r="N27" s="56"/>
      <c r="O27" s="56"/>
      <c r="P27" s="56"/>
      <c r="Q27" s="56"/>
      <c r="R27" s="56"/>
      <c r="S27" s="56"/>
      <c r="T27" s="56"/>
      <c r="U27" s="74"/>
      <c r="V27" s="25"/>
    </row>
    <row r="28" spans="1:22" s="1" customFormat="1" ht="32.25" customHeight="1" x14ac:dyDescent="0.4">
      <c r="A28" s="25"/>
      <c r="B28" s="395" t="s">
        <v>271</v>
      </c>
      <c r="C28" s="396"/>
      <c r="D28" s="396"/>
      <c r="E28" s="397"/>
      <c r="F28" s="172">
        <f>IFERROR(VLOOKUP(MID(B28,4,3),MMWR_TRAD_AGG_NATIONAL[],2,0),"--")</f>
        <v>13900</v>
      </c>
      <c r="G28" s="173">
        <f>IFERROR(VLOOKUP(MID(B28,4,3),MMWR_TRAD_AGG_NATIONAL[],3,0),"--")</f>
        <v>1462</v>
      </c>
      <c r="H28" s="174">
        <f t="shared" si="0"/>
        <v>0.10517985611510791</v>
      </c>
      <c r="I28" s="68" t="s">
        <v>319</v>
      </c>
      <c r="J28" s="407" t="s">
        <v>321</v>
      </c>
      <c r="K28" s="408"/>
      <c r="L28" s="408"/>
      <c r="M28" s="408"/>
      <c r="N28" s="409"/>
      <c r="O28" s="442" t="s">
        <v>319</v>
      </c>
      <c r="P28" s="75"/>
      <c r="Q28" s="56"/>
      <c r="R28" s="56"/>
      <c r="S28" s="56"/>
      <c r="T28" s="56"/>
      <c r="U28" s="74"/>
      <c r="V28" s="25"/>
    </row>
    <row r="29" spans="1:22" s="1" customFormat="1" ht="27" customHeight="1" thickBot="1" x14ac:dyDescent="0.45">
      <c r="A29" s="25"/>
      <c r="B29" s="395" t="s">
        <v>272</v>
      </c>
      <c r="C29" s="396"/>
      <c r="D29" s="396"/>
      <c r="E29" s="397"/>
      <c r="F29" s="172">
        <f>IFERROR(VLOOKUP(MID(B29,4,3),MMWR_TRAD_AGG_NATIONAL[],2,0),"--")</f>
        <v>132259</v>
      </c>
      <c r="G29" s="173">
        <f>IFERROR(VLOOKUP(MID(B29,4,3),MMWR_TRAD_AGG_NATIONAL[],3,0),"--")</f>
        <v>54463</v>
      </c>
      <c r="H29" s="174">
        <f t="shared" si="0"/>
        <v>0.41179050196962019</v>
      </c>
      <c r="I29" s="56"/>
      <c r="J29" s="410"/>
      <c r="K29" s="411"/>
      <c r="L29" s="411"/>
      <c r="M29" s="411"/>
      <c r="N29" s="412"/>
      <c r="O29" s="442"/>
      <c r="P29" s="76"/>
      <c r="Q29" s="56"/>
      <c r="R29" s="56"/>
      <c r="S29" s="56"/>
      <c r="T29" s="56"/>
      <c r="U29" s="74"/>
      <c r="V29" s="25"/>
    </row>
    <row r="30" spans="1:22" s="1" customFormat="1" ht="32.25" customHeight="1" thickBot="1" x14ac:dyDescent="0.45">
      <c r="A30" s="25"/>
      <c r="B30" s="399" t="s">
        <v>32</v>
      </c>
      <c r="C30" s="400"/>
      <c r="D30" s="400"/>
      <c r="E30" s="400"/>
      <c r="F30" s="170">
        <f>SUM(F31:F37)</f>
        <v>84595</v>
      </c>
      <c r="G30" s="170">
        <f>SUM(G31:G37)</f>
        <v>65401</v>
      </c>
      <c r="H30" s="162">
        <f t="shared" si="0"/>
        <v>0.77310715763342985</v>
      </c>
      <c r="I30" s="56"/>
      <c r="J30" s="28"/>
      <c r="K30" s="28"/>
      <c r="L30" s="28"/>
      <c r="M30" s="28"/>
      <c r="N30" s="28"/>
      <c r="O30" s="28"/>
      <c r="P30" s="56"/>
      <c r="Q30" s="56"/>
      <c r="R30" s="56"/>
      <c r="S30" s="56"/>
      <c r="T30" s="56"/>
      <c r="U30" s="74"/>
      <c r="V30" s="25"/>
    </row>
    <row r="31" spans="1:22" s="1" customFormat="1" ht="33.75" customHeight="1" x14ac:dyDescent="0.4">
      <c r="A31" s="25"/>
      <c r="B31" s="286" t="s">
        <v>289</v>
      </c>
      <c r="C31" s="287"/>
      <c r="D31" s="287"/>
      <c r="E31" s="394"/>
      <c r="F31" s="172">
        <f>IFERROR(VLOOKUP(MID(B31,4,3),MMWR_TRAD_AGG_NATIONAL[],2,0),"--")</f>
        <v>45</v>
      </c>
      <c r="G31" s="173">
        <f>IFERROR(VLOOKUP(MID(B31,4,3),MMWR_TRAD_AGG_NATIONAL[],3,0),"--")</f>
        <v>45</v>
      </c>
      <c r="H31" s="174">
        <f t="shared" si="0"/>
        <v>1</v>
      </c>
      <c r="I31" s="56"/>
      <c r="J31" s="56"/>
      <c r="K31" s="56"/>
      <c r="L31" s="56"/>
      <c r="M31" s="56"/>
      <c r="N31" s="56"/>
      <c r="O31" s="56"/>
      <c r="P31" s="56"/>
      <c r="Q31" s="56"/>
      <c r="R31" s="56"/>
      <c r="S31" s="56"/>
      <c r="T31" s="56"/>
      <c r="U31" s="74"/>
      <c r="V31" s="25"/>
    </row>
    <row r="32" spans="1:22" s="1" customFormat="1" ht="32.25" customHeight="1" x14ac:dyDescent="0.4">
      <c r="A32" s="25"/>
      <c r="B32" s="286" t="s">
        <v>290</v>
      </c>
      <c r="C32" s="287"/>
      <c r="D32" s="287"/>
      <c r="E32" s="394"/>
      <c r="F32" s="172">
        <f>IFERROR(VLOOKUP(MID(B32,4,3),MMWR_TRAD_AGG_NATIONAL[],2,0),"--")</f>
        <v>51</v>
      </c>
      <c r="G32" s="173">
        <f>IFERROR(VLOOKUP(MID(B32,4,3),MMWR_TRAD_AGG_NATIONAL[],3,0),"--")</f>
        <v>51</v>
      </c>
      <c r="H32" s="174">
        <f t="shared" si="0"/>
        <v>1</v>
      </c>
      <c r="I32" s="56"/>
      <c r="J32" s="56"/>
      <c r="K32" s="56"/>
      <c r="L32" s="56"/>
      <c r="M32" s="56"/>
      <c r="N32" s="56"/>
      <c r="O32" s="56"/>
      <c r="P32" s="56"/>
      <c r="Q32" s="56"/>
      <c r="R32" s="56"/>
      <c r="S32" s="56"/>
      <c r="T32" s="56"/>
      <c r="U32" s="74"/>
      <c r="V32" s="25"/>
    </row>
    <row r="33" spans="1:22" s="1" customFormat="1" ht="32.25" customHeight="1" x14ac:dyDescent="0.4">
      <c r="A33" s="25"/>
      <c r="B33" s="286" t="s">
        <v>291</v>
      </c>
      <c r="C33" s="287"/>
      <c r="D33" s="287"/>
      <c r="E33" s="394"/>
      <c r="F33" s="172">
        <f>IFERROR(VLOOKUP(MID(B33,4,3),MMWR_TRAD_AGG_NATIONAL[],2,0),"--")</f>
        <v>691</v>
      </c>
      <c r="G33" s="173">
        <f>IFERROR(VLOOKUP(MID(B33,4,3),MMWR_TRAD_AGG_NATIONAL[],3,0),"--")</f>
        <v>622</v>
      </c>
      <c r="H33" s="174">
        <f t="shared" si="0"/>
        <v>0.90014471780028948</v>
      </c>
      <c r="I33" s="56"/>
      <c r="J33" s="56"/>
      <c r="K33" s="56"/>
      <c r="L33" s="28"/>
      <c r="M33" s="28"/>
      <c r="N33" s="28"/>
      <c r="O33" s="28"/>
      <c r="P33" s="28"/>
      <c r="Q33" s="28"/>
      <c r="R33" s="56"/>
      <c r="S33" s="56"/>
      <c r="T33" s="56"/>
      <c r="U33" s="74"/>
      <c r="V33" s="25"/>
    </row>
    <row r="34" spans="1:22" s="1" customFormat="1" ht="32.25" customHeight="1" x14ac:dyDescent="0.4">
      <c r="A34" s="25"/>
      <c r="B34" s="286" t="s">
        <v>292</v>
      </c>
      <c r="C34" s="287"/>
      <c r="D34" s="287"/>
      <c r="E34" s="394"/>
      <c r="F34" s="172">
        <f>IFERROR(VLOOKUP(MID(B34,4,3),MMWR_TRAD_AGG_NATIONAL[],2,0),"--")</f>
        <v>1130</v>
      </c>
      <c r="G34" s="173">
        <f>IFERROR(VLOOKUP(MID(B34,4,3),MMWR_TRAD_AGG_NATIONAL[],3,0),"--")</f>
        <v>366</v>
      </c>
      <c r="H34" s="174">
        <f t="shared" si="0"/>
        <v>0.32389380530973449</v>
      </c>
      <c r="I34" s="56"/>
      <c r="J34" s="56"/>
      <c r="K34" s="56"/>
      <c r="L34" s="28"/>
      <c r="M34" s="28"/>
      <c r="N34" s="28"/>
      <c r="O34" s="28"/>
      <c r="P34" s="28"/>
      <c r="Q34" s="28"/>
      <c r="R34" s="56"/>
      <c r="S34" s="56"/>
      <c r="T34" s="56"/>
      <c r="U34" s="74"/>
      <c r="V34" s="25"/>
    </row>
    <row r="35" spans="1:22" s="1" customFormat="1" ht="32.25" customHeight="1" x14ac:dyDescent="0.4">
      <c r="A35" s="25"/>
      <c r="B35" s="286" t="s">
        <v>293</v>
      </c>
      <c r="C35" s="287"/>
      <c r="D35" s="287"/>
      <c r="E35" s="394"/>
      <c r="F35" s="172">
        <f>IFERROR(VLOOKUP(MID(B35,4,3),MMWR_TRAD_AGG_NATIONAL[],2,0),"--")</f>
        <v>191</v>
      </c>
      <c r="G35" s="173">
        <f>IFERROR(VLOOKUP(MID(B35,4,3),MMWR_TRAD_AGG_NATIONAL[],3,0),"--")</f>
        <v>189</v>
      </c>
      <c r="H35" s="174">
        <f t="shared" si="0"/>
        <v>0.98952879581151831</v>
      </c>
      <c r="I35" s="56"/>
      <c r="J35" s="56"/>
      <c r="K35" s="56"/>
      <c r="L35" s="56"/>
      <c r="M35" s="56"/>
      <c r="N35" s="56"/>
      <c r="O35" s="56"/>
      <c r="P35" s="56"/>
      <c r="Q35" s="56"/>
      <c r="R35" s="56"/>
      <c r="S35" s="56"/>
      <c r="T35" s="56"/>
      <c r="U35" s="74"/>
      <c r="V35" s="25"/>
    </row>
    <row r="36" spans="1:22" s="1" customFormat="1" ht="32.25" customHeight="1" x14ac:dyDescent="0.4">
      <c r="A36" s="25"/>
      <c r="B36" s="286" t="s">
        <v>294</v>
      </c>
      <c r="C36" s="287"/>
      <c r="D36" s="287"/>
      <c r="E36" s="394"/>
      <c r="F36" s="172">
        <f>IFERROR(VLOOKUP(MID(B36,4,3),MMWR_TRAD_AGG_NATIONAL[],2,0),"--")</f>
        <v>17836</v>
      </c>
      <c r="G36" s="173">
        <f>IFERROR(VLOOKUP(MID(B36,4,3),MMWR_TRAD_AGG_NATIONAL[],3,0),"--")</f>
        <v>13077</v>
      </c>
      <c r="H36" s="174">
        <f t="shared" si="0"/>
        <v>0.7331800852209015</v>
      </c>
      <c r="I36" s="56"/>
      <c r="J36" s="56"/>
      <c r="K36" s="56"/>
      <c r="L36" s="56"/>
      <c r="M36" s="56"/>
      <c r="N36" s="56"/>
      <c r="O36" s="56"/>
      <c r="P36" s="56"/>
      <c r="Q36" s="56"/>
      <c r="R36" s="56"/>
      <c r="S36" s="56"/>
      <c r="T36" s="56"/>
      <c r="U36" s="74"/>
      <c r="V36" s="25"/>
    </row>
    <row r="37" spans="1:22" s="1" customFormat="1" ht="27" customHeight="1" thickBot="1" x14ac:dyDescent="0.45">
      <c r="A37" s="25"/>
      <c r="B37" s="286" t="s">
        <v>295</v>
      </c>
      <c r="C37" s="287"/>
      <c r="D37" s="287"/>
      <c r="E37" s="394"/>
      <c r="F37" s="172">
        <f>IFERROR(VLOOKUP(MID(B37,4,3)&amp;"G",MMWR_TRAD_AGG_NATIONAL[],2,0),"--")</f>
        <v>64651</v>
      </c>
      <c r="G37" s="173">
        <f>IFERROR(VLOOKUP(MID(B37,4,3)&amp;"G",MMWR_TRAD_AGG_NATIONAL[],3,0),"--")</f>
        <v>51051</v>
      </c>
      <c r="H37" s="174">
        <f t="shared" si="0"/>
        <v>0.78963975808572184</v>
      </c>
      <c r="I37" s="56"/>
      <c r="J37" s="56"/>
      <c r="K37" s="56"/>
      <c r="L37" s="56"/>
      <c r="M37" s="56"/>
      <c r="N37" s="56"/>
      <c r="O37" s="56"/>
      <c r="P37" s="56"/>
      <c r="Q37" s="56"/>
      <c r="R37" s="56"/>
      <c r="S37" s="56"/>
      <c r="T37" s="56"/>
      <c r="U37" s="74"/>
      <c r="V37" s="25"/>
    </row>
    <row r="38" spans="1:22" s="1" customFormat="1" ht="32.25" customHeight="1" thickBot="1" x14ac:dyDescent="0.45">
      <c r="A38" s="25"/>
      <c r="B38" s="399" t="s">
        <v>246</v>
      </c>
      <c r="C38" s="400"/>
      <c r="D38" s="400"/>
      <c r="E38" s="400"/>
      <c r="F38" s="169">
        <f>SUM(F39:F44)</f>
        <v>161652</v>
      </c>
      <c r="G38" s="170">
        <f>SUM(G39:G44)</f>
        <v>101194</v>
      </c>
      <c r="H38" s="171">
        <f t="shared" si="0"/>
        <v>0.62599905970850966</v>
      </c>
      <c r="I38" s="56"/>
      <c r="J38" s="56"/>
      <c r="K38" s="75"/>
      <c r="L38" s="75"/>
      <c r="M38" s="75"/>
      <c r="N38" s="75"/>
      <c r="O38" s="75"/>
      <c r="P38" s="56"/>
      <c r="Q38" s="56"/>
      <c r="R38" s="56"/>
      <c r="S38" s="56"/>
      <c r="T38" s="56"/>
      <c r="U38" s="74"/>
      <c r="V38" s="25"/>
    </row>
    <row r="39" spans="1:22" s="1" customFormat="1" ht="26.25" customHeight="1" x14ac:dyDescent="0.4">
      <c r="A39" s="25"/>
      <c r="B39" s="401" t="s">
        <v>296</v>
      </c>
      <c r="C39" s="402"/>
      <c r="D39" s="402"/>
      <c r="E39" s="403"/>
      <c r="F39" s="175">
        <f>IFERROR(VLOOKUP(MID(B39,4,3),MMWR_TRAD_AGG_NATIONAL[],2,0),"--")</f>
        <v>6600</v>
      </c>
      <c r="G39" s="176">
        <f>IFERROR(VLOOKUP(MID(B39,4,3),MMWR_TRAD_AGG_NATIONAL[],3,0),"--")</f>
        <v>5052</v>
      </c>
      <c r="H39" s="177">
        <f t="shared" si="0"/>
        <v>0.7654545454545455</v>
      </c>
      <c r="I39" s="56"/>
      <c r="J39" s="56"/>
      <c r="K39" s="75"/>
      <c r="L39" s="75"/>
      <c r="M39" s="75"/>
      <c r="N39" s="75"/>
      <c r="O39" s="75"/>
      <c r="P39" s="56"/>
      <c r="Q39" s="56"/>
      <c r="R39" s="56"/>
      <c r="S39" s="56"/>
      <c r="T39" s="56"/>
      <c r="U39" s="74"/>
      <c r="V39" s="25"/>
    </row>
    <row r="40" spans="1:22" s="1" customFormat="1" ht="26.25" customHeight="1" x14ac:dyDescent="0.4">
      <c r="A40" s="25"/>
      <c r="B40" s="286" t="s">
        <v>297</v>
      </c>
      <c r="C40" s="287"/>
      <c r="D40" s="287"/>
      <c r="E40" s="394"/>
      <c r="F40" s="172">
        <f>IFERROR(VLOOKUP(MID(B40,4,3),MMWR_TRAD_AGG_NATIONAL[],2,0),"--")</f>
        <v>110342</v>
      </c>
      <c r="G40" s="173">
        <f>IFERROR(VLOOKUP(MID(B40,4,3),MMWR_TRAD_AGG_NATIONAL[],3,0),"--")</f>
        <v>71405</v>
      </c>
      <c r="H40" s="174">
        <f t="shared" si="0"/>
        <v>0.64712439506262343</v>
      </c>
      <c r="I40" s="56"/>
      <c r="J40" s="56"/>
      <c r="K40" s="56"/>
      <c r="L40" s="56"/>
      <c r="M40" s="56"/>
      <c r="N40" s="56"/>
      <c r="O40" s="56"/>
      <c r="P40" s="56"/>
      <c r="Q40" s="56"/>
      <c r="R40" s="56"/>
      <c r="S40" s="56"/>
      <c r="T40" s="56"/>
      <c r="U40" s="74"/>
      <c r="V40" s="25"/>
    </row>
    <row r="41" spans="1:22" s="1" customFormat="1" ht="26.25" customHeight="1" x14ac:dyDescent="0.4">
      <c r="A41" s="25"/>
      <c r="B41" s="286" t="s">
        <v>298</v>
      </c>
      <c r="C41" s="287"/>
      <c r="D41" s="287"/>
      <c r="E41" s="394"/>
      <c r="F41" s="172">
        <f>IFERROR(VLOOKUP(MID(B41,4,3),MMWR_TRAD_AGG_NATIONAL[],2,0),"--")</f>
        <v>1687</v>
      </c>
      <c r="G41" s="173">
        <f>IFERROR(VLOOKUP(MID(B41,4,3),MMWR_TRAD_AGG_NATIONAL[],3,0),"--")</f>
        <v>481</v>
      </c>
      <c r="H41" s="174">
        <f t="shared" si="0"/>
        <v>0.2851215174866627</v>
      </c>
      <c r="I41" s="56"/>
      <c r="J41" s="56"/>
      <c r="K41" s="56"/>
      <c r="L41" s="56"/>
      <c r="M41" s="56"/>
      <c r="N41" s="56"/>
      <c r="O41" s="56"/>
      <c r="P41" s="56"/>
      <c r="Q41" s="56"/>
      <c r="R41" s="56"/>
      <c r="S41" s="56"/>
      <c r="T41" s="56"/>
      <c r="U41" s="74"/>
      <c r="V41" s="25"/>
    </row>
    <row r="42" spans="1:22" s="1" customFormat="1" ht="36" customHeight="1" x14ac:dyDescent="0.4">
      <c r="A42" s="25"/>
      <c r="B42" s="286" t="s">
        <v>299</v>
      </c>
      <c r="C42" s="287"/>
      <c r="D42" s="287"/>
      <c r="E42" s="394"/>
      <c r="F42" s="172">
        <f>IFERROR(VLOOKUP(MID(B42,4,3),MMWR_TRAD_AGG_NATIONAL[],2,0),"--")</f>
        <v>24341</v>
      </c>
      <c r="G42" s="173">
        <f>IFERROR(VLOOKUP(MID(B42,4,3),MMWR_TRAD_AGG_NATIONAL[],3,0),"--")</f>
        <v>8117</v>
      </c>
      <c r="H42" s="174">
        <f t="shared" si="0"/>
        <v>0.33347027648822974</v>
      </c>
      <c r="I42" s="56"/>
      <c r="J42" s="56"/>
      <c r="K42" s="56"/>
      <c r="L42" s="56"/>
      <c r="M42" s="56"/>
      <c r="N42" s="56"/>
      <c r="O42" s="56"/>
      <c r="P42" s="56"/>
      <c r="Q42" s="56"/>
      <c r="R42" s="56"/>
      <c r="S42" s="56"/>
      <c r="T42" s="56"/>
      <c r="U42" s="74"/>
      <c r="V42" s="25"/>
    </row>
    <row r="43" spans="1:22" s="1" customFormat="1" ht="33" customHeight="1" x14ac:dyDescent="0.4">
      <c r="A43" s="25"/>
      <c r="B43" s="286" t="s">
        <v>300</v>
      </c>
      <c r="C43" s="287"/>
      <c r="D43" s="287"/>
      <c r="E43" s="394"/>
      <c r="F43" s="172">
        <f>IFERROR(VLOOKUP(MID(B43,4,3),MMWR_TRAD_AGG_NATIONAL[],2,0),"--")</f>
        <v>18144</v>
      </c>
      <c r="G43" s="173">
        <f>IFERROR(VLOOKUP(MID(B43,4,3),MMWR_TRAD_AGG_NATIONAL[],3,0),"--")</f>
        <v>15672</v>
      </c>
      <c r="H43" s="174">
        <f t="shared" si="0"/>
        <v>0.86375661375661372</v>
      </c>
      <c r="I43" s="56"/>
      <c r="J43" s="56"/>
      <c r="K43" s="56"/>
      <c r="L43" s="56"/>
      <c r="M43" s="56"/>
      <c r="N43" s="56"/>
      <c r="O43" s="56"/>
      <c r="P43" s="56"/>
      <c r="Q43" s="56"/>
      <c r="R43" s="56"/>
      <c r="S43" s="56"/>
      <c r="T43" s="56"/>
      <c r="U43" s="74"/>
      <c r="V43" s="25"/>
    </row>
    <row r="44" spans="1:22" s="1" customFormat="1" ht="27" customHeight="1" thickBot="1" x14ac:dyDescent="0.45">
      <c r="A44" s="25"/>
      <c r="B44" s="291" t="s">
        <v>301</v>
      </c>
      <c r="C44" s="292"/>
      <c r="D44" s="292"/>
      <c r="E44" s="398"/>
      <c r="F44" s="178">
        <f>IFERROR(VLOOKUP(MID(B44,4,3),MMWR_TRAD_AGG_NATIONAL[],2,0),"--")</f>
        <v>538</v>
      </c>
      <c r="G44" s="179">
        <f>IFERROR(VLOOKUP(MID(B44,4,3),MMWR_TRAD_AGG_NATIONAL[],3,0),"--")</f>
        <v>467</v>
      </c>
      <c r="H44" s="180">
        <f t="shared" si="0"/>
        <v>0.86802973977695164</v>
      </c>
      <c r="I44" s="77"/>
      <c r="J44" s="77"/>
      <c r="K44" s="77"/>
      <c r="L44" s="77"/>
      <c r="M44" s="77"/>
      <c r="N44" s="77"/>
      <c r="O44" s="77"/>
      <c r="P44" s="77"/>
      <c r="Q44" s="77"/>
      <c r="R44" s="77"/>
      <c r="S44" s="77"/>
      <c r="T44" s="77"/>
      <c r="U44" s="78"/>
      <c r="V44" s="25"/>
    </row>
    <row r="45" spans="1:22" s="1" customFormat="1" ht="15" customHeight="1" x14ac:dyDescent="0.25">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5"/>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70" zoomScaleNormal="70" workbookViewId="0">
      <pane ySplit="4" topLeftCell="A5" activePane="bottomLeft" state="frozen"/>
      <selection pane="bottomLeft"/>
    </sheetView>
  </sheetViews>
  <sheetFormatPr defaultColWidth="0" defaultRowHeight="13.2" zeroHeight="1" x14ac:dyDescent="0.25"/>
  <cols>
    <col min="1" max="1" width="2.88671875" customWidth="1"/>
    <col min="2" max="2" width="22.5546875" bestFit="1" customWidth="1"/>
    <col min="3" max="19" width="12.88671875" customWidth="1"/>
    <col min="20" max="20" width="2.88671875" customWidth="1"/>
    <col min="21" max="16384" width="9.109375" hidden="1"/>
  </cols>
  <sheetData>
    <row r="1" spans="1:20" x14ac:dyDescent="0.25">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4.6" x14ac:dyDescent="0.4">
      <c r="A2" s="25"/>
      <c r="B2" s="26"/>
      <c r="C2" s="451" t="str">
        <f>UPPER("INVENTORY BY REGIONAL OFFICE "&amp;Transformation!B4)</f>
        <v>INVENTORY BY REGIONAL OFFICE AS OF: AUGUST 29, 2015</v>
      </c>
      <c r="D2" s="452"/>
      <c r="E2" s="452"/>
      <c r="F2" s="452"/>
      <c r="G2" s="452"/>
      <c r="H2" s="452"/>
      <c r="I2" s="452"/>
      <c r="J2" s="452"/>
      <c r="K2" s="452"/>
      <c r="L2" s="452"/>
      <c r="M2" s="452"/>
      <c r="N2" s="452"/>
      <c r="O2" s="452"/>
      <c r="P2" s="452"/>
      <c r="Q2" s="452"/>
      <c r="R2" s="452"/>
      <c r="S2" s="453"/>
      <c r="T2" s="25"/>
    </row>
    <row r="3" spans="1:20" x14ac:dyDescent="0.25">
      <c r="A3" s="25"/>
      <c r="B3" s="26"/>
      <c r="C3" s="454" t="s">
        <v>233</v>
      </c>
      <c r="D3" s="455"/>
      <c r="E3" s="456" t="s">
        <v>213</v>
      </c>
      <c r="F3" s="457"/>
      <c r="G3" s="458"/>
      <c r="H3" s="456" t="s">
        <v>7</v>
      </c>
      <c r="I3" s="457"/>
      <c r="J3" s="458"/>
      <c r="K3" s="456" t="s">
        <v>33</v>
      </c>
      <c r="L3" s="457"/>
      <c r="M3" s="458"/>
      <c r="N3" s="456" t="s">
        <v>8</v>
      </c>
      <c r="O3" s="457"/>
      <c r="P3" s="458"/>
      <c r="Q3" s="81" t="s">
        <v>9</v>
      </c>
      <c r="R3" s="82" t="s">
        <v>10</v>
      </c>
      <c r="S3" s="82" t="s">
        <v>11</v>
      </c>
      <c r="T3" s="25"/>
    </row>
    <row r="4" spans="1:20" ht="39.6" x14ac:dyDescent="0.25">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498</v>
      </c>
      <c r="T4" s="91"/>
    </row>
    <row r="5" spans="1:20" ht="24.6" x14ac:dyDescent="0.4">
      <c r="A5" s="25"/>
      <c r="B5" s="26"/>
      <c r="C5" s="451" t="s">
        <v>496</v>
      </c>
      <c r="D5" s="452"/>
      <c r="E5" s="452"/>
      <c r="F5" s="452"/>
      <c r="G5" s="452"/>
      <c r="H5" s="452"/>
      <c r="I5" s="452"/>
      <c r="J5" s="452"/>
      <c r="K5" s="452"/>
      <c r="L5" s="452"/>
      <c r="M5" s="452"/>
      <c r="N5" s="452"/>
      <c r="O5" s="452"/>
      <c r="P5" s="452"/>
      <c r="Q5" s="452"/>
      <c r="R5" s="452"/>
      <c r="S5" s="453"/>
      <c r="T5" s="25"/>
    </row>
    <row r="6" spans="1:20" x14ac:dyDescent="0.25">
      <c r="A6" s="92"/>
      <c r="B6" s="93" t="s">
        <v>471</v>
      </c>
      <c r="C6" s="211">
        <f>IFERROR(VLOOKUP($B6,MMWR_TRAD_AGG_DISTRICT_COMP[],C$1,0),"ERROR")</f>
        <v>352017</v>
      </c>
      <c r="D6" s="189">
        <f>IFERROR(VLOOKUP($B6,MMWR_TRAD_AGG_DISTRICT_COMP[],D$1,0),"ERROR")</f>
        <v>372.03491592739999</v>
      </c>
      <c r="E6" s="197">
        <f>IFERROR(VLOOKUP($B6,MMWR_TRAD_AGG_DISTRICT_COMP[],E$1,0),"ERROR")</f>
        <v>332613</v>
      </c>
      <c r="F6" s="191">
        <f>IFERROR(VLOOKUP($B6,MMWR_TRAD_AGG_DISTRICT_COMP[],F$1,0),"ERROR")</f>
        <v>90510</v>
      </c>
      <c r="G6" s="214">
        <f t="shared" ref="G6:G69" si="0">IFERROR(F6/E6,"0%")</f>
        <v>0.27211804709978266</v>
      </c>
      <c r="H6" s="190">
        <f>IFERROR(VLOOKUP($B6,MMWR_TRAD_AGG_DISTRICT_COMP[],H$1,0),"ERROR")</f>
        <v>498359</v>
      </c>
      <c r="I6" s="191">
        <f>IFERROR(VLOOKUP($B6,MMWR_TRAD_AGG_DISTRICT_COMP[],I$1,0),"ERROR")</f>
        <v>303690</v>
      </c>
      <c r="J6" s="214">
        <f t="shared" ref="J6:J69" si="1">IFERROR(I6/H6,"0%")</f>
        <v>0.60937998511113478</v>
      </c>
      <c r="K6" s="190">
        <f>IFERROR(VLOOKUP($B6,MMWR_TRAD_AGG_DISTRICT_COMP[],K$1,0),"ERROR")</f>
        <v>84595</v>
      </c>
      <c r="L6" s="191">
        <f>IFERROR(VLOOKUP($B6,MMWR_TRAD_AGG_DISTRICT_COMP[],L$1,0),"ERROR")</f>
        <v>65401</v>
      </c>
      <c r="M6" s="214">
        <f t="shared" ref="M6:M69" si="2">IFERROR(L6/K6,"0%")</f>
        <v>0.77310715763342985</v>
      </c>
      <c r="N6" s="190">
        <f>IFERROR(VLOOKUP($B6,MMWR_TRAD_AGG_DISTRICT_COMP[],N$1,0),"ERROR")</f>
        <v>161652</v>
      </c>
      <c r="O6" s="191">
        <f>IFERROR(VLOOKUP($B6,MMWR_TRAD_AGG_DISTRICT_COMP[],O$1,0),"ERROR")</f>
        <v>101194</v>
      </c>
      <c r="P6" s="214">
        <f t="shared" ref="P6:P69" si="3">IFERROR(O6/N6,"0%")</f>
        <v>0.62599905970850966</v>
      </c>
      <c r="Q6" s="203">
        <f>IFERROR(VLOOKUP($B6,MMWR_TRAD_AGG_DISTRICT_COMP[],Q$1,0),"ERROR")</f>
        <v>9491</v>
      </c>
      <c r="R6" s="203">
        <f>IFERROR(VLOOKUP($B6,MMWR_TRAD_AGG_DISTRICT_COMP[],R$1,0),"ERROR")</f>
        <v>4405</v>
      </c>
      <c r="S6" s="206">
        <f>S7+S25+S38+S49+S62+S70</f>
        <v>308207</v>
      </c>
      <c r="T6" s="25"/>
    </row>
    <row r="7" spans="1:20" x14ac:dyDescent="0.25">
      <c r="A7" s="92"/>
      <c r="B7" s="101" t="s">
        <v>379</v>
      </c>
      <c r="C7" s="215">
        <f>IFERROR(VLOOKUP($B7,MMWR_TRAD_AGG_DISTRICT_COMP[],C$1,0),"ERROR")</f>
        <v>106481</v>
      </c>
      <c r="D7" s="200">
        <f>IFERROR(VLOOKUP($B7,MMWR_TRAD_AGG_DISTRICT_COMP[],D$1,0),"ERROR")</f>
        <v>423.80703599700001</v>
      </c>
      <c r="E7" s="216">
        <f>IFERROR(VLOOKUP($B7,MMWR_TRAD_AGG_DISTRICT_COMP[],E$1,0),"ERROR")</f>
        <v>78306</v>
      </c>
      <c r="F7" s="215">
        <f>IFERROR(VLOOKUP($B7,MMWR_TRAD_AGG_DISTRICT_COMP[],F$1,0),"ERROR")</f>
        <v>20963</v>
      </c>
      <c r="G7" s="217">
        <f t="shared" si="0"/>
        <v>0.2677061783260542</v>
      </c>
      <c r="H7" s="215">
        <f>IFERROR(VLOOKUP($B7,MMWR_TRAD_AGG_DISTRICT_COMP[],H$1,0),"ERROR")</f>
        <v>136178</v>
      </c>
      <c r="I7" s="215">
        <f>IFERROR(VLOOKUP($B7,MMWR_TRAD_AGG_DISTRICT_COMP[],I$1,0),"ERROR")</f>
        <v>96117</v>
      </c>
      <c r="J7" s="217">
        <f t="shared" si="1"/>
        <v>0.70581885473424488</v>
      </c>
      <c r="K7" s="215">
        <f>IFERROR(VLOOKUP($B7,MMWR_TRAD_AGG_DISTRICT_COMP[],K$1,0),"ERROR")</f>
        <v>21687</v>
      </c>
      <c r="L7" s="215">
        <f>IFERROR(VLOOKUP($B7,MMWR_TRAD_AGG_DISTRICT_COMP[],L$1,0),"ERROR")</f>
        <v>16557</v>
      </c>
      <c r="M7" s="217">
        <f t="shared" si="2"/>
        <v>0.76345275971780324</v>
      </c>
      <c r="N7" s="215">
        <f>IFERROR(VLOOKUP($B7,MMWR_TRAD_AGG_DISTRICT_COMP[],N$1,0),"ERROR")</f>
        <v>36096</v>
      </c>
      <c r="O7" s="215">
        <f>IFERROR(VLOOKUP($B7,MMWR_TRAD_AGG_DISTRICT_COMP[],O$1,0),"ERROR")</f>
        <v>24989</v>
      </c>
      <c r="P7" s="217">
        <f t="shared" si="3"/>
        <v>0.69229277482269502</v>
      </c>
      <c r="Q7" s="215">
        <f>IFERROR(VLOOKUP($B7,MMWR_TRAD_AGG_DISTRICT_COMP[],Q$1,0),"ERROR")</f>
        <v>8704</v>
      </c>
      <c r="R7" s="218">
        <f>IFERROR(VLOOKUP($B7,MMWR_TRAD_AGG_DISTRICT_COMP[],R$1,0),"ERROR")</f>
        <v>103</v>
      </c>
      <c r="S7" s="218">
        <f>IFERROR(VLOOKUP($B7,MMWR_APP_RO[],S$1,0),"ERROR")</f>
        <v>54526</v>
      </c>
      <c r="T7" s="25"/>
    </row>
    <row r="8" spans="1:20" x14ac:dyDescent="0.25">
      <c r="A8" s="107"/>
      <c r="B8" s="108" t="s">
        <v>36</v>
      </c>
      <c r="C8" s="212">
        <f>IFERROR(VLOOKUP($B8,MMWR_TRAD_AGG_RO_COMP[],C$1,0),"ERROR")</f>
        <v>8598</v>
      </c>
      <c r="D8" s="201">
        <f>IFERROR(VLOOKUP($B8,MMWR_TRAD_AGG_RO_COMP[],D$1,0),"ERROR")</f>
        <v>653.58118167019995</v>
      </c>
      <c r="E8" s="198">
        <f>IFERROR(VLOOKUP($B8,MMWR_TRAD_AGG_RO_COMP[],E$1,0),"ERROR")</f>
        <v>4734</v>
      </c>
      <c r="F8" s="194">
        <f>IFERROR(VLOOKUP($B8,MMWR_TRAD_AGG_RO_COMP[],F$1,0),"ERROR")</f>
        <v>1314</v>
      </c>
      <c r="G8" s="219">
        <f t="shared" si="0"/>
        <v>0.27756653992395436</v>
      </c>
      <c r="H8" s="193">
        <f>IFERROR(VLOOKUP($B8,MMWR_TRAD_AGG_RO_COMP[],H$1,0),"ERROR")</f>
        <v>9933</v>
      </c>
      <c r="I8" s="194">
        <f>IFERROR(VLOOKUP($B8,MMWR_TRAD_AGG_RO_COMP[],I$1,0),"ERROR")</f>
        <v>8136</v>
      </c>
      <c r="J8" s="219">
        <f t="shared" si="1"/>
        <v>0.81908788885533068</v>
      </c>
      <c r="K8" s="207">
        <f>IFERROR(VLOOKUP($B8,MMWR_TRAD_AGG_RO_COMP[],K$1,0),"ERROR")</f>
        <v>1024</v>
      </c>
      <c r="L8" s="208">
        <f>IFERROR(VLOOKUP($B8,MMWR_TRAD_AGG_RO_COMP[],L$1,0),"ERROR")</f>
        <v>909</v>
      </c>
      <c r="M8" s="219">
        <f t="shared" si="2"/>
        <v>0.8876953125</v>
      </c>
      <c r="N8" s="207">
        <f>IFERROR(VLOOKUP($B8,MMWR_TRAD_AGG_RO_COMP[],N$1,0),"ERROR")</f>
        <v>6199</v>
      </c>
      <c r="O8" s="208">
        <f>IFERROR(VLOOKUP($B8,MMWR_TRAD_AGG_RO_COMP[],O$1,0),"ERROR")</f>
        <v>5249</v>
      </c>
      <c r="P8" s="219">
        <f t="shared" si="3"/>
        <v>0.84674947572189063</v>
      </c>
      <c r="Q8" s="204">
        <f>IFERROR(VLOOKUP($B8,MMWR_TRAD_AGG_RO_COMP[],Q$1,0),"ERROR")</f>
        <v>31</v>
      </c>
      <c r="R8" s="204">
        <f>IFERROR(VLOOKUP($B8,MMWR_TRAD_AGG_RO_COMP[],R$1,0),"ERROR")</f>
        <v>5</v>
      </c>
      <c r="S8" s="204">
        <f>IFERROR(VLOOKUP($B8,MMWR_APP_RO[],S$1,0),"ERROR")</f>
        <v>5435</v>
      </c>
      <c r="T8" s="25"/>
    </row>
    <row r="9" spans="1:20" x14ac:dyDescent="0.25">
      <c r="A9" s="107"/>
      <c r="B9" s="108" t="s">
        <v>38</v>
      </c>
      <c r="C9" s="212">
        <f>IFERROR(VLOOKUP($B9,MMWR_TRAD_AGG_RO_COMP[],C$1,0),"ERROR")</f>
        <v>4404</v>
      </c>
      <c r="D9" s="201">
        <f>IFERROR(VLOOKUP($B9,MMWR_TRAD_AGG_RO_COMP[],D$1,0),"ERROR")</f>
        <v>539.49613987279997</v>
      </c>
      <c r="E9" s="198">
        <f>IFERROR(VLOOKUP($B9,MMWR_TRAD_AGG_RO_COMP[],E$1,0),"ERROR")</f>
        <v>3461</v>
      </c>
      <c r="F9" s="194">
        <f>IFERROR(VLOOKUP($B9,MMWR_TRAD_AGG_RO_COMP[],F$1,0),"ERROR")</f>
        <v>994</v>
      </c>
      <c r="G9" s="219">
        <f t="shared" si="0"/>
        <v>0.28720023114706733</v>
      </c>
      <c r="H9" s="193">
        <f>IFERROR(VLOOKUP($B9,MMWR_TRAD_AGG_RO_COMP[],H$1,0),"ERROR")</f>
        <v>5870</v>
      </c>
      <c r="I9" s="194">
        <f>IFERROR(VLOOKUP($B9,MMWR_TRAD_AGG_RO_COMP[],I$1,0),"ERROR")</f>
        <v>4399</v>
      </c>
      <c r="J9" s="219">
        <f t="shared" si="1"/>
        <v>0.7494037478705281</v>
      </c>
      <c r="K9" s="207">
        <f>IFERROR(VLOOKUP($B9,MMWR_TRAD_AGG_RO_COMP[],K$1,0),"ERROR")</f>
        <v>2096</v>
      </c>
      <c r="L9" s="208">
        <f>IFERROR(VLOOKUP($B9,MMWR_TRAD_AGG_RO_COMP[],L$1,0),"ERROR")</f>
        <v>1921</v>
      </c>
      <c r="M9" s="219">
        <f t="shared" si="2"/>
        <v>0.91650763358778631</v>
      </c>
      <c r="N9" s="207">
        <f>IFERROR(VLOOKUP($B9,MMWR_TRAD_AGG_RO_COMP[],N$1,0),"ERROR")</f>
        <v>851</v>
      </c>
      <c r="O9" s="208">
        <f>IFERROR(VLOOKUP($B9,MMWR_TRAD_AGG_RO_COMP[],O$1,0),"ERROR")</f>
        <v>741</v>
      </c>
      <c r="P9" s="219">
        <f t="shared" si="3"/>
        <v>0.87074030552291426</v>
      </c>
      <c r="Q9" s="204">
        <f>IFERROR(VLOOKUP($B9,MMWR_TRAD_AGG_RO_COMP[],Q$1,0),"ERROR")</f>
        <v>2</v>
      </c>
      <c r="R9" s="204">
        <f>IFERROR(VLOOKUP($B9,MMWR_TRAD_AGG_RO_COMP[],R$1,0),"ERROR")</f>
        <v>11</v>
      </c>
      <c r="S9" s="204">
        <f>IFERROR(VLOOKUP($B9,MMWR_APP_RO[],S$1,0),"ERROR")</f>
        <v>3413</v>
      </c>
      <c r="T9" s="25"/>
    </row>
    <row r="10" spans="1:20" x14ac:dyDescent="0.25">
      <c r="A10" s="107"/>
      <c r="B10" s="108" t="s">
        <v>24</v>
      </c>
      <c r="C10" s="212">
        <f>IFERROR(VLOOKUP($B10,MMWR_TRAD_AGG_RO_COMP[],C$1,0),"ERROR")</f>
        <v>1116</v>
      </c>
      <c r="D10" s="201">
        <f>IFERROR(VLOOKUP($B10,MMWR_TRAD_AGG_RO_COMP[],D$1,0),"ERROR")</f>
        <v>77.424731182800002</v>
      </c>
      <c r="E10" s="198">
        <f>IFERROR(VLOOKUP($B10,MMWR_TRAD_AGG_RO_COMP[],E$1,0),"ERROR")</f>
        <v>4389</v>
      </c>
      <c r="F10" s="194">
        <f>IFERROR(VLOOKUP($B10,MMWR_TRAD_AGG_RO_COMP[],F$1,0),"ERROR")</f>
        <v>1201</v>
      </c>
      <c r="G10" s="219">
        <f t="shared" si="0"/>
        <v>0.27363864205969468</v>
      </c>
      <c r="H10" s="193">
        <f>IFERROR(VLOOKUP($B10,MMWR_TRAD_AGG_RO_COMP[],H$1,0),"ERROR")</f>
        <v>1951</v>
      </c>
      <c r="I10" s="194">
        <f>IFERROR(VLOOKUP($B10,MMWR_TRAD_AGG_RO_COMP[],I$1,0),"ERROR")</f>
        <v>368</v>
      </c>
      <c r="J10" s="219">
        <f t="shared" si="1"/>
        <v>0.18862121988723732</v>
      </c>
      <c r="K10" s="207">
        <f>IFERROR(VLOOKUP($B10,MMWR_TRAD_AGG_RO_COMP[],K$1,0),"ERROR")</f>
        <v>244</v>
      </c>
      <c r="L10" s="208">
        <f>IFERROR(VLOOKUP($B10,MMWR_TRAD_AGG_RO_COMP[],L$1,0),"ERROR")</f>
        <v>45</v>
      </c>
      <c r="M10" s="219">
        <f t="shared" si="2"/>
        <v>0.18442622950819673</v>
      </c>
      <c r="N10" s="207">
        <f>IFERROR(VLOOKUP($B10,MMWR_TRAD_AGG_RO_COMP[],N$1,0),"ERROR")</f>
        <v>459</v>
      </c>
      <c r="O10" s="208">
        <f>IFERROR(VLOOKUP($B10,MMWR_TRAD_AGG_RO_COMP[],O$1,0),"ERROR")</f>
        <v>295</v>
      </c>
      <c r="P10" s="219">
        <f t="shared" si="3"/>
        <v>0.64270152505446621</v>
      </c>
      <c r="Q10" s="204">
        <f>IFERROR(VLOOKUP($B10,MMWR_TRAD_AGG_RO_COMP[],Q$1,0),"ERROR")</f>
        <v>0</v>
      </c>
      <c r="R10" s="204">
        <f>IFERROR(VLOOKUP($B10,MMWR_TRAD_AGG_RO_COMP[],R$1,0),"ERROR")</f>
        <v>0</v>
      </c>
      <c r="S10" s="204">
        <f>IFERROR(VLOOKUP($B10,MMWR_APP_RO[],S$1,0),"ERROR")</f>
        <v>1744</v>
      </c>
      <c r="T10" s="25"/>
    </row>
    <row r="11" spans="1:20" x14ac:dyDescent="0.25">
      <c r="A11" s="107"/>
      <c r="B11" s="108" t="s">
        <v>47</v>
      </c>
      <c r="C11" s="212">
        <f>IFERROR(VLOOKUP($B11,MMWR_TRAD_AGG_RO_COMP[],C$1,0),"ERROR")</f>
        <v>1795</v>
      </c>
      <c r="D11" s="201">
        <f>IFERROR(VLOOKUP($B11,MMWR_TRAD_AGG_RO_COMP[],D$1,0),"ERROR")</f>
        <v>233.6646239554</v>
      </c>
      <c r="E11" s="198">
        <f>IFERROR(VLOOKUP($B11,MMWR_TRAD_AGG_RO_COMP[],E$1,0),"ERROR")</f>
        <v>1684</v>
      </c>
      <c r="F11" s="194">
        <f>IFERROR(VLOOKUP($B11,MMWR_TRAD_AGG_RO_COMP[],F$1,0),"ERROR")</f>
        <v>380</v>
      </c>
      <c r="G11" s="219">
        <f t="shared" si="0"/>
        <v>0.22565320665083136</v>
      </c>
      <c r="H11" s="193">
        <f>IFERROR(VLOOKUP($B11,MMWR_TRAD_AGG_RO_COMP[],H$1,0),"ERROR")</f>
        <v>3422</v>
      </c>
      <c r="I11" s="194">
        <f>IFERROR(VLOOKUP($B11,MMWR_TRAD_AGG_RO_COMP[],I$1,0),"ERROR")</f>
        <v>1694</v>
      </c>
      <c r="J11" s="219">
        <f t="shared" si="1"/>
        <v>0.49503214494447689</v>
      </c>
      <c r="K11" s="207">
        <f>IFERROR(VLOOKUP($B11,MMWR_TRAD_AGG_RO_COMP[],K$1,0),"ERROR")</f>
        <v>382</v>
      </c>
      <c r="L11" s="208">
        <f>IFERROR(VLOOKUP($B11,MMWR_TRAD_AGG_RO_COMP[],L$1,0),"ERROR")</f>
        <v>300</v>
      </c>
      <c r="M11" s="219">
        <f t="shared" si="2"/>
        <v>0.78534031413612571</v>
      </c>
      <c r="N11" s="207">
        <f>IFERROR(VLOOKUP($B11,MMWR_TRAD_AGG_RO_COMP[],N$1,0),"ERROR")</f>
        <v>711</v>
      </c>
      <c r="O11" s="208">
        <f>IFERROR(VLOOKUP($B11,MMWR_TRAD_AGG_RO_COMP[],O$1,0),"ERROR")</f>
        <v>485</v>
      </c>
      <c r="P11" s="219">
        <f t="shared" si="3"/>
        <v>0.68213783403656825</v>
      </c>
      <c r="Q11" s="204">
        <f>IFERROR(VLOOKUP($B11,MMWR_TRAD_AGG_RO_COMP[],Q$1,0),"ERROR")</f>
        <v>0</v>
      </c>
      <c r="R11" s="204">
        <f>IFERROR(VLOOKUP($B11,MMWR_TRAD_AGG_RO_COMP[],R$1,0),"ERROR")</f>
        <v>3</v>
      </c>
      <c r="S11" s="204">
        <f>IFERROR(VLOOKUP($B11,MMWR_APP_RO[],S$1,0),"ERROR")</f>
        <v>781</v>
      </c>
      <c r="T11" s="25"/>
    </row>
    <row r="12" spans="1:20" x14ac:dyDescent="0.25">
      <c r="A12" s="107"/>
      <c r="B12" s="108" t="s">
        <v>50</v>
      </c>
      <c r="C12" s="212">
        <f>IFERROR(VLOOKUP($B12,MMWR_TRAD_AGG_RO_COMP[],C$1,0),"ERROR")</f>
        <v>2243</v>
      </c>
      <c r="D12" s="201">
        <f>IFERROR(VLOOKUP($B12,MMWR_TRAD_AGG_RO_COMP[],D$1,0),"ERROR")</f>
        <v>217.91930450289999</v>
      </c>
      <c r="E12" s="198">
        <f>IFERROR(VLOOKUP($B12,MMWR_TRAD_AGG_RO_COMP[],E$1,0),"ERROR")</f>
        <v>1973</v>
      </c>
      <c r="F12" s="194">
        <f>IFERROR(VLOOKUP($B12,MMWR_TRAD_AGG_RO_COMP[],F$1,0),"ERROR")</f>
        <v>427</v>
      </c>
      <c r="G12" s="219">
        <f t="shared" si="0"/>
        <v>0.21642169285352256</v>
      </c>
      <c r="H12" s="193">
        <f>IFERROR(VLOOKUP($B12,MMWR_TRAD_AGG_RO_COMP[],H$1,0),"ERROR")</f>
        <v>3454</v>
      </c>
      <c r="I12" s="194">
        <f>IFERROR(VLOOKUP($B12,MMWR_TRAD_AGG_RO_COMP[],I$1,0),"ERROR")</f>
        <v>1785</v>
      </c>
      <c r="J12" s="219">
        <f t="shared" si="1"/>
        <v>0.51679212507237982</v>
      </c>
      <c r="K12" s="207">
        <f>IFERROR(VLOOKUP($B12,MMWR_TRAD_AGG_RO_COMP[],K$1,0),"ERROR")</f>
        <v>232</v>
      </c>
      <c r="L12" s="208">
        <f>IFERROR(VLOOKUP($B12,MMWR_TRAD_AGG_RO_COMP[],L$1,0),"ERROR")</f>
        <v>207</v>
      </c>
      <c r="M12" s="219">
        <f t="shared" si="2"/>
        <v>0.89224137931034486</v>
      </c>
      <c r="N12" s="207">
        <f>IFERROR(VLOOKUP($B12,MMWR_TRAD_AGG_RO_COMP[],N$1,0),"ERROR")</f>
        <v>1067</v>
      </c>
      <c r="O12" s="208">
        <f>IFERROR(VLOOKUP($B12,MMWR_TRAD_AGG_RO_COMP[],O$1,0),"ERROR")</f>
        <v>816</v>
      </c>
      <c r="P12" s="219">
        <f t="shared" si="3"/>
        <v>0.76476101218369263</v>
      </c>
      <c r="Q12" s="204">
        <f>IFERROR(VLOOKUP($B12,MMWR_TRAD_AGG_RO_COMP[],Q$1,0),"ERROR")</f>
        <v>2</v>
      </c>
      <c r="R12" s="204">
        <f>IFERROR(VLOOKUP($B12,MMWR_TRAD_AGG_RO_COMP[],R$1,0),"ERROR")</f>
        <v>17</v>
      </c>
      <c r="S12" s="204">
        <f>IFERROR(VLOOKUP($B12,MMWR_APP_RO[],S$1,0),"ERROR")</f>
        <v>2000</v>
      </c>
      <c r="T12" s="25"/>
    </row>
    <row r="13" spans="1:20" x14ac:dyDescent="0.25">
      <c r="A13" s="107"/>
      <c r="B13" s="108" t="s">
        <v>57</v>
      </c>
      <c r="C13" s="212">
        <f>IFERROR(VLOOKUP($B13,MMWR_TRAD_AGG_RO_COMP[],C$1,0),"ERROR")</f>
        <v>1760</v>
      </c>
      <c r="D13" s="201">
        <f>IFERROR(VLOOKUP($B13,MMWR_TRAD_AGG_RO_COMP[],D$1,0),"ERROR")</f>
        <v>381.02443181820001</v>
      </c>
      <c r="E13" s="198">
        <f>IFERROR(VLOOKUP($B13,MMWR_TRAD_AGG_RO_COMP[],E$1,0),"ERROR")</f>
        <v>1109</v>
      </c>
      <c r="F13" s="194">
        <f>IFERROR(VLOOKUP($B13,MMWR_TRAD_AGG_RO_COMP[],F$1,0),"ERROR")</f>
        <v>251</v>
      </c>
      <c r="G13" s="219">
        <f t="shared" si="0"/>
        <v>0.22633002705139765</v>
      </c>
      <c r="H13" s="193">
        <f>IFERROR(VLOOKUP($B13,MMWR_TRAD_AGG_RO_COMP[],H$1,0),"ERROR")</f>
        <v>2133</v>
      </c>
      <c r="I13" s="194">
        <f>IFERROR(VLOOKUP($B13,MMWR_TRAD_AGG_RO_COMP[],I$1,0),"ERROR")</f>
        <v>1453</v>
      </c>
      <c r="J13" s="219">
        <f t="shared" si="1"/>
        <v>0.68120018752930145</v>
      </c>
      <c r="K13" s="207">
        <f>IFERROR(VLOOKUP($B13,MMWR_TRAD_AGG_RO_COMP[],K$1,0),"ERROR")</f>
        <v>555</v>
      </c>
      <c r="L13" s="208">
        <f>IFERROR(VLOOKUP($B13,MMWR_TRAD_AGG_RO_COMP[],L$1,0),"ERROR")</f>
        <v>534</v>
      </c>
      <c r="M13" s="219">
        <f t="shared" si="2"/>
        <v>0.96216216216216222</v>
      </c>
      <c r="N13" s="207">
        <f>IFERROR(VLOOKUP($B13,MMWR_TRAD_AGG_RO_COMP[],N$1,0),"ERROR")</f>
        <v>138</v>
      </c>
      <c r="O13" s="208">
        <f>IFERROR(VLOOKUP($B13,MMWR_TRAD_AGG_RO_COMP[],O$1,0),"ERROR")</f>
        <v>83</v>
      </c>
      <c r="P13" s="219">
        <f t="shared" si="3"/>
        <v>0.60144927536231885</v>
      </c>
      <c r="Q13" s="204">
        <f>IFERROR(VLOOKUP($B13,MMWR_TRAD_AGG_RO_COMP[],Q$1,0),"ERROR")</f>
        <v>0</v>
      </c>
      <c r="R13" s="204">
        <f>IFERROR(VLOOKUP($B13,MMWR_TRAD_AGG_RO_COMP[],R$1,0),"ERROR")</f>
        <v>1</v>
      </c>
      <c r="S13" s="204">
        <f>IFERROR(VLOOKUP($B13,MMWR_APP_RO[],S$1,0),"ERROR")</f>
        <v>635</v>
      </c>
      <c r="T13" s="25"/>
    </row>
    <row r="14" spans="1:20" x14ac:dyDescent="0.25">
      <c r="A14" s="107"/>
      <c r="B14" s="108" t="s">
        <v>63</v>
      </c>
      <c r="C14" s="212">
        <f>IFERROR(VLOOKUP($B14,MMWR_TRAD_AGG_RO_COMP[],C$1,0),"ERROR")</f>
        <v>3166</v>
      </c>
      <c r="D14" s="201">
        <f>IFERROR(VLOOKUP($B14,MMWR_TRAD_AGG_RO_COMP[],D$1,0),"ERROR")</f>
        <v>271.11023373339998</v>
      </c>
      <c r="E14" s="198">
        <f>IFERROR(VLOOKUP($B14,MMWR_TRAD_AGG_RO_COMP[],E$1,0),"ERROR")</f>
        <v>4518</v>
      </c>
      <c r="F14" s="194">
        <f>IFERROR(VLOOKUP($B14,MMWR_TRAD_AGG_RO_COMP[],F$1,0),"ERROR")</f>
        <v>1234</v>
      </c>
      <c r="G14" s="219">
        <f t="shared" si="0"/>
        <v>0.27312970340858789</v>
      </c>
      <c r="H14" s="193">
        <f>IFERROR(VLOOKUP($B14,MMWR_TRAD_AGG_RO_COMP[],H$1,0),"ERROR")</f>
        <v>4849</v>
      </c>
      <c r="I14" s="194">
        <f>IFERROR(VLOOKUP($B14,MMWR_TRAD_AGG_RO_COMP[],I$1,0),"ERROR")</f>
        <v>2609</v>
      </c>
      <c r="J14" s="219">
        <f t="shared" si="1"/>
        <v>0.53804908228500725</v>
      </c>
      <c r="K14" s="207">
        <f>IFERROR(VLOOKUP($B14,MMWR_TRAD_AGG_RO_COMP[],K$1,0),"ERROR")</f>
        <v>1730</v>
      </c>
      <c r="L14" s="208">
        <f>IFERROR(VLOOKUP($B14,MMWR_TRAD_AGG_RO_COMP[],L$1,0),"ERROR")</f>
        <v>1160</v>
      </c>
      <c r="M14" s="219">
        <f t="shared" si="2"/>
        <v>0.67052023121387283</v>
      </c>
      <c r="N14" s="207">
        <f>IFERROR(VLOOKUP($B14,MMWR_TRAD_AGG_RO_COMP[],N$1,0),"ERROR")</f>
        <v>283</v>
      </c>
      <c r="O14" s="208">
        <f>IFERROR(VLOOKUP($B14,MMWR_TRAD_AGG_RO_COMP[],O$1,0),"ERROR")</f>
        <v>203</v>
      </c>
      <c r="P14" s="219">
        <f t="shared" si="3"/>
        <v>0.71731448763250882</v>
      </c>
      <c r="Q14" s="204">
        <f>IFERROR(VLOOKUP($B14,MMWR_TRAD_AGG_RO_COMP[],Q$1,0),"ERROR")</f>
        <v>0</v>
      </c>
      <c r="R14" s="204">
        <f>IFERROR(VLOOKUP($B14,MMWR_TRAD_AGG_RO_COMP[],R$1,0),"ERROR")</f>
        <v>10</v>
      </c>
      <c r="S14" s="204">
        <f>IFERROR(VLOOKUP($B14,MMWR_APP_RO[],S$1,0),"ERROR")</f>
        <v>3350</v>
      </c>
      <c r="T14" s="25"/>
    </row>
    <row r="15" spans="1:20" x14ac:dyDescent="0.25">
      <c r="A15" s="107"/>
      <c r="B15" s="108" t="s">
        <v>64</v>
      </c>
      <c r="C15" s="212">
        <f>IFERROR(VLOOKUP($B15,MMWR_TRAD_AGG_RO_COMP[],C$1,0),"ERROR")</f>
        <v>974</v>
      </c>
      <c r="D15" s="201">
        <f>IFERROR(VLOOKUP($B15,MMWR_TRAD_AGG_RO_COMP[],D$1,0),"ERROR")</f>
        <v>84.3008213552</v>
      </c>
      <c r="E15" s="198">
        <f>IFERROR(VLOOKUP($B15,MMWR_TRAD_AGG_RO_COMP[],E$1,0),"ERROR")</f>
        <v>2572</v>
      </c>
      <c r="F15" s="194">
        <f>IFERROR(VLOOKUP($B15,MMWR_TRAD_AGG_RO_COMP[],F$1,0),"ERROR")</f>
        <v>650</v>
      </c>
      <c r="G15" s="219">
        <f t="shared" si="0"/>
        <v>0.25272161741835147</v>
      </c>
      <c r="H15" s="193">
        <f>IFERROR(VLOOKUP($B15,MMWR_TRAD_AGG_RO_COMP[],H$1,0),"ERROR")</f>
        <v>1788</v>
      </c>
      <c r="I15" s="194">
        <f>IFERROR(VLOOKUP($B15,MMWR_TRAD_AGG_RO_COMP[],I$1,0),"ERROR")</f>
        <v>445</v>
      </c>
      <c r="J15" s="219">
        <f t="shared" si="1"/>
        <v>0.24888143176733782</v>
      </c>
      <c r="K15" s="207">
        <f>IFERROR(VLOOKUP($B15,MMWR_TRAD_AGG_RO_COMP[],K$1,0),"ERROR")</f>
        <v>722</v>
      </c>
      <c r="L15" s="208">
        <f>IFERROR(VLOOKUP($B15,MMWR_TRAD_AGG_RO_COMP[],L$1,0),"ERROR")</f>
        <v>253</v>
      </c>
      <c r="M15" s="219">
        <f t="shared" si="2"/>
        <v>0.35041551246537395</v>
      </c>
      <c r="N15" s="207">
        <f>IFERROR(VLOOKUP($B15,MMWR_TRAD_AGG_RO_COMP[],N$1,0),"ERROR")</f>
        <v>2657</v>
      </c>
      <c r="O15" s="208">
        <f>IFERROR(VLOOKUP($B15,MMWR_TRAD_AGG_RO_COMP[],O$1,0),"ERROR")</f>
        <v>1376</v>
      </c>
      <c r="P15" s="219">
        <f t="shared" si="3"/>
        <v>0.51787730523146402</v>
      </c>
      <c r="Q15" s="204">
        <f>IFERROR(VLOOKUP($B15,MMWR_TRAD_AGG_RO_COMP[],Q$1,0),"ERROR")</f>
        <v>0</v>
      </c>
      <c r="R15" s="204">
        <f>IFERROR(VLOOKUP($B15,MMWR_TRAD_AGG_RO_COMP[],R$1,0),"ERROR")</f>
        <v>1</v>
      </c>
      <c r="S15" s="204">
        <f>IFERROR(VLOOKUP($B15,MMWR_APP_RO[],S$1,0),"ERROR")</f>
        <v>2667</v>
      </c>
      <c r="T15" s="25"/>
    </row>
    <row r="16" spans="1:20" x14ac:dyDescent="0.25">
      <c r="A16" s="107"/>
      <c r="B16" s="108" t="s">
        <v>66</v>
      </c>
      <c r="C16" s="212">
        <f>IFERROR(VLOOKUP($B16,MMWR_TRAD_AGG_RO_COMP[],C$1,0),"ERROR")</f>
        <v>5462</v>
      </c>
      <c r="D16" s="201">
        <f>IFERROR(VLOOKUP($B16,MMWR_TRAD_AGG_RO_COMP[],D$1,0),"ERROR")</f>
        <v>398.74533138039999</v>
      </c>
      <c r="E16" s="198">
        <f>IFERROR(VLOOKUP($B16,MMWR_TRAD_AGG_RO_COMP[],E$1,0),"ERROR")</f>
        <v>9913</v>
      </c>
      <c r="F16" s="194">
        <f>IFERROR(VLOOKUP($B16,MMWR_TRAD_AGG_RO_COMP[],F$1,0),"ERROR")</f>
        <v>3237</v>
      </c>
      <c r="G16" s="219">
        <f t="shared" si="0"/>
        <v>0.32654090588116613</v>
      </c>
      <c r="H16" s="193">
        <f>IFERROR(VLOOKUP($B16,MMWR_TRAD_AGG_RO_COMP[],H$1,0),"ERROR")</f>
        <v>8448</v>
      </c>
      <c r="I16" s="194">
        <f>IFERROR(VLOOKUP($B16,MMWR_TRAD_AGG_RO_COMP[],I$1,0),"ERROR")</f>
        <v>5433</v>
      </c>
      <c r="J16" s="219">
        <f t="shared" si="1"/>
        <v>0.64311079545454541</v>
      </c>
      <c r="K16" s="207">
        <f>IFERROR(VLOOKUP($B16,MMWR_TRAD_AGG_RO_COMP[],K$1,0),"ERROR")</f>
        <v>1757</v>
      </c>
      <c r="L16" s="208">
        <f>IFERROR(VLOOKUP($B16,MMWR_TRAD_AGG_RO_COMP[],L$1,0),"ERROR")</f>
        <v>720</v>
      </c>
      <c r="M16" s="219">
        <f t="shared" si="2"/>
        <v>0.4097894137734775</v>
      </c>
      <c r="N16" s="207">
        <f>IFERROR(VLOOKUP($B16,MMWR_TRAD_AGG_RO_COMP[],N$1,0),"ERROR")</f>
        <v>7455</v>
      </c>
      <c r="O16" s="208">
        <f>IFERROR(VLOOKUP($B16,MMWR_TRAD_AGG_RO_COMP[],O$1,0),"ERROR")</f>
        <v>4032</v>
      </c>
      <c r="P16" s="219">
        <f t="shared" si="3"/>
        <v>0.54084507042253516</v>
      </c>
      <c r="Q16" s="204">
        <f>IFERROR(VLOOKUP($B16,MMWR_TRAD_AGG_RO_COMP[],Q$1,0),"ERROR")</f>
        <v>8662</v>
      </c>
      <c r="R16" s="204">
        <f>IFERROR(VLOOKUP($B16,MMWR_TRAD_AGG_RO_COMP[],R$1,0),"ERROR")</f>
        <v>0</v>
      </c>
      <c r="S16" s="204">
        <f>IFERROR(VLOOKUP($B16,MMWR_APP_RO[],S$1,0),"ERROR")</f>
        <v>4921</v>
      </c>
      <c r="T16" s="25"/>
    </row>
    <row r="17" spans="1:20" x14ac:dyDescent="0.25">
      <c r="A17" s="107"/>
      <c r="B17" s="108" t="s">
        <v>68</v>
      </c>
      <c r="C17" s="212">
        <f>IFERROR(VLOOKUP($B17,MMWR_TRAD_AGG_RO_COMP[],C$1,0),"ERROR")</f>
        <v>4096</v>
      </c>
      <c r="D17" s="201">
        <f>IFERROR(VLOOKUP($B17,MMWR_TRAD_AGG_RO_COMP[],D$1,0),"ERROR")</f>
        <v>466.31127929690001</v>
      </c>
      <c r="E17" s="198">
        <f>IFERROR(VLOOKUP($B17,MMWR_TRAD_AGG_RO_COMP[],E$1,0),"ERROR")</f>
        <v>4818</v>
      </c>
      <c r="F17" s="194">
        <f>IFERROR(VLOOKUP($B17,MMWR_TRAD_AGG_RO_COMP[],F$1,0),"ERROR")</f>
        <v>1585</v>
      </c>
      <c r="G17" s="219">
        <f t="shared" si="0"/>
        <v>0.3289746782897468</v>
      </c>
      <c r="H17" s="193">
        <f>IFERROR(VLOOKUP($B17,MMWR_TRAD_AGG_RO_COMP[],H$1,0),"ERROR")</f>
        <v>5597</v>
      </c>
      <c r="I17" s="194">
        <f>IFERROR(VLOOKUP($B17,MMWR_TRAD_AGG_RO_COMP[],I$1,0),"ERROR")</f>
        <v>4273</v>
      </c>
      <c r="J17" s="219">
        <f t="shared" si="1"/>
        <v>0.76344470251920671</v>
      </c>
      <c r="K17" s="207">
        <f>IFERROR(VLOOKUP($B17,MMWR_TRAD_AGG_RO_COMP[],K$1,0),"ERROR")</f>
        <v>591</v>
      </c>
      <c r="L17" s="208">
        <f>IFERROR(VLOOKUP($B17,MMWR_TRAD_AGG_RO_COMP[],L$1,0),"ERROR")</f>
        <v>517</v>
      </c>
      <c r="M17" s="219">
        <f t="shared" si="2"/>
        <v>0.87478849407783421</v>
      </c>
      <c r="N17" s="207">
        <f>IFERROR(VLOOKUP($B17,MMWR_TRAD_AGG_RO_COMP[],N$1,0),"ERROR")</f>
        <v>1113</v>
      </c>
      <c r="O17" s="208">
        <f>IFERROR(VLOOKUP($B17,MMWR_TRAD_AGG_RO_COMP[],O$1,0),"ERROR")</f>
        <v>808</v>
      </c>
      <c r="P17" s="219">
        <f t="shared" si="3"/>
        <v>0.72596585804132974</v>
      </c>
      <c r="Q17" s="204">
        <f>IFERROR(VLOOKUP($B17,MMWR_TRAD_AGG_RO_COMP[],Q$1,0),"ERROR")</f>
        <v>0</v>
      </c>
      <c r="R17" s="204">
        <f>IFERROR(VLOOKUP($B17,MMWR_TRAD_AGG_RO_COMP[],R$1,0),"ERROR")</f>
        <v>3</v>
      </c>
      <c r="S17" s="204">
        <f>IFERROR(VLOOKUP($B17,MMWR_APP_RO[],S$1,0),"ERROR")</f>
        <v>4819</v>
      </c>
      <c r="T17" s="25"/>
    </row>
    <row r="18" spans="1:20" x14ac:dyDescent="0.25">
      <c r="A18" s="107"/>
      <c r="B18" s="108" t="s">
        <v>70</v>
      </c>
      <c r="C18" s="212">
        <f>IFERROR(VLOOKUP($B18,MMWR_TRAD_AGG_RO_COMP[],C$1,0),"ERROR")</f>
        <v>795</v>
      </c>
      <c r="D18" s="201">
        <f>IFERROR(VLOOKUP($B18,MMWR_TRAD_AGG_RO_COMP[],D$1,0),"ERROR")</f>
        <v>148.5106918239</v>
      </c>
      <c r="E18" s="198">
        <f>IFERROR(VLOOKUP($B18,MMWR_TRAD_AGG_RO_COMP[],E$1,0),"ERROR")</f>
        <v>1860</v>
      </c>
      <c r="F18" s="194">
        <f>IFERROR(VLOOKUP($B18,MMWR_TRAD_AGG_RO_COMP[],F$1,0),"ERROR")</f>
        <v>512</v>
      </c>
      <c r="G18" s="219">
        <f t="shared" si="0"/>
        <v>0.27526881720430108</v>
      </c>
      <c r="H18" s="193">
        <f>IFERROR(VLOOKUP($B18,MMWR_TRAD_AGG_RO_COMP[],H$1,0),"ERROR")</f>
        <v>3147</v>
      </c>
      <c r="I18" s="194">
        <f>IFERROR(VLOOKUP($B18,MMWR_TRAD_AGG_RO_COMP[],I$1,0),"ERROR")</f>
        <v>620</v>
      </c>
      <c r="J18" s="219">
        <f t="shared" si="1"/>
        <v>0.19701302828090245</v>
      </c>
      <c r="K18" s="207">
        <f>IFERROR(VLOOKUP($B18,MMWR_TRAD_AGG_RO_COMP[],K$1,0),"ERROR")</f>
        <v>1376</v>
      </c>
      <c r="L18" s="208">
        <f>IFERROR(VLOOKUP($B18,MMWR_TRAD_AGG_RO_COMP[],L$1,0),"ERROR")</f>
        <v>268</v>
      </c>
      <c r="M18" s="219">
        <f t="shared" si="2"/>
        <v>0.19476744186046513</v>
      </c>
      <c r="N18" s="207">
        <f>IFERROR(VLOOKUP($B18,MMWR_TRAD_AGG_RO_COMP[],N$1,0),"ERROR")</f>
        <v>235</v>
      </c>
      <c r="O18" s="208">
        <f>IFERROR(VLOOKUP($B18,MMWR_TRAD_AGG_RO_COMP[],O$1,0),"ERROR")</f>
        <v>105</v>
      </c>
      <c r="P18" s="219">
        <f t="shared" si="3"/>
        <v>0.44680851063829785</v>
      </c>
      <c r="Q18" s="204">
        <f>IFERROR(VLOOKUP($B18,MMWR_TRAD_AGG_RO_COMP[],Q$1,0),"ERROR")</f>
        <v>0</v>
      </c>
      <c r="R18" s="204">
        <f>IFERROR(VLOOKUP($B18,MMWR_TRAD_AGG_RO_COMP[],R$1,0),"ERROR")</f>
        <v>4</v>
      </c>
      <c r="S18" s="204">
        <f>IFERROR(VLOOKUP($B18,MMWR_APP_RO[],S$1,0),"ERROR")</f>
        <v>463</v>
      </c>
      <c r="T18" s="25"/>
    </row>
    <row r="19" spans="1:20" x14ac:dyDescent="0.25">
      <c r="A19" s="107"/>
      <c r="B19" s="108" t="s">
        <v>72</v>
      </c>
      <c r="C19" s="212">
        <f>IFERROR(VLOOKUP($B19,MMWR_TRAD_AGG_RO_COMP[],C$1,0),"ERROR")</f>
        <v>15034</v>
      </c>
      <c r="D19" s="201">
        <f>IFERROR(VLOOKUP($B19,MMWR_TRAD_AGG_RO_COMP[],D$1,0),"ERROR")</f>
        <v>495.309564986</v>
      </c>
      <c r="E19" s="198">
        <f>IFERROR(VLOOKUP($B19,MMWR_TRAD_AGG_RO_COMP[],E$1,0),"ERROR")</f>
        <v>10891</v>
      </c>
      <c r="F19" s="194">
        <f>IFERROR(VLOOKUP($B19,MMWR_TRAD_AGG_RO_COMP[],F$1,0),"ERROR")</f>
        <v>2528</v>
      </c>
      <c r="G19" s="219">
        <f t="shared" si="0"/>
        <v>0.23211826278578643</v>
      </c>
      <c r="H19" s="193">
        <f>IFERROR(VLOOKUP($B19,MMWR_TRAD_AGG_RO_COMP[],H$1,0),"ERROR")</f>
        <v>17387</v>
      </c>
      <c r="I19" s="194">
        <f>IFERROR(VLOOKUP($B19,MMWR_TRAD_AGG_RO_COMP[],I$1,0),"ERROR")</f>
        <v>11713</v>
      </c>
      <c r="J19" s="219">
        <f t="shared" si="1"/>
        <v>0.67366423189739455</v>
      </c>
      <c r="K19" s="207">
        <f>IFERROR(VLOOKUP($B19,MMWR_TRAD_AGG_RO_COMP[],K$1,0),"ERROR")</f>
        <v>5295</v>
      </c>
      <c r="L19" s="208">
        <f>IFERROR(VLOOKUP($B19,MMWR_TRAD_AGG_RO_COMP[],L$1,0),"ERROR")</f>
        <v>4941</v>
      </c>
      <c r="M19" s="219">
        <f t="shared" si="2"/>
        <v>0.93314447592067984</v>
      </c>
      <c r="N19" s="207">
        <f>IFERROR(VLOOKUP($B19,MMWR_TRAD_AGG_RO_COMP[],N$1,0),"ERROR")</f>
        <v>5092</v>
      </c>
      <c r="O19" s="208">
        <f>IFERROR(VLOOKUP($B19,MMWR_TRAD_AGG_RO_COMP[],O$1,0),"ERROR")</f>
        <v>4230</v>
      </c>
      <c r="P19" s="219">
        <f t="shared" si="3"/>
        <v>0.83071484681853891</v>
      </c>
      <c r="Q19" s="204">
        <f>IFERROR(VLOOKUP($B19,MMWR_TRAD_AGG_RO_COMP[],Q$1,0),"ERROR")</f>
        <v>7</v>
      </c>
      <c r="R19" s="204">
        <f>IFERROR(VLOOKUP($B19,MMWR_TRAD_AGG_RO_COMP[],R$1,0),"ERROR")</f>
        <v>22</v>
      </c>
      <c r="S19" s="204">
        <f>IFERROR(VLOOKUP($B19,MMWR_APP_RO[],S$1,0),"ERROR")</f>
        <v>14146</v>
      </c>
      <c r="T19" s="25"/>
    </row>
    <row r="20" spans="1:20" x14ac:dyDescent="0.25">
      <c r="A20" s="107"/>
      <c r="B20" s="108" t="s">
        <v>81</v>
      </c>
      <c r="C20" s="212">
        <f>IFERROR(VLOOKUP($B20,MMWR_TRAD_AGG_RO_COMP[],C$1,0),"ERROR")</f>
        <v>1513</v>
      </c>
      <c r="D20" s="201">
        <f>IFERROR(VLOOKUP($B20,MMWR_TRAD_AGG_RO_COMP[],D$1,0),"ERROR")</f>
        <v>229.0627891606</v>
      </c>
      <c r="E20" s="198">
        <f>IFERROR(VLOOKUP($B20,MMWR_TRAD_AGG_RO_COMP[],E$1,0),"ERROR")</f>
        <v>1167</v>
      </c>
      <c r="F20" s="194">
        <f>IFERROR(VLOOKUP($B20,MMWR_TRAD_AGG_RO_COMP[],F$1,0),"ERROR")</f>
        <v>149</v>
      </c>
      <c r="G20" s="219">
        <f t="shared" si="0"/>
        <v>0.12767780634104542</v>
      </c>
      <c r="H20" s="193">
        <f>IFERROR(VLOOKUP($B20,MMWR_TRAD_AGG_RO_COMP[],H$1,0),"ERROR")</f>
        <v>2260</v>
      </c>
      <c r="I20" s="194">
        <f>IFERROR(VLOOKUP($B20,MMWR_TRAD_AGG_RO_COMP[],I$1,0),"ERROR")</f>
        <v>1033</v>
      </c>
      <c r="J20" s="219">
        <f t="shared" si="1"/>
        <v>0.45707964601769913</v>
      </c>
      <c r="K20" s="207">
        <f>IFERROR(VLOOKUP($B20,MMWR_TRAD_AGG_RO_COMP[],K$1,0),"ERROR")</f>
        <v>964</v>
      </c>
      <c r="L20" s="208">
        <f>IFERROR(VLOOKUP($B20,MMWR_TRAD_AGG_RO_COMP[],L$1,0),"ERROR")</f>
        <v>546</v>
      </c>
      <c r="M20" s="219">
        <f t="shared" si="2"/>
        <v>0.56639004149377592</v>
      </c>
      <c r="N20" s="207">
        <f>IFERROR(VLOOKUP($B20,MMWR_TRAD_AGG_RO_COMP[],N$1,0),"ERROR")</f>
        <v>934</v>
      </c>
      <c r="O20" s="208">
        <f>IFERROR(VLOOKUP($B20,MMWR_TRAD_AGG_RO_COMP[],O$1,0),"ERROR")</f>
        <v>858</v>
      </c>
      <c r="P20" s="219">
        <f t="shared" si="3"/>
        <v>0.9186295503211992</v>
      </c>
      <c r="Q20" s="204">
        <f>IFERROR(VLOOKUP($B20,MMWR_TRAD_AGG_RO_COMP[],Q$1,0),"ERROR")</f>
        <v>0</v>
      </c>
      <c r="R20" s="204">
        <f>IFERROR(VLOOKUP($B20,MMWR_TRAD_AGG_RO_COMP[],R$1,0),"ERROR")</f>
        <v>0</v>
      </c>
      <c r="S20" s="204">
        <f>IFERROR(VLOOKUP($B20,MMWR_APP_RO[],S$1,0),"ERROR")</f>
        <v>355</v>
      </c>
      <c r="T20" s="25"/>
    </row>
    <row r="21" spans="1:20" x14ac:dyDescent="0.25">
      <c r="A21" s="107"/>
      <c r="B21" s="108" t="s">
        <v>440</v>
      </c>
      <c r="C21" s="212">
        <f>IFERROR(VLOOKUP($B21,MMWR_TRAD_AGG_RO_COMP[],C$1,0),"ERROR")</f>
        <v>37873</v>
      </c>
      <c r="D21" s="201">
        <f>IFERROR(VLOOKUP($B21,MMWR_TRAD_AGG_RO_COMP[],D$1,0),"ERROR")</f>
        <v>452.3603886674</v>
      </c>
      <c r="E21" s="198">
        <f>IFERROR(VLOOKUP($B21,MMWR_TRAD_AGG_RO_COMP[],E$1,0),"ERROR")</f>
        <v>718</v>
      </c>
      <c r="F21" s="194">
        <f>IFERROR(VLOOKUP($B21,MMWR_TRAD_AGG_RO_COMP[],F$1,0),"ERROR")</f>
        <v>298</v>
      </c>
      <c r="G21" s="219">
        <f t="shared" si="0"/>
        <v>0.41504178272980502</v>
      </c>
      <c r="H21" s="193">
        <f>IFERROR(VLOOKUP($B21,MMWR_TRAD_AGG_RO_COMP[],H$1,0),"ERROR")</f>
        <v>38407</v>
      </c>
      <c r="I21" s="194">
        <f>IFERROR(VLOOKUP($B21,MMWR_TRAD_AGG_RO_COMP[],I$1,0),"ERROR")</f>
        <v>37183</v>
      </c>
      <c r="J21" s="219">
        <f t="shared" si="1"/>
        <v>0.96813080948785379</v>
      </c>
      <c r="K21" s="207">
        <f>IFERROR(VLOOKUP($B21,MMWR_TRAD_AGG_RO_COMP[],K$1,0),"ERROR")</f>
        <v>120</v>
      </c>
      <c r="L21" s="208">
        <f>IFERROR(VLOOKUP($B21,MMWR_TRAD_AGG_RO_COMP[],L$1,0),"ERROR")</f>
        <v>111</v>
      </c>
      <c r="M21" s="219">
        <f t="shared" si="2"/>
        <v>0.92500000000000004</v>
      </c>
      <c r="N21" s="207">
        <f>IFERROR(VLOOKUP($B21,MMWR_TRAD_AGG_RO_COMP[],N$1,0),"ERROR")</f>
        <v>1616</v>
      </c>
      <c r="O21" s="208">
        <f>IFERROR(VLOOKUP($B21,MMWR_TRAD_AGG_RO_COMP[],O$1,0),"ERROR")</f>
        <v>1440</v>
      </c>
      <c r="P21" s="219">
        <f t="shared" si="3"/>
        <v>0.8910891089108911</v>
      </c>
      <c r="Q21" s="204">
        <f>IFERROR(VLOOKUP($B21,MMWR_TRAD_AGG_RO_COMP[],Q$1,0),"ERROR")</f>
        <v>0</v>
      </c>
      <c r="R21" s="204">
        <f>IFERROR(VLOOKUP($B21,MMWR_TRAD_AGG_RO_COMP[],R$1,0),"ERROR")</f>
        <v>2</v>
      </c>
      <c r="S21" s="204">
        <f>IFERROR(VLOOKUP($B21,MMWR_APP_RO[],S$1,0),"ERROR")</f>
        <v>9</v>
      </c>
      <c r="T21" s="25"/>
    </row>
    <row r="22" spans="1:20" x14ac:dyDescent="0.25">
      <c r="A22" s="107"/>
      <c r="B22" s="108" t="s">
        <v>141</v>
      </c>
      <c r="C22" s="212">
        <f>IFERROR(VLOOKUP($B22,MMWR_TRAD_AGG_RO_COMP[],C$1,0),"ERROR")</f>
        <v>475</v>
      </c>
      <c r="D22" s="201">
        <f>IFERROR(VLOOKUP($B22,MMWR_TRAD_AGG_RO_COMP[],D$1,0),"ERROR")</f>
        <v>330.38105263160003</v>
      </c>
      <c r="E22" s="198">
        <f>IFERROR(VLOOKUP($B22,MMWR_TRAD_AGG_RO_COMP[],E$1,0),"ERROR")</f>
        <v>363</v>
      </c>
      <c r="F22" s="194">
        <f>IFERROR(VLOOKUP($B22,MMWR_TRAD_AGG_RO_COMP[],F$1,0),"ERROR")</f>
        <v>114</v>
      </c>
      <c r="G22" s="219">
        <f t="shared" si="0"/>
        <v>0.31404958677685951</v>
      </c>
      <c r="H22" s="193">
        <f>IFERROR(VLOOKUP($B22,MMWR_TRAD_AGG_RO_COMP[],H$1,0),"ERROR")</f>
        <v>660</v>
      </c>
      <c r="I22" s="194">
        <f>IFERROR(VLOOKUP($B22,MMWR_TRAD_AGG_RO_COMP[],I$1,0),"ERROR")</f>
        <v>438</v>
      </c>
      <c r="J22" s="219">
        <f t="shared" si="1"/>
        <v>0.66363636363636369</v>
      </c>
      <c r="K22" s="207">
        <f>IFERROR(VLOOKUP($B22,MMWR_TRAD_AGG_RO_COMP[],K$1,0),"ERROR")</f>
        <v>75</v>
      </c>
      <c r="L22" s="208">
        <f>IFERROR(VLOOKUP($B22,MMWR_TRAD_AGG_RO_COMP[],L$1,0),"ERROR")</f>
        <v>67</v>
      </c>
      <c r="M22" s="219">
        <f t="shared" si="2"/>
        <v>0.89333333333333331</v>
      </c>
      <c r="N22" s="207">
        <f>IFERROR(VLOOKUP($B22,MMWR_TRAD_AGG_RO_COMP[],N$1,0),"ERROR")</f>
        <v>102</v>
      </c>
      <c r="O22" s="208">
        <f>IFERROR(VLOOKUP($B22,MMWR_TRAD_AGG_RO_COMP[],O$1,0),"ERROR")</f>
        <v>79</v>
      </c>
      <c r="P22" s="219">
        <f t="shared" si="3"/>
        <v>0.77450980392156865</v>
      </c>
      <c r="Q22" s="204">
        <f>IFERROR(VLOOKUP($B22,MMWR_TRAD_AGG_RO_COMP[],Q$1,0),"ERROR")</f>
        <v>0</v>
      </c>
      <c r="R22" s="204">
        <f>IFERROR(VLOOKUP($B22,MMWR_TRAD_AGG_RO_COMP[],R$1,0),"ERROR")</f>
        <v>1</v>
      </c>
      <c r="S22" s="204">
        <f>IFERROR(VLOOKUP($B22,MMWR_APP_RO[],S$1,0),"ERROR")</f>
        <v>207</v>
      </c>
      <c r="T22" s="25"/>
    </row>
    <row r="23" spans="1:20" x14ac:dyDescent="0.25">
      <c r="A23" s="107"/>
      <c r="B23" s="108" t="s">
        <v>85</v>
      </c>
      <c r="C23" s="212">
        <f>IFERROR(VLOOKUP($B23,MMWR_TRAD_AGG_RO_COMP[],C$1,0),"ERROR")</f>
        <v>831</v>
      </c>
      <c r="D23" s="201">
        <f>IFERROR(VLOOKUP($B23,MMWR_TRAD_AGG_RO_COMP[],D$1,0),"ERROR")</f>
        <v>326.97593261129998</v>
      </c>
      <c r="E23" s="198">
        <f>IFERROR(VLOOKUP($B23,MMWR_TRAD_AGG_RO_COMP[],E$1,0),"ERROR")</f>
        <v>828</v>
      </c>
      <c r="F23" s="194">
        <f>IFERROR(VLOOKUP($B23,MMWR_TRAD_AGG_RO_COMP[],F$1,0),"ERROR")</f>
        <v>257</v>
      </c>
      <c r="G23" s="219">
        <f t="shared" si="0"/>
        <v>0.31038647342995168</v>
      </c>
      <c r="H23" s="193">
        <f>IFERROR(VLOOKUP($B23,MMWR_TRAD_AGG_RO_COMP[],H$1,0),"ERROR")</f>
        <v>887</v>
      </c>
      <c r="I23" s="194">
        <f>IFERROR(VLOOKUP($B23,MMWR_TRAD_AGG_RO_COMP[],I$1,0),"ERROR")</f>
        <v>429</v>
      </c>
      <c r="J23" s="219">
        <f t="shared" si="1"/>
        <v>0.48365276211950392</v>
      </c>
      <c r="K23" s="207">
        <f>IFERROR(VLOOKUP($B23,MMWR_TRAD_AGG_RO_COMP[],K$1,0),"ERROR")</f>
        <v>9</v>
      </c>
      <c r="L23" s="208">
        <f>IFERROR(VLOOKUP($B23,MMWR_TRAD_AGG_RO_COMP[],L$1,0),"ERROR")</f>
        <v>8</v>
      </c>
      <c r="M23" s="219">
        <f t="shared" si="2"/>
        <v>0.88888888888888884</v>
      </c>
      <c r="N23" s="207">
        <f>IFERROR(VLOOKUP($B23,MMWR_TRAD_AGG_RO_COMP[],N$1,0),"ERROR")</f>
        <v>268</v>
      </c>
      <c r="O23" s="208">
        <f>IFERROR(VLOOKUP($B23,MMWR_TRAD_AGG_RO_COMP[],O$1,0),"ERROR")</f>
        <v>131</v>
      </c>
      <c r="P23" s="219">
        <f t="shared" si="3"/>
        <v>0.48880597014925375</v>
      </c>
      <c r="Q23" s="204">
        <f>IFERROR(VLOOKUP($B23,MMWR_TRAD_AGG_RO_COMP[],Q$1,0),"ERROR")</f>
        <v>0</v>
      </c>
      <c r="R23" s="204">
        <f>IFERROR(VLOOKUP($B23,MMWR_TRAD_AGG_RO_COMP[],R$1,0),"ERROR")</f>
        <v>0</v>
      </c>
      <c r="S23" s="204">
        <f>IFERROR(VLOOKUP($B23,MMWR_APP_RO[],S$1,0),"ERROR")</f>
        <v>184</v>
      </c>
      <c r="T23" s="25"/>
    </row>
    <row r="24" spans="1:20" x14ac:dyDescent="0.25">
      <c r="A24" s="92"/>
      <c r="B24" s="116" t="s">
        <v>86</v>
      </c>
      <c r="C24" s="213">
        <f>IFERROR(VLOOKUP($B24,MMWR_TRAD_AGG_RO_COMP[],C$1,0),"ERROR")</f>
        <v>16346</v>
      </c>
      <c r="D24" s="202">
        <f>IFERROR(VLOOKUP($B24,MMWR_TRAD_AGG_RO_COMP[],D$1,0),"ERROR")</f>
        <v>303.82466658509998</v>
      </c>
      <c r="E24" s="199">
        <f>IFERROR(VLOOKUP($B24,MMWR_TRAD_AGG_RO_COMP[],E$1,0),"ERROR")</f>
        <v>23308</v>
      </c>
      <c r="F24" s="196">
        <f>IFERROR(VLOOKUP($B24,MMWR_TRAD_AGG_RO_COMP[],F$1,0),"ERROR")</f>
        <v>5832</v>
      </c>
      <c r="G24" s="220">
        <f t="shared" si="0"/>
        <v>0.25021451862021621</v>
      </c>
      <c r="H24" s="195">
        <f>IFERROR(VLOOKUP($B24,MMWR_TRAD_AGG_RO_COMP[],H$1,0),"ERROR")</f>
        <v>25985</v>
      </c>
      <c r="I24" s="196">
        <f>IFERROR(VLOOKUP($B24,MMWR_TRAD_AGG_RO_COMP[],I$1,0),"ERROR")</f>
        <v>14106</v>
      </c>
      <c r="J24" s="220">
        <f t="shared" si="1"/>
        <v>0.54285164517991147</v>
      </c>
      <c r="K24" s="209">
        <f>IFERROR(VLOOKUP($B24,MMWR_TRAD_AGG_RO_COMP[],K$1,0),"ERROR")</f>
        <v>4515</v>
      </c>
      <c r="L24" s="210">
        <f>IFERROR(VLOOKUP($B24,MMWR_TRAD_AGG_RO_COMP[],L$1,0),"ERROR")</f>
        <v>4050</v>
      </c>
      <c r="M24" s="220">
        <f t="shared" si="2"/>
        <v>0.89700996677740863</v>
      </c>
      <c r="N24" s="209">
        <f>IFERROR(VLOOKUP($B24,MMWR_TRAD_AGG_RO_COMP[],N$1,0),"ERROR")</f>
        <v>6916</v>
      </c>
      <c r="O24" s="210">
        <f>IFERROR(VLOOKUP($B24,MMWR_TRAD_AGG_RO_COMP[],O$1,0),"ERROR")</f>
        <v>4058</v>
      </c>
      <c r="P24" s="220">
        <f t="shared" si="3"/>
        <v>0.58675534991324463</v>
      </c>
      <c r="Q24" s="205">
        <f>IFERROR(VLOOKUP($B24,MMWR_TRAD_AGG_RO_COMP[],Q$1,0),"ERROR")</f>
        <v>0</v>
      </c>
      <c r="R24" s="205">
        <f>IFERROR(VLOOKUP($B24,MMWR_TRAD_AGG_RO_COMP[],R$1,0),"ERROR")</f>
        <v>23</v>
      </c>
      <c r="S24" s="204">
        <f>IFERROR(VLOOKUP($B24,MMWR_APP_RO[],S$1,0),"ERROR")</f>
        <v>9397</v>
      </c>
      <c r="T24" s="25"/>
    </row>
    <row r="25" spans="1:20" x14ac:dyDescent="0.25">
      <c r="A25" s="107"/>
      <c r="B25" s="101" t="s">
        <v>400</v>
      </c>
      <c r="C25" s="215">
        <f>IFERROR(VLOOKUP($B25,MMWR_TRAD_AGG_DISTRICT_COMP[],C$1,0),"ERROR")</f>
        <v>50600</v>
      </c>
      <c r="D25" s="200">
        <f>IFERROR(VLOOKUP($B25,MMWR_TRAD_AGG_DISTRICT_COMP[],D$1,0),"ERROR")</f>
        <v>384.28148221340001</v>
      </c>
      <c r="E25" s="216">
        <f>IFERROR(VLOOKUP($B25,MMWR_TRAD_AGG_DISTRICT_COMP[],E$1,0),"ERROR")</f>
        <v>55475</v>
      </c>
      <c r="F25" s="221">
        <f>IFERROR(VLOOKUP($B25,MMWR_TRAD_AGG_DISTRICT_COMP[],F$1,0),"ERROR")</f>
        <v>13307</v>
      </c>
      <c r="G25" s="217">
        <f t="shared" si="0"/>
        <v>0.23987381703470032</v>
      </c>
      <c r="H25" s="221">
        <f>IFERROR(VLOOKUP($B25,MMWR_TRAD_AGG_DISTRICT_COMP[],H$1,0),"ERROR")</f>
        <v>80638</v>
      </c>
      <c r="I25" s="221">
        <f>IFERROR(VLOOKUP($B25,MMWR_TRAD_AGG_DISTRICT_COMP[],I$1,0),"ERROR")</f>
        <v>42343</v>
      </c>
      <c r="J25" s="217">
        <f t="shared" si="1"/>
        <v>0.52509982886480322</v>
      </c>
      <c r="K25" s="215">
        <f>IFERROR(VLOOKUP($B25,MMWR_TRAD_AGG_DISTRICT_COMP[],K$1,0),"ERROR")</f>
        <v>9527</v>
      </c>
      <c r="L25" s="215">
        <f>IFERROR(VLOOKUP($B25,MMWR_TRAD_AGG_DISTRICT_COMP[],L$1,0),"ERROR")</f>
        <v>8029</v>
      </c>
      <c r="M25" s="217">
        <f t="shared" si="2"/>
        <v>0.84276267450404119</v>
      </c>
      <c r="N25" s="215">
        <f>IFERROR(VLOOKUP($B25,MMWR_TRAD_AGG_DISTRICT_COMP[],N$1,0),"ERROR")</f>
        <v>22361</v>
      </c>
      <c r="O25" s="215">
        <f>IFERROR(VLOOKUP($B25,MMWR_TRAD_AGG_DISTRICT_COMP[],O$1,0),"ERROR")</f>
        <v>16236</v>
      </c>
      <c r="P25" s="217">
        <f t="shared" si="3"/>
        <v>0.72608559545637497</v>
      </c>
      <c r="Q25" s="215">
        <f>IFERROR(VLOOKUP($B25,MMWR_TRAD_AGG_DISTRICT_COMP[],Q$1,0),"ERROR")</f>
        <v>162</v>
      </c>
      <c r="R25" s="218">
        <f>IFERROR(VLOOKUP($B25,MMWR_TRAD_AGG_DISTRICT_COMP[],R$1,0),"ERROR")</f>
        <v>1173</v>
      </c>
      <c r="S25" s="218">
        <f>IFERROR(VLOOKUP($B25,MMWR_APP_RO[],S$1,0),"ERROR")</f>
        <v>51222</v>
      </c>
      <c r="T25" s="25"/>
    </row>
    <row r="26" spans="1:20" x14ac:dyDescent="0.25">
      <c r="A26" s="107"/>
      <c r="B26" s="108" t="s">
        <v>40</v>
      </c>
      <c r="C26" s="212">
        <f>IFERROR(VLOOKUP($B26,MMWR_TRAD_AGG_RO_COMP[],C$1,0),"ERROR")</f>
        <v>6702</v>
      </c>
      <c r="D26" s="201">
        <f>IFERROR(VLOOKUP($B26,MMWR_TRAD_AGG_RO_COMP[],D$1,0),"ERROR")</f>
        <v>512.14592658909999</v>
      </c>
      <c r="E26" s="198">
        <f>IFERROR(VLOOKUP($B26,MMWR_TRAD_AGG_RO_COMP[],E$1,0),"ERROR")</f>
        <v>6649</v>
      </c>
      <c r="F26" s="194">
        <f>IFERROR(VLOOKUP($B26,MMWR_TRAD_AGG_RO_COMP[],F$1,0),"ERROR")</f>
        <v>1998</v>
      </c>
      <c r="G26" s="219">
        <f t="shared" si="0"/>
        <v>0.30049631523537373</v>
      </c>
      <c r="H26" s="193">
        <f>IFERROR(VLOOKUP($B26,MMWR_TRAD_AGG_RO_COMP[],H$1,0),"ERROR")</f>
        <v>8093</v>
      </c>
      <c r="I26" s="194">
        <f>IFERROR(VLOOKUP($B26,MMWR_TRAD_AGG_RO_COMP[],I$1,0),"ERROR")</f>
        <v>6105</v>
      </c>
      <c r="J26" s="219">
        <f t="shared" si="1"/>
        <v>0.75435561596441369</v>
      </c>
      <c r="K26" s="207">
        <f>IFERROR(VLOOKUP($B26,MMWR_TRAD_AGG_RO_COMP[],K$1,0),"ERROR")</f>
        <v>1362</v>
      </c>
      <c r="L26" s="208">
        <f>IFERROR(VLOOKUP($B26,MMWR_TRAD_AGG_RO_COMP[],L$1,0),"ERROR")</f>
        <v>1322</v>
      </c>
      <c r="M26" s="219">
        <f t="shared" si="2"/>
        <v>0.97063142437591776</v>
      </c>
      <c r="N26" s="207">
        <f>IFERROR(VLOOKUP($B26,MMWR_TRAD_AGG_RO_COMP[],N$1,0),"ERROR")</f>
        <v>2350</v>
      </c>
      <c r="O26" s="208">
        <f>IFERROR(VLOOKUP($B26,MMWR_TRAD_AGG_RO_COMP[],O$1,0),"ERROR")</f>
        <v>1827</v>
      </c>
      <c r="P26" s="219">
        <f t="shared" si="3"/>
        <v>0.7774468085106383</v>
      </c>
      <c r="Q26" s="204">
        <f>IFERROR(VLOOKUP($B26,MMWR_TRAD_AGG_RO_COMP[],Q$1,0),"ERROR")</f>
        <v>1</v>
      </c>
      <c r="R26" s="204">
        <f>IFERROR(VLOOKUP($B26,MMWR_TRAD_AGG_RO_COMP[],R$1,0),"ERROR")</f>
        <v>287</v>
      </c>
      <c r="S26" s="204">
        <f>IFERROR(VLOOKUP($B26,MMWR_APP_RO[],S$1,0),"ERROR")</f>
        <v>7532</v>
      </c>
      <c r="T26" s="25"/>
    </row>
    <row r="27" spans="1:20" x14ac:dyDescent="0.25">
      <c r="A27" s="107"/>
      <c r="B27" s="108" t="s">
        <v>41</v>
      </c>
      <c r="C27" s="212">
        <f>IFERROR(VLOOKUP($B27,MMWR_TRAD_AGG_RO_COMP[],C$1,0),"ERROR")</f>
        <v>7681</v>
      </c>
      <c r="D27" s="201">
        <f>IFERROR(VLOOKUP($B27,MMWR_TRAD_AGG_RO_COMP[],D$1,0),"ERROR")</f>
        <v>519.12224970709997</v>
      </c>
      <c r="E27" s="198">
        <f>IFERROR(VLOOKUP($B27,MMWR_TRAD_AGG_RO_COMP[],E$1,0),"ERROR")</f>
        <v>8175</v>
      </c>
      <c r="F27" s="194">
        <f>IFERROR(VLOOKUP($B27,MMWR_TRAD_AGG_RO_COMP[],F$1,0),"ERROR")</f>
        <v>2030</v>
      </c>
      <c r="G27" s="219">
        <f t="shared" si="0"/>
        <v>0.24831804281345565</v>
      </c>
      <c r="H27" s="193">
        <f>IFERROR(VLOOKUP($B27,MMWR_TRAD_AGG_RO_COMP[],H$1,0),"ERROR")</f>
        <v>10009</v>
      </c>
      <c r="I27" s="194">
        <f>IFERROR(VLOOKUP($B27,MMWR_TRAD_AGG_RO_COMP[],I$1,0),"ERROR")</f>
        <v>7879</v>
      </c>
      <c r="J27" s="219">
        <f t="shared" si="1"/>
        <v>0.78719152762513733</v>
      </c>
      <c r="K27" s="207">
        <f>IFERROR(VLOOKUP($B27,MMWR_TRAD_AGG_RO_COMP[],K$1,0),"ERROR")</f>
        <v>1495</v>
      </c>
      <c r="L27" s="208">
        <f>IFERROR(VLOOKUP($B27,MMWR_TRAD_AGG_RO_COMP[],L$1,0),"ERROR")</f>
        <v>1450</v>
      </c>
      <c r="M27" s="219">
        <f t="shared" si="2"/>
        <v>0.96989966555183948</v>
      </c>
      <c r="N27" s="207">
        <f>IFERROR(VLOOKUP($B27,MMWR_TRAD_AGG_RO_COMP[],N$1,0),"ERROR")</f>
        <v>6609</v>
      </c>
      <c r="O27" s="208">
        <f>IFERROR(VLOOKUP($B27,MMWR_TRAD_AGG_RO_COMP[],O$1,0),"ERROR")</f>
        <v>4028</v>
      </c>
      <c r="P27" s="219">
        <f t="shared" si="3"/>
        <v>0.60947193221364804</v>
      </c>
      <c r="Q27" s="204">
        <f>IFERROR(VLOOKUP($B27,MMWR_TRAD_AGG_RO_COMP[],Q$1,0),"ERROR")</f>
        <v>14</v>
      </c>
      <c r="R27" s="204">
        <f>IFERROR(VLOOKUP($B27,MMWR_TRAD_AGG_RO_COMP[],R$1,0),"ERROR")</f>
        <v>340</v>
      </c>
      <c r="S27" s="204">
        <f>IFERROR(VLOOKUP($B27,MMWR_APP_RO[],S$1,0),"ERROR")</f>
        <v>13887</v>
      </c>
      <c r="T27" s="25"/>
    </row>
    <row r="28" spans="1:20" x14ac:dyDescent="0.25">
      <c r="A28" s="107"/>
      <c r="B28" s="108" t="s">
        <v>44</v>
      </c>
      <c r="C28" s="212">
        <f>IFERROR(VLOOKUP($B28,MMWR_TRAD_AGG_RO_COMP[],C$1,0),"ERROR")</f>
        <v>1288</v>
      </c>
      <c r="D28" s="201">
        <f>IFERROR(VLOOKUP($B28,MMWR_TRAD_AGG_RO_COMP[],D$1,0),"ERROR")</f>
        <v>125.4270186335</v>
      </c>
      <c r="E28" s="198">
        <f>IFERROR(VLOOKUP($B28,MMWR_TRAD_AGG_RO_COMP[],E$1,0),"ERROR")</f>
        <v>2169</v>
      </c>
      <c r="F28" s="194">
        <f>IFERROR(VLOOKUP($B28,MMWR_TRAD_AGG_RO_COMP[],F$1,0),"ERROR")</f>
        <v>532</v>
      </c>
      <c r="G28" s="219">
        <f t="shared" si="0"/>
        <v>0.24527431996311663</v>
      </c>
      <c r="H28" s="193">
        <f>IFERROR(VLOOKUP($B28,MMWR_TRAD_AGG_RO_COMP[],H$1,0),"ERROR")</f>
        <v>2422</v>
      </c>
      <c r="I28" s="194">
        <f>IFERROR(VLOOKUP($B28,MMWR_TRAD_AGG_RO_COMP[],I$1,0),"ERROR")</f>
        <v>684</v>
      </c>
      <c r="J28" s="219">
        <f t="shared" si="1"/>
        <v>0.282411230388109</v>
      </c>
      <c r="K28" s="207">
        <f>IFERROR(VLOOKUP($B28,MMWR_TRAD_AGG_RO_COMP[],K$1,0),"ERROR")</f>
        <v>199</v>
      </c>
      <c r="L28" s="208">
        <f>IFERROR(VLOOKUP($B28,MMWR_TRAD_AGG_RO_COMP[],L$1,0),"ERROR")</f>
        <v>160</v>
      </c>
      <c r="M28" s="219">
        <f t="shared" si="2"/>
        <v>0.8040201005025126</v>
      </c>
      <c r="N28" s="207">
        <f>IFERROR(VLOOKUP($B28,MMWR_TRAD_AGG_RO_COMP[],N$1,0),"ERROR")</f>
        <v>2834</v>
      </c>
      <c r="O28" s="208">
        <f>IFERROR(VLOOKUP($B28,MMWR_TRAD_AGG_RO_COMP[],O$1,0),"ERROR")</f>
        <v>2710</v>
      </c>
      <c r="P28" s="219">
        <f t="shared" si="3"/>
        <v>0.95624558927311221</v>
      </c>
      <c r="Q28" s="204">
        <f>IFERROR(VLOOKUP($B28,MMWR_TRAD_AGG_RO_COMP[],Q$1,0),"ERROR")</f>
        <v>0</v>
      </c>
      <c r="R28" s="204">
        <f>IFERROR(VLOOKUP($B28,MMWR_TRAD_AGG_RO_COMP[],R$1,0),"ERROR")</f>
        <v>11</v>
      </c>
      <c r="S28" s="204">
        <f>IFERROR(VLOOKUP($B28,MMWR_APP_RO[],S$1,0),"ERROR")</f>
        <v>1103</v>
      </c>
      <c r="T28" s="25"/>
    </row>
    <row r="29" spans="1:20" x14ac:dyDescent="0.25">
      <c r="A29" s="107"/>
      <c r="B29" s="108" t="s">
        <v>45</v>
      </c>
      <c r="C29" s="212">
        <f>IFERROR(VLOOKUP($B29,MMWR_TRAD_AGG_RO_COMP[],C$1,0),"ERROR")</f>
        <v>2967</v>
      </c>
      <c r="D29" s="201">
        <f>IFERROR(VLOOKUP($B29,MMWR_TRAD_AGG_RO_COMP[],D$1,0),"ERROR")</f>
        <v>234.5143242332</v>
      </c>
      <c r="E29" s="198">
        <f>IFERROR(VLOOKUP($B29,MMWR_TRAD_AGG_RO_COMP[],E$1,0),"ERROR")</f>
        <v>6960</v>
      </c>
      <c r="F29" s="194">
        <f>IFERROR(VLOOKUP($B29,MMWR_TRAD_AGG_RO_COMP[],F$1,0),"ERROR")</f>
        <v>1958</v>
      </c>
      <c r="G29" s="219">
        <f t="shared" si="0"/>
        <v>0.28132183908045977</v>
      </c>
      <c r="H29" s="193">
        <f>IFERROR(VLOOKUP($B29,MMWR_TRAD_AGG_RO_COMP[],H$1,0),"ERROR")</f>
        <v>6136</v>
      </c>
      <c r="I29" s="194">
        <f>IFERROR(VLOOKUP($B29,MMWR_TRAD_AGG_RO_COMP[],I$1,0),"ERROR")</f>
        <v>2434</v>
      </c>
      <c r="J29" s="219">
        <f t="shared" si="1"/>
        <v>0.39667535853976532</v>
      </c>
      <c r="K29" s="207">
        <f>IFERROR(VLOOKUP($B29,MMWR_TRAD_AGG_RO_COMP[],K$1,0),"ERROR")</f>
        <v>912</v>
      </c>
      <c r="L29" s="208">
        <f>IFERROR(VLOOKUP($B29,MMWR_TRAD_AGG_RO_COMP[],L$1,0),"ERROR")</f>
        <v>733</v>
      </c>
      <c r="M29" s="219">
        <f t="shared" si="2"/>
        <v>0.80372807017543857</v>
      </c>
      <c r="N29" s="207">
        <f>IFERROR(VLOOKUP($B29,MMWR_TRAD_AGG_RO_COMP[],N$1,0),"ERROR")</f>
        <v>679</v>
      </c>
      <c r="O29" s="208">
        <f>IFERROR(VLOOKUP($B29,MMWR_TRAD_AGG_RO_COMP[],O$1,0),"ERROR")</f>
        <v>440</v>
      </c>
      <c r="P29" s="219">
        <f t="shared" si="3"/>
        <v>0.64801178203240062</v>
      </c>
      <c r="Q29" s="204">
        <f>IFERROR(VLOOKUP($B29,MMWR_TRAD_AGG_RO_COMP[],Q$1,0),"ERROR")</f>
        <v>3</v>
      </c>
      <c r="R29" s="204">
        <f>IFERROR(VLOOKUP($B29,MMWR_TRAD_AGG_RO_COMP[],R$1,0),"ERROR")</f>
        <v>203</v>
      </c>
      <c r="S29" s="204">
        <f>IFERROR(VLOOKUP($B29,MMWR_APP_RO[],S$1,0),"ERROR")</f>
        <v>6082</v>
      </c>
      <c r="T29" s="25"/>
    </row>
    <row r="30" spans="1:20" x14ac:dyDescent="0.25">
      <c r="A30" s="107"/>
      <c r="B30" s="108" t="s">
        <v>46</v>
      </c>
      <c r="C30" s="212">
        <f>IFERROR(VLOOKUP($B30,MMWR_TRAD_AGG_RO_COMP[],C$1,0),"ERROR")</f>
        <v>146</v>
      </c>
      <c r="D30" s="201">
        <f>IFERROR(VLOOKUP($B30,MMWR_TRAD_AGG_RO_COMP[],D$1,0),"ERROR")</f>
        <v>56.972602739700001</v>
      </c>
      <c r="E30" s="198">
        <f>IFERROR(VLOOKUP($B30,MMWR_TRAD_AGG_RO_COMP[],E$1,0),"ERROR")</f>
        <v>835</v>
      </c>
      <c r="F30" s="194">
        <f>IFERROR(VLOOKUP($B30,MMWR_TRAD_AGG_RO_COMP[],F$1,0),"ERROR")</f>
        <v>175</v>
      </c>
      <c r="G30" s="219">
        <f t="shared" si="0"/>
        <v>0.20958083832335328</v>
      </c>
      <c r="H30" s="193">
        <f>IFERROR(VLOOKUP($B30,MMWR_TRAD_AGG_RO_COMP[],H$1,0),"ERROR")</f>
        <v>460</v>
      </c>
      <c r="I30" s="194">
        <f>IFERROR(VLOOKUP($B30,MMWR_TRAD_AGG_RO_COMP[],I$1,0),"ERROR")</f>
        <v>31</v>
      </c>
      <c r="J30" s="219">
        <f t="shared" si="1"/>
        <v>6.7391304347826086E-2</v>
      </c>
      <c r="K30" s="207">
        <f>IFERROR(VLOOKUP($B30,MMWR_TRAD_AGG_RO_COMP[],K$1,0),"ERROR")</f>
        <v>74</v>
      </c>
      <c r="L30" s="208">
        <f>IFERROR(VLOOKUP($B30,MMWR_TRAD_AGG_RO_COMP[],L$1,0),"ERROR")</f>
        <v>20</v>
      </c>
      <c r="M30" s="219">
        <f t="shared" si="2"/>
        <v>0.27027027027027029</v>
      </c>
      <c r="N30" s="207">
        <f>IFERROR(VLOOKUP($B30,MMWR_TRAD_AGG_RO_COMP[],N$1,0),"ERROR")</f>
        <v>42</v>
      </c>
      <c r="O30" s="208">
        <f>IFERROR(VLOOKUP($B30,MMWR_TRAD_AGG_RO_COMP[],O$1,0),"ERROR")</f>
        <v>13</v>
      </c>
      <c r="P30" s="219">
        <f t="shared" si="3"/>
        <v>0.30952380952380953</v>
      </c>
      <c r="Q30" s="204">
        <f>IFERROR(VLOOKUP($B30,MMWR_TRAD_AGG_RO_COMP[],Q$1,0),"ERROR")</f>
        <v>0</v>
      </c>
      <c r="R30" s="204">
        <f>IFERROR(VLOOKUP($B30,MMWR_TRAD_AGG_RO_COMP[],R$1,0),"ERROR")</f>
        <v>0</v>
      </c>
      <c r="S30" s="204">
        <f>IFERROR(VLOOKUP($B30,MMWR_APP_RO[],S$1,0),"ERROR")</f>
        <v>512</v>
      </c>
      <c r="T30" s="25"/>
    </row>
    <row r="31" spans="1:20" x14ac:dyDescent="0.25">
      <c r="A31" s="107"/>
      <c r="B31" s="108" t="s">
        <v>51</v>
      </c>
      <c r="C31" s="212">
        <f>IFERROR(VLOOKUP($B31,MMWR_TRAD_AGG_RO_COMP[],C$1,0),"ERROR")</f>
        <v>9820</v>
      </c>
      <c r="D31" s="201">
        <f>IFERROR(VLOOKUP($B31,MMWR_TRAD_AGG_RO_COMP[],D$1,0),"ERROR")</f>
        <v>574.52219959269996</v>
      </c>
      <c r="E31" s="198">
        <f>IFERROR(VLOOKUP($B31,MMWR_TRAD_AGG_RO_COMP[],E$1,0),"ERROR")</f>
        <v>4715</v>
      </c>
      <c r="F31" s="194">
        <f>IFERROR(VLOOKUP($B31,MMWR_TRAD_AGG_RO_COMP[],F$1,0),"ERROR")</f>
        <v>1155</v>
      </c>
      <c r="G31" s="219">
        <f t="shared" si="0"/>
        <v>0.24496288441145281</v>
      </c>
      <c r="H31" s="193">
        <f>IFERROR(VLOOKUP($B31,MMWR_TRAD_AGG_RO_COMP[],H$1,0),"ERROR")</f>
        <v>15760</v>
      </c>
      <c r="I31" s="194">
        <f>IFERROR(VLOOKUP($B31,MMWR_TRAD_AGG_RO_COMP[],I$1,0),"ERROR")</f>
        <v>9208</v>
      </c>
      <c r="J31" s="219">
        <f t="shared" si="1"/>
        <v>0.58426395939086295</v>
      </c>
      <c r="K31" s="207">
        <f>IFERROR(VLOOKUP($B31,MMWR_TRAD_AGG_RO_COMP[],K$1,0),"ERROR")</f>
        <v>997</v>
      </c>
      <c r="L31" s="208">
        <f>IFERROR(VLOOKUP($B31,MMWR_TRAD_AGG_RO_COMP[],L$1,0),"ERROR")</f>
        <v>854</v>
      </c>
      <c r="M31" s="219">
        <f t="shared" si="2"/>
        <v>0.85656970912738217</v>
      </c>
      <c r="N31" s="207">
        <f>IFERROR(VLOOKUP($B31,MMWR_TRAD_AGG_RO_COMP[],N$1,0),"ERROR")</f>
        <v>1907</v>
      </c>
      <c r="O31" s="208">
        <f>IFERROR(VLOOKUP($B31,MMWR_TRAD_AGG_RO_COMP[],O$1,0),"ERROR")</f>
        <v>1369</v>
      </c>
      <c r="P31" s="219">
        <f t="shared" si="3"/>
        <v>0.71788148925013107</v>
      </c>
      <c r="Q31" s="204">
        <f>IFERROR(VLOOKUP($B31,MMWR_TRAD_AGG_RO_COMP[],Q$1,0),"ERROR")</f>
        <v>3</v>
      </c>
      <c r="R31" s="204">
        <f>IFERROR(VLOOKUP($B31,MMWR_TRAD_AGG_RO_COMP[],R$1,0),"ERROR")</f>
        <v>208</v>
      </c>
      <c r="S31" s="204">
        <f>IFERROR(VLOOKUP($B31,MMWR_APP_RO[],S$1,0),"ERROR")</f>
        <v>8127</v>
      </c>
      <c r="T31" s="25"/>
    </row>
    <row r="32" spans="1:20" x14ac:dyDescent="0.25">
      <c r="A32" s="107"/>
      <c r="B32" s="108" t="s">
        <v>53</v>
      </c>
      <c r="C32" s="212">
        <f>IFERROR(VLOOKUP($B32,MMWR_TRAD_AGG_RO_COMP[],C$1,0),"ERROR")</f>
        <v>2517</v>
      </c>
      <c r="D32" s="201">
        <f>IFERROR(VLOOKUP($B32,MMWR_TRAD_AGG_RO_COMP[],D$1,0),"ERROR")</f>
        <v>126.414382201</v>
      </c>
      <c r="E32" s="198">
        <f>IFERROR(VLOOKUP($B32,MMWR_TRAD_AGG_RO_COMP[],E$1,0),"ERROR")</f>
        <v>1826</v>
      </c>
      <c r="F32" s="194">
        <f>IFERROR(VLOOKUP($B32,MMWR_TRAD_AGG_RO_COMP[],F$1,0),"ERROR")</f>
        <v>303</v>
      </c>
      <c r="G32" s="219">
        <f t="shared" si="0"/>
        <v>0.16593647316538881</v>
      </c>
      <c r="H32" s="193">
        <f>IFERROR(VLOOKUP($B32,MMWR_TRAD_AGG_RO_COMP[],H$1,0),"ERROR")</f>
        <v>4725</v>
      </c>
      <c r="I32" s="194">
        <f>IFERROR(VLOOKUP($B32,MMWR_TRAD_AGG_RO_COMP[],I$1,0),"ERROR")</f>
        <v>992</v>
      </c>
      <c r="J32" s="219">
        <f t="shared" si="1"/>
        <v>0.20994708994708994</v>
      </c>
      <c r="K32" s="207">
        <f>IFERROR(VLOOKUP($B32,MMWR_TRAD_AGG_RO_COMP[],K$1,0),"ERROR")</f>
        <v>589</v>
      </c>
      <c r="L32" s="208">
        <f>IFERROR(VLOOKUP($B32,MMWR_TRAD_AGG_RO_COMP[],L$1,0),"ERROR")</f>
        <v>456</v>
      </c>
      <c r="M32" s="219">
        <f t="shared" si="2"/>
        <v>0.77419354838709675</v>
      </c>
      <c r="N32" s="207">
        <f>IFERROR(VLOOKUP($B32,MMWR_TRAD_AGG_RO_COMP[],N$1,0),"ERROR")</f>
        <v>308</v>
      </c>
      <c r="O32" s="208">
        <f>IFERROR(VLOOKUP($B32,MMWR_TRAD_AGG_RO_COMP[],O$1,0),"ERROR")</f>
        <v>183</v>
      </c>
      <c r="P32" s="219">
        <f t="shared" si="3"/>
        <v>0.5941558441558441</v>
      </c>
      <c r="Q32" s="204">
        <f>IFERROR(VLOOKUP($B32,MMWR_TRAD_AGG_RO_COMP[],Q$1,0),"ERROR")</f>
        <v>0</v>
      </c>
      <c r="R32" s="204">
        <f>IFERROR(VLOOKUP($B32,MMWR_TRAD_AGG_RO_COMP[],R$1,0),"ERROR")</f>
        <v>14</v>
      </c>
      <c r="S32" s="204">
        <f>IFERROR(VLOOKUP($B32,MMWR_APP_RO[],S$1,0),"ERROR")</f>
        <v>1394</v>
      </c>
      <c r="T32" s="25"/>
    </row>
    <row r="33" spans="1:20" x14ac:dyDescent="0.25">
      <c r="A33" s="107"/>
      <c r="B33" s="108" t="s">
        <v>59</v>
      </c>
      <c r="C33" s="212">
        <f>IFERROR(VLOOKUP($B33,MMWR_TRAD_AGG_RO_COMP[],C$1,0),"ERROR")</f>
        <v>7702</v>
      </c>
      <c r="D33" s="201">
        <f>IFERROR(VLOOKUP($B33,MMWR_TRAD_AGG_RO_COMP[],D$1,0),"ERROR")</f>
        <v>245.19241755389999</v>
      </c>
      <c r="E33" s="198">
        <f>IFERROR(VLOOKUP($B33,MMWR_TRAD_AGG_RO_COMP[],E$1,0),"ERROR")</f>
        <v>5729</v>
      </c>
      <c r="F33" s="194">
        <f>IFERROR(VLOOKUP($B33,MMWR_TRAD_AGG_RO_COMP[],F$1,0),"ERROR")</f>
        <v>1232</v>
      </c>
      <c r="G33" s="219">
        <f t="shared" si="0"/>
        <v>0.21504625589108048</v>
      </c>
      <c r="H33" s="193">
        <f>IFERROR(VLOOKUP($B33,MMWR_TRAD_AGG_RO_COMP[],H$1,0),"ERROR")</f>
        <v>9917</v>
      </c>
      <c r="I33" s="194">
        <f>IFERROR(VLOOKUP($B33,MMWR_TRAD_AGG_RO_COMP[],I$1,0),"ERROR")</f>
        <v>4830</v>
      </c>
      <c r="J33" s="219">
        <f t="shared" si="1"/>
        <v>0.48704245235454269</v>
      </c>
      <c r="K33" s="207">
        <f>IFERROR(VLOOKUP($B33,MMWR_TRAD_AGG_RO_COMP[],K$1,0),"ERROR")</f>
        <v>331</v>
      </c>
      <c r="L33" s="208">
        <f>IFERROR(VLOOKUP($B33,MMWR_TRAD_AGG_RO_COMP[],L$1,0),"ERROR")</f>
        <v>224</v>
      </c>
      <c r="M33" s="219">
        <f t="shared" si="2"/>
        <v>0.67673716012084595</v>
      </c>
      <c r="N33" s="207">
        <f>IFERROR(VLOOKUP($B33,MMWR_TRAD_AGG_RO_COMP[],N$1,0),"ERROR")</f>
        <v>463</v>
      </c>
      <c r="O33" s="208">
        <f>IFERROR(VLOOKUP($B33,MMWR_TRAD_AGG_RO_COMP[],O$1,0),"ERROR")</f>
        <v>194</v>
      </c>
      <c r="P33" s="219">
        <f t="shared" si="3"/>
        <v>0.41900647948164149</v>
      </c>
      <c r="Q33" s="204">
        <f>IFERROR(VLOOKUP($B33,MMWR_TRAD_AGG_RO_COMP[],Q$1,0),"ERROR")</f>
        <v>77</v>
      </c>
      <c r="R33" s="204">
        <f>IFERROR(VLOOKUP($B33,MMWR_TRAD_AGG_RO_COMP[],R$1,0),"ERROR")</f>
        <v>0</v>
      </c>
      <c r="S33" s="204">
        <f>IFERROR(VLOOKUP($B33,MMWR_APP_RO[],S$1,0),"ERROR")</f>
        <v>3035</v>
      </c>
      <c r="T33" s="25"/>
    </row>
    <row r="34" spans="1:20" x14ac:dyDescent="0.25">
      <c r="A34" s="107"/>
      <c r="B34" s="108" t="s">
        <v>77</v>
      </c>
      <c r="C34" s="212">
        <f>IFERROR(VLOOKUP($B34,MMWR_TRAD_AGG_RO_COMP[],C$1,0),"ERROR")</f>
        <v>397</v>
      </c>
      <c r="D34" s="201">
        <f>IFERROR(VLOOKUP($B34,MMWR_TRAD_AGG_RO_COMP[],D$1,0),"ERROR")</f>
        <v>103.4659949622</v>
      </c>
      <c r="E34" s="198">
        <f>IFERROR(VLOOKUP($B34,MMWR_TRAD_AGG_RO_COMP[],E$1,0),"ERROR")</f>
        <v>842</v>
      </c>
      <c r="F34" s="194">
        <f>IFERROR(VLOOKUP($B34,MMWR_TRAD_AGG_RO_COMP[],F$1,0),"ERROR")</f>
        <v>203</v>
      </c>
      <c r="G34" s="219">
        <f t="shared" si="0"/>
        <v>0.24109263657957244</v>
      </c>
      <c r="H34" s="193">
        <f>IFERROR(VLOOKUP($B34,MMWR_TRAD_AGG_RO_COMP[],H$1,0),"ERROR")</f>
        <v>748</v>
      </c>
      <c r="I34" s="194">
        <f>IFERROR(VLOOKUP($B34,MMWR_TRAD_AGG_RO_COMP[],I$1,0),"ERROR")</f>
        <v>90</v>
      </c>
      <c r="J34" s="219">
        <f t="shared" si="1"/>
        <v>0.12032085561497326</v>
      </c>
      <c r="K34" s="207">
        <f>IFERROR(VLOOKUP($B34,MMWR_TRAD_AGG_RO_COMP[],K$1,0),"ERROR")</f>
        <v>399</v>
      </c>
      <c r="L34" s="208">
        <f>IFERROR(VLOOKUP($B34,MMWR_TRAD_AGG_RO_COMP[],L$1,0),"ERROR")</f>
        <v>101</v>
      </c>
      <c r="M34" s="219">
        <f t="shared" si="2"/>
        <v>0.25313283208020049</v>
      </c>
      <c r="N34" s="207">
        <f>IFERROR(VLOOKUP($B34,MMWR_TRAD_AGG_RO_COMP[],N$1,0),"ERROR")</f>
        <v>28</v>
      </c>
      <c r="O34" s="208">
        <f>IFERROR(VLOOKUP($B34,MMWR_TRAD_AGG_RO_COMP[],O$1,0),"ERROR")</f>
        <v>9</v>
      </c>
      <c r="P34" s="219">
        <f t="shared" si="3"/>
        <v>0.32142857142857145</v>
      </c>
      <c r="Q34" s="204">
        <f>IFERROR(VLOOKUP($B34,MMWR_TRAD_AGG_RO_COMP[],Q$1,0),"ERROR")</f>
        <v>0</v>
      </c>
      <c r="R34" s="204">
        <f>IFERROR(VLOOKUP($B34,MMWR_TRAD_AGG_RO_COMP[],R$1,0),"ERROR")</f>
        <v>1</v>
      </c>
      <c r="S34" s="204">
        <f>IFERROR(VLOOKUP($B34,MMWR_APP_RO[],S$1,0),"ERROR")</f>
        <v>225</v>
      </c>
      <c r="T34" s="25"/>
    </row>
    <row r="35" spans="1:20" x14ac:dyDescent="0.25">
      <c r="A35" s="107"/>
      <c r="B35" s="108" t="s">
        <v>78</v>
      </c>
      <c r="C35" s="212">
        <f>IFERROR(VLOOKUP($B35,MMWR_TRAD_AGG_RO_COMP[],C$1,0),"ERROR")</f>
        <v>4970</v>
      </c>
      <c r="D35" s="201">
        <f>IFERROR(VLOOKUP($B35,MMWR_TRAD_AGG_RO_COMP[],D$1,0),"ERROR")</f>
        <v>265.76519114690001</v>
      </c>
      <c r="E35" s="198">
        <f>IFERROR(VLOOKUP($B35,MMWR_TRAD_AGG_RO_COMP[],E$1,0),"ERROR")</f>
        <v>4956</v>
      </c>
      <c r="F35" s="194">
        <f>IFERROR(VLOOKUP($B35,MMWR_TRAD_AGG_RO_COMP[],F$1,0),"ERROR")</f>
        <v>998</v>
      </c>
      <c r="G35" s="219">
        <f t="shared" si="0"/>
        <v>0.20137207425343018</v>
      </c>
      <c r="H35" s="193">
        <f>IFERROR(VLOOKUP($B35,MMWR_TRAD_AGG_RO_COMP[],H$1,0),"ERROR")</f>
        <v>7573</v>
      </c>
      <c r="I35" s="194">
        <f>IFERROR(VLOOKUP($B35,MMWR_TRAD_AGG_RO_COMP[],I$1,0),"ERROR")</f>
        <v>4654</v>
      </c>
      <c r="J35" s="219">
        <f t="shared" si="1"/>
        <v>0.61455169681764166</v>
      </c>
      <c r="K35" s="207">
        <f>IFERROR(VLOOKUP($B35,MMWR_TRAD_AGG_RO_COMP[],K$1,0),"ERROR")</f>
        <v>2230</v>
      </c>
      <c r="L35" s="208">
        <f>IFERROR(VLOOKUP($B35,MMWR_TRAD_AGG_RO_COMP[],L$1,0),"ERROR")</f>
        <v>2131</v>
      </c>
      <c r="M35" s="219">
        <f t="shared" si="2"/>
        <v>0.95560538116591931</v>
      </c>
      <c r="N35" s="207">
        <f>IFERROR(VLOOKUP($B35,MMWR_TRAD_AGG_RO_COMP[],N$1,0),"ERROR")</f>
        <v>5596</v>
      </c>
      <c r="O35" s="208">
        <f>IFERROR(VLOOKUP($B35,MMWR_TRAD_AGG_RO_COMP[],O$1,0),"ERROR")</f>
        <v>4666</v>
      </c>
      <c r="P35" s="219">
        <f t="shared" si="3"/>
        <v>0.83380986418870617</v>
      </c>
      <c r="Q35" s="204">
        <f>IFERROR(VLOOKUP($B35,MMWR_TRAD_AGG_RO_COMP[],Q$1,0),"ERROR")</f>
        <v>42</v>
      </c>
      <c r="R35" s="204">
        <f>IFERROR(VLOOKUP($B35,MMWR_TRAD_AGG_RO_COMP[],R$1,0),"ERROR")</f>
        <v>99</v>
      </c>
      <c r="S35" s="204">
        <f>IFERROR(VLOOKUP($B35,MMWR_APP_RO[],S$1,0),"ERROR")</f>
        <v>6310</v>
      </c>
      <c r="T35" s="25"/>
    </row>
    <row r="36" spans="1:20" x14ac:dyDescent="0.25">
      <c r="A36" s="28"/>
      <c r="B36" s="108" t="s">
        <v>79</v>
      </c>
      <c r="C36" s="222">
        <f>IFERROR(VLOOKUP($B36,MMWR_TRAD_AGG_RO_COMP[],C$1,0),"ERROR")</f>
        <v>4861</v>
      </c>
      <c r="D36" s="223">
        <f>IFERROR(VLOOKUP($B36,MMWR_TRAD_AGG_RO_COMP[],D$1,0),"ERROR")</f>
        <v>351.62950010290001</v>
      </c>
      <c r="E36" s="224">
        <f>IFERROR(VLOOKUP($B36,MMWR_TRAD_AGG_RO_COMP[],E$1,0),"ERROR")</f>
        <v>10171</v>
      </c>
      <c r="F36" s="225">
        <f>IFERROR(VLOOKUP($B36,MMWR_TRAD_AGG_RO_COMP[],F$1,0),"ERROR")</f>
        <v>2154</v>
      </c>
      <c r="G36" s="226">
        <f t="shared" si="0"/>
        <v>0.21177858617638384</v>
      </c>
      <c r="H36" s="227">
        <f>IFERROR(VLOOKUP($B36,MMWR_TRAD_AGG_RO_COMP[],H$1,0),"ERROR")</f>
        <v>12454</v>
      </c>
      <c r="I36" s="225">
        <f>IFERROR(VLOOKUP($B36,MMWR_TRAD_AGG_RO_COMP[],I$1,0),"ERROR")</f>
        <v>4419</v>
      </c>
      <c r="J36" s="226">
        <f t="shared" si="1"/>
        <v>0.35482575879235589</v>
      </c>
      <c r="K36" s="228">
        <f>IFERROR(VLOOKUP($B36,MMWR_TRAD_AGG_RO_COMP[],K$1,0),"ERROR")</f>
        <v>459</v>
      </c>
      <c r="L36" s="229">
        <f>IFERROR(VLOOKUP($B36,MMWR_TRAD_AGG_RO_COMP[],L$1,0),"ERROR")</f>
        <v>334</v>
      </c>
      <c r="M36" s="226">
        <f t="shared" si="2"/>
        <v>0.72766884531590414</v>
      </c>
      <c r="N36" s="228">
        <f>IFERROR(VLOOKUP($B36,MMWR_TRAD_AGG_RO_COMP[],N$1,0),"ERROR")</f>
        <v>1380</v>
      </c>
      <c r="O36" s="229">
        <f>IFERROR(VLOOKUP($B36,MMWR_TRAD_AGG_RO_COMP[],O$1,0),"ERROR")</f>
        <v>709</v>
      </c>
      <c r="P36" s="226">
        <f t="shared" si="3"/>
        <v>0.51376811594202898</v>
      </c>
      <c r="Q36" s="230">
        <f>IFERROR(VLOOKUP($B36,MMWR_TRAD_AGG_RO_COMP[],Q$1,0),"ERROR")</f>
        <v>22</v>
      </c>
      <c r="R36" s="230">
        <f>IFERROR(VLOOKUP($B36,MMWR_TRAD_AGG_RO_COMP[],R$1,0),"ERROR")</f>
        <v>0</v>
      </c>
      <c r="S36" s="204">
        <f>IFERROR(VLOOKUP($B36,MMWR_APP_RO[],S$1,0),"ERROR")</f>
        <v>1721</v>
      </c>
      <c r="T36" s="28"/>
    </row>
    <row r="37" spans="1:20" x14ac:dyDescent="0.25">
      <c r="A37" s="28"/>
      <c r="B37" s="116" t="s">
        <v>84</v>
      </c>
      <c r="C37" s="231">
        <f>IFERROR(VLOOKUP($B37,MMWR_TRAD_AGG_RO_COMP[],C$1,0),"ERROR")</f>
        <v>1549</v>
      </c>
      <c r="D37" s="232">
        <f>IFERROR(VLOOKUP($B37,MMWR_TRAD_AGG_RO_COMP[],D$1,0),"ERROR")</f>
        <v>154.6326662363</v>
      </c>
      <c r="E37" s="233">
        <f>IFERROR(VLOOKUP($B37,MMWR_TRAD_AGG_RO_COMP[],E$1,0),"ERROR")</f>
        <v>2448</v>
      </c>
      <c r="F37" s="234">
        <f>IFERROR(VLOOKUP($B37,MMWR_TRAD_AGG_RO_COMP[],F$1,0),"ERROR")</f>
        <v>569</v>
      </c>
      <c r="G37" s="235">
        <f t="shared" si="0"/>
        <v>0.23243464052287582</v>
      </c>
      <c r="H37" s="236">
        <f>IFERROR(VLOOKUP($B37,MMWR_TRAD_AGG_RO_COMP[],H$1,0),"ERROR")</f>
        <v>2341</v>
      </c>
      <c r="I37" s="234">
        <f>IFERROR(VLOOKUP($B37,MMWR_TRAD_AGG_RO_COMP[],I$1,0),"ERROR")</f>
        <v>1017</v>
      </c>
      <c r="J37" s="235">
        <f t="shared" si="1"/>
        <v>0.43442973088423753</v>
      </c>
      <c r="K37" s="237">
        <f>IFERROR(VLOOKUP($B37,MMWR_TRAD_AGG_RO_COMP[],K$1,0),"ERROR")</f>
        <v>480</v>
      </c>
      <c r="L37" s="238">
        <f>IFERROR(VLOOKUP($B37,MMWR_TRAD_AGG_RO_COMP[],L$1,0),"ERROR")</f>
        <v>244</v>
      </c>
      <c r="M37" s="235">
        <f t="shared" si="2"/>
        <v>0.5083333333333333</v>
      </c>
      <c r="N37" s="237">
        <f>IFERROR(VLOOKUP($B37,MMWR_TRAD_AGG_RO_COMP[],N$1,0),"ERROR")</f>
        <v>165</v>
      </c>
      <c r="O37" s="238">
        <f>IFERROR(VLOOKUP($B37,MMWR_TRAD_AGG_RO_COMP[],O$1,0),"ERROR")</f>
        <v>88</v>
      </c>
      <c r="P37" s="235">
        <f t="shared" si="3"/>
        <v>0.53333333333333333</v>
      </c>
      <c r="Q37" s="239">
        <f>IFERROR(VLOOKUP($B37,MMWR_TRAD_AGG_RO_COMP[],Q$1,0),"ERROR")</f>
        <v>0</v>
      </c>
      <c r="R37" s="239">
        <f>IFERROR(VLOOKUP($B37,MMWR_TRAD_AGG_RO_COMP[],R$1,0),"ERROR")</f>
        <v>10</v>
      </c>
      <c r="S37" s="204">
        <f>IFERROR(VLOOKUP($B37,MMWR_APP_RO[],S$1,0),"ERROR")</f>
        <v>1294</v>
      </c>
      <c r="T37" s="28"/>
    </row>
    <row r="38" spans="1:20" x14ac:dyDescent="0.25">
      <c r="A38" s="28"/>
      <c r="B38" s="101" t="s">
        <v>395</v>
      </c>
      <c r="C38" s="215">
        <f>IFERROR(VLOOKUP($B38,MMWR_TRAD_AGG_DISTRICT_COMP[],C$1,0),"ERROR")</f>
        <v>59922</v>
      </c>
      <c r="D38" s="200">
        <f>IFERROR(VLOOKUP($B38,MMWR_TRAD_AGG_DISTRICT_COMP[],D$1,0),"ERROR")</f>
        <v>320.30835085609999</v>
      </c>
      <c r="E38" s="216">
        <f>IFERROR(VLOOKUP($B38,MMWR_TRAD_AGG_DISTRICT_COMP[],E$1,0),"ERROR")</f>
        <v>66467</v>
      </c>
      <c r="F38" s="221">
        <f>IFERROR(VLOOKUP($B38,MMWR_TRAD_AGG_DISTRICT_COMP[],F$1,0),"ERROR")</f>
        <v>18555</v>
      </c>
      <c r="G38" s="217">
        <f t="shared" si="0"/>
        <v>0.27916108745693352</v>
      </c>
      <c r="H38" s="221">
        <f>IFERROR(VLOOKUP($B38,MMWR_TRAD_AGG_DISTRICT_COMP[],H$1,0),"ERROR")</f>
        <v>93405</v>
      </c>
      <c r="I38" s="221">
        <f>IFERROR(VLOOKUP($B38,MMWR_TRAD_AGG_DISTRICT_COMP[],I$1,0),"ERROR")</f>
        <v>49236</v>
      </c>
      <c r="J38" s="217">
        <f t="shared" si="1"/>
        <v>0.52712381564156097</v>
      </c>
      <c r="K38" s="215">
        <f>IFERROR(VLOOKUP($B38,MMWR_TRAD_AGG_DISTRICT_COMP[],K$1,0),"ERROR")</f>
        <v>14325</v>
      </c>
      <c r="L38" s="215">
        <f>IFERROR(VLOOKUP($B38,MMWR_TRAD_AGG_DISTRICT_COMP[],L$1,0),"ERROR")</f>
        <v>9702</v>
      </c>
      <c r="M38" s="217">
        <f t="shared" si="2"/>
        <v>0.67727748691099476</v>
      </c>
      <c r="N38" s="215">
        <f>IFERROR(VLOOKUP($B38,MMWR_TRAD_AGG_DISTRICT_COMP[],N$1,0),"ERROR")</f>
        <v>21772</v>
      </c>
      <c r="O38" s="215">
        <f>IFERROR(VLOOKUP($B38,MMWR_TRAD_AGG_DISTRICT_COMP[],O$1,0),"ERROR")</f>
        <v>15281</v>
      </c>
      <c r="P38" s="217">
        <f t="shared" si="3"/>
        <v>0.70186478045195666</v>
      </c>
      <c r="Q38" s="215">
        <f>IFERROR(VLOOKUP($B38,MMWR_TRAD_AGG_DISTRICT_COMP[],Q$1,0),"ERROR")</f>
        <v>118</v>
      </c>
      <c r="R38" s="218">
        <f>IFERROR(VLOOKUP($B38,MMWR_TRAD_AGG_DISTRICT_COMP[],R$1,0),"ERROR")</f>
        <v>1240</v>
      </c>
      <c r="S38" s="218">
        <f>IFERROR(VLOOKUP($B38,MMWR_APP_RO[],S$1,0),"ERROR")</f>
        <v>64370</v>
      </c>
      <c r="T38" s="28"/>
    </row>
    <row r="39" spans="1:20" x14ac:dyDescent="0.25">
      <c r="A39" s="28"/>
      <c r="B39" s="108" t="s">
        <v>39</v>
      </c>
      <c r="C39" s="222">
        <f>IFERROR(VLOOKUP($B39,MMWR_TRAD_AGG_RO_COMP[],C$1,0),"ERROR")</f>
        <v>633</v>
      </c>
      <c r="D39" s="223">
        <f>IFERROR(VLOOKUP($B39,MMWR_TRAD_AGG_RO_COMP[],D$1,0),"ERROR")</f>
        <v>245.63981042649999</v>
      </c>
      <c r="E39" s="224">
        <f>IFERROR(VLOOKUP($B39,MMWR_TRAD_AGG_RO_COMP[],E$1,0),"ERROR")</f>
        <v>839</v>
      </c>
      <c r="F39" s="225">
        <f>IFERROR(VLOOKUP($B39,MMWR_TRAD_AGG_RO_COMP[],F$1,0),"ERROR")</f>
        <v>177</v>
      </c>
      <c r="G39" s="226">
        <f t="shared" si="0"/>
        <v>0.21096543504171633</v>
      </c>
      <c r="H39" s="227">
        <f>IFERROR(VLOOKUP($B39,MMWR_TRAD_AGG_RO_COMP[],H$1,0),"ERROR")</f>
        <v>933</v>
      </c>
      <c r="I39" s="225">
        <f>IFERROR(VLOOKUP($B39,MMWR_TRAD_AGG_RO_COMP[],I$1,0),"ERROR")</f>
        <v>414</v>
      </c>
      <c r="J39" s="226">
        <f t="shared" si="1"/>
        <v>0.4437299035369775</v>
      </c>
      <c r="K39" s="228">
        <f>IFERROR(VLOOKUP($B39,MMWR_TRAD_AGG_RO_COMP[],K$1,0),"ERROR")</f>
        <v>106</v>
      </c>
      <c r="L39" s="229">
        <f>IFERROR(VLOOKUP($B39,MMWR_TRAD_AGG_RO_COMP[],L$1,0),"ERROR")</f>
        <v>85</v>
      </c>
      <c r="M39" s="226">
        <f t="shared" si="2"/>
        <v>0.80188679245283023</v>
      </c>
      <c r="N39" s="228">
        <f>IFERROR(VLOOKUP($B39,MMWR_TRAD_AGG_RO_COMP[],N$1,0),"ERROR")</f>
        <v>121</v>
      </c>
      <c r="O39" s="229">
        <f>IFERROR(VLOOKUP($B39,MMWR_TRAD_AGG_RO_COMP[],O$1,0),"ERROR")</f>
        <v>34</v>
      </c>
      <c r="P39" s="226">
        <f t="shared" si="3"/>
        <v>0.28099173553719009</v>
      </c>
      <c r="Q39" s="230">
        <f>IFERROR(VLOOKUP($B39,MMWR_TRAD_AGG_RO_COMP[],Q$1,0),"ERROR")</f>
        <v>25</v>
      </c>
      <c r="R39" s="230">
        <f>IFERROR(VLOOKUP($B39,MMWR_TRAD_AGG_RO_COMP[],R$1,0),"ERROR")</f>
        <v>7</v>
      </c>
      <c r="S39" s="204">
        <f>IFERROR(VLOOKUP($B39,MMWR_APP_RO[],S$1,0),"ERROR")</f>
        <v>321</v>
      </c>
      <c r="T39" s="28"/>
    </row>
    <row r="40" spans="1:20" x14ac:dyDescent="0.25">
      <c r="A40" s="28"/>
      <c r="B40" s="108" t="s">
        <v>43</v>
      </c>
      <c r="C40" s="222">
        <f>IFERROR(VLOOKUP($B40,MMWR_TRAD_AGG_RO_COMP[],C$1,0),"ERROR")</f>
        <v>6862</v>
      </c>
      <c r="D40" s="223">
        <f>IFERROR(VLOOKUP($B40,MMWR_TRAD_AGG_RO_COMP[],D$1,0),"ERROR")</f>
        <v>423.34173710290003</v>
      </c>
      <c r="E40" s="224">
        <f>IFERROR(VLOOKUP($B40,MMWR_TRAD_AGG_RO_COMP[],E$1,0),"ERROR")</f>
        <v>7096</v>
      </c>
      <c r="F40" s="225">
        <f>IFERROR(VLOOKUP($B40,MMWR_TRAD_AGG_RO_COMP[],F$1,0),"ERROR")</f>
        <v>2713</v>
      </c>
      <c r="G40" s="226">
        <f t="shared" si="0"/>
        <v>0.38232807215332582</v>
      </c>
      <c r="H40" s="227">
        <f>IFERROR(VLOOKUP($B40,MMWR_TRAD_AGG_RO_COMP[],H$1,0),"ERROR")</f>
        <v>9039</v>
      </c>
      <c r="I40" s="225">
        <f>IFERROR(VLOOKUP($B40,MMWR_TRAD_AGG_RO_COMP[],I$1,0),"ERROR")</f>
        <v>6169</v>
      </c>
      <c r="J40" s="226">
        <f t="shared" si="1"/>
        <v>0.68248700077442193</v>
      </c>
      <c r="K40" s="228">
        <f>IFERROR(VLOOKUP($B40,MMWR_TRAD_AGG_RO_COMP[],K$1,0),"ERROR")</f>
        <v>2038</v>
      </c>
      <c r="L40" s="229">
        <f>IFERROR(VLOOKUP($B40,MMWR_TRAD_AGG_RO_COMP[],L$1,0),"ERROR")</f>
        <v>1769</v>
      </c>
      <c r="M40" s="226">
        <f t="shared" si="2"/>
        <v>0.86800785083415111</v>
      </c>
      <c r="N40" s="228">
        <f>IFERROR(VLOOKUP($B40,MMWR_TRAD_AGG_RO_COMP[],N$1,0),"ERROR")</f>
        <v>5027</v>
      </c>
      <c r="O40" s="229">
        <f>IFERROR(VLOOKUP($B40,MMWR_TRAD_AGG_RO_COMP[],O$1,0),"ERROR")</f>
        <v>3809</v>
      </c>
      <c r="P40" s="226">
        <f t="shared" si="3"/>
        <v>0.75770837477620845</v>
      </c>
      <c r="Q40" s="230">
        <f>IFERROR(VLOOKUP($B40,MMWR_TRAD_AGG_RO_COMP[],Q$1,0),"ERROR")</f>
        <v>0</v>
      </c>
      <c r="R40" s="230">
        <f>IFERROR(VLOOKUP($B40,MMWR_TRAD_AGG_RO_COMP[],R$1,0),"ERROR")</f>
        <v>65</v>
      </c>
      <c r="S40" s="204">
        <f>IFERROR(VLOOKUP($B40,MMWR_APP_RO[],S$1,0),"ERROR")</f>
        <v>5729</v>
      </c>
      <c r="T40" s="28"/>
    </row>
    <row r="41" spans="1:20" x14ac:dyDescent="0.25">
      <c r="A41" s="28"/>
      <c r="B41" s="108" t="s">
        <v>187</v>
      </c>
      <c r="C41" s="222">
        <f>IFERROR(VLOOKUP($B41,MMWR_TRAD_AGG_RO_COMP[],C$1,0),"ERROR")</f>
        <v>750</v>
      </c>
      <c r="D41" s="223">
        <f>IFERROR(VLOOKUP($B41,MMWR_TRAD_AGG_RO_COMP[],D$1,0),"ERROR")</f>
        <v>195.36666666670001</v>
      </c>
      <c r="E41" s="224">
        <f>IFERROR(VLOOKUP($B41,MMWR_TRAD_AGG_RO_COMP[],E$1,0),"ERROR")</f>
        <v>833</v>
      </c>
      <c r="F41" s="225">
        <f>IFERROR(VLOOKUP($B41,MMWR_TRAD_AGG_RO_COMP[],F$1,0),"ERROR")</f>
        <v>80</v>
      </c>
      <c r="G41" s="226">
        <f t="shared" si="0"/>
        <v>9.6038415366146462E-2</v>
      </c>
      <c r="H41" s="227">
        <f>IFERROR(VLOOKUP($B41,MMWR_TRAD_AGG_RO_COMP[],H$1,0),"ERROR")</f>
        <v>1225</v>
      </c>
      <c r="I41" s="225">
        <f>IFERROR(VLOOKUP($B41,MMWR_TRAD_AGG_RO_COMP[],I$1,0),"ERROR")</f>
        <v>382</v>
      </c>
      <c r="J41" s="226">
        <f t="shared" si="1"/>
        <v>0.31183673469387757</v>
      </c>
      <c r="K41" s="228">
        <f>IFERROR(VLOOKUP($B41,MMWR_TRAD_AGG_RO_COMP[],K$1,0),"ERROR")</f>
        <v>328</v>
      </c>
      <c r="L41" s="229">
        <f>IFERROR(VLOOKUP($B41,MMWR_TRAD_AGG_RO_COMP[],L$1,0),"ERROR")</f>
        <v>174</v>
      </c>
      <c r="M41" s="226">
        <f t="shared" si="2"/>
        <v>0.53048780487804881</v>
      </c>
      <c r="N41" s="228">
        <f>IFERROR(VLOOKUP($B41,MMWR_TRAD_AGG_RO_COMP[],N$1,0),"ERROR")</f>
        <v>90</v>
      </c>
      <c r="O41" s="229">
        <f>IFERROR(VLOOKUP($B41,MMWR_TRAD_AGG_RO_COMP[],O$1,0),"ERROR")</f>
        <v>33</v>
      </c>
      <c r="P41" s="226">
        <f t="shared" si="3"/>
        <v>0.36666666666666664</v>
      </c>
      <c r="Q41" s="230">
        <f>IFERROR(VLOOKUP($B41,MMWR_TRAD_AGG_RO_COMP[],Q$1,0),"ERROR")</f>
        <v>0</v>
      </c>
      <c r="R41" s="230">
        <f>IFERROR(VLOOKUP($B41,MMWR_TRAD_AGG_RO_COMP[],R$1,0),"ERROR")</f>
        <v>2</v>
      </c>
      <c r="S41" s="204">
        <f>IFERROR(VLOOKUP($B41,MMWR_APP_RO[],S$1,0),"ERROR")</f>
        <v>246</v>
      </c>
      <c r="T41" s="28"/>
    </row>
    <row r="42" spans="1:20" x14ac:dyDescent="0.25">
      <c r="A42" s="28"/>
      <c r="B42" s="108" t="s">
        <v>49</v>
      </c>
      <c r="C42" s="222">
        <f>IFERROR(VLOOKUP($B42,MMWR_TRAD_AGG_RO_COMP[],C$1,0),"ERROR")</f>
        <v>13062</v>
      </c>
      <c r="D42" s="223">
        <f>IFERROR(VLOOKUP($B42,MMWR_TRAD_AGG_RO_COMP[],D$1,0),"ERROR")</f>
        <v>338.7978870005</v>
      </c>
      <c r="E42" s="224">
        <f>IFERROR(VLOOKUP($B42,MMWR_TRAD_AGG_RO_COMP[],E$1,0),"ERROR")</f>
        <v>16492</v>
      </c>
      <c r="F42" s="225">
        <f>IFERROR(VLOOKUP($B42,MMWR_TRAD_AGG_RO_COMP[],F$1,0),"ERROR")</f>
        <v>5146</v>
      </c>
      <c r="G42" s="226">
        <f t="shared" si="0"/>
        <v>0.31203007518796994</v>
      </c>
      <c r="H42" s="227">
        <f>IFERROR(VLOOKUP($B42,MMWR_TRAD_AGG_RO_COMP[],H$1,0),"ERROR")</f>
        <v>17278</v>
      </c>
      <c r="I42" s="225">
        <f>IFERROR(VLOOKUP($B42,MMWR_TRAD_AGG_RO_COMP[],I$1,0),"ERROR")</f>
        <v>11366</v>
      </c>
      <c r="J42" s="226">
        <f t="shared" si="1"/>
        <v>0.65783076744993629</v>
      </c>
      <c r="K42" s="228">
        <f>IFERROR(VLOOKUP($B42,MMWR_TRAD_AGG_RO_COMP[],K$1,0),"ERROR")</f>
        <v>1769</v>
      </c>
      <c r="L42" s="229">
        <f>IFERROR(VLOOKUP($B42,MMWR_TRAD_AGG_RO_COMP[],L$1,0),"ERROR")</f>
        <v>1456</v>
      </c>
      <c r="M42" s="226">
        <f t="shared" si="2"/>
        <v>0.82306387789711699</v>
      </c>
      <c r="N42" s="228">
        <f>IFERROR(VLOOKUP($B42,MMWR_TRAD_AGG_RO_COMP[],N$1,0),"ERROR")</f>
        <v>4251</v>
      </c>
      <c r="O42" s="229">
        <f>IFERROR(VLOOKUP($B42,MMWR_TRAD_AGG_RO_COMP[],O$1,0),"ERROR")</f>
        <v>3210</v>
      </c>
      <c r="P42" s="226">
        <f t="shared" si="3"/>
        <v>0.75511644318983773</v>
      </c>
      <c r="Q42" s="230">
        <f>IFERROR(VLOOKUP($B42,MMWR_TRAD_AGG_RO_COMP[],Q$1,0),"ERROR")</f>
        <v>0</v>
      </c>
      <c r="R42" s="230">
        <f>IFERROR(VLOOKUP($B42,MMWR_TRAD_AGG_RO_COMP[],R$1,0),"ERROR")</f>
        <v>238</v>
      </c>
      <c r="S42" s="204">
        <f>IFERROR(VLOOKUP($B42,MMWR_APP_RO[],S$1,0),"ERROR")</f>
        <v>19322</v>
      </c>
      <c r="T42" s="28"/>
    </row>
    <row r="43" spans="1:20" x14ac:dyDescent="0.25">
      <c r="A43" s="28"/>
      <c r="B43" s="108" t="s">
        <v>52</v>
      </c>
      <c r="C43" s="222">
        <f>IFERROR(VLOOKUP($B43,MMWR_TRAD_AGG_RO_COMP[],C$1,0),"ERROR")</f>
        <v>4168</v>
      </c>
      <c r="D43" s="223">
        <f>IFERROR(VLOOKUP($B43,MMWR_TRAD_AGG_RO_COMP[],D$1,0),"ERROR")</f>
        <v>387.15307101730002</v>
      </c>
      <c r="E43" s="224">
        <f>IFERROR(VLOOKUP($B43,MMWR_TRAD_AGG_RO_COMP[],E$1,0),"ERROR")</f>
        <v>3981</v>
      </c>
      <c r="F43" s="225">
        <f>IFERROR(VLOOKUP($B43,MMWR_TRAD_AGG_RO_COMP[],F$1,0),"ERROR")</f>
        <v>1548</v>
      </c>
      <c r="G43" s="226">
        <f t="shared" si="0"/>
        <v>0.38884702336096461</v>
      </c>
      <c r="H43" s="227">
        <f>IFERROR(VLOOKUP($B43,MMWR_TRAD_AGG_RO_COMP[],H$1,0),"ERROR")</f>
        <v>6189</v>
      </c>
      <c r="I43" s="225">
        <f>IFERROR(VLOOKUP($B43,MMWR_TRAD_AGG_RO_COMP[],I$1,0),"ERROR")</f>
        <v>4001</v>
      </c>
      <c r="J43" s="226">
        <f t="shared" si="1"/>
        <v>0.64646954273711421</v>
      </c>
      <c r="K43" s="228">
        <f>IFERROR(VLOOKUP($B43,MMWR_TRAD_AGG_RO_COMP[],K$1,0),"ERROR")</f>
        <v>1952</v>
      </c>
      <c r="L43" s="229">
        <f>IFERROR(VLOOKUP($B43,MMWR_TRAD_AGG_RO_COMP[],L$1,0),"ERROR")</f>
        <v>1483</v>
      </c>
      <c r="M43" s="226">
        <f t="shared" si="2"/>
        <v>0.75973360655737709</v>
      </c>
      <c r="N43" s="228">
        <f>IFERROR(VLOOKUP($B43,MMWR_TRAD_AGG_RO_COMP[],N$1,0),"ERROR")</f>
        <v>2250</v>
      </c>
      <c r="O43" s="229">
        <f>IFERROR(VLOOKUP($B43,MMWR_TRAD_AGG_RO_COMP[],O$1,0),"ERROR")</f>
        <v>1345</v>
      </c>
      <c r="P43" s="226">
        <f t="shared" si="3"/>
        <v>0.59777777777777774</v>
      </c>
      <c r="Q43" s="230">
        <f>IFERROR(VLOOKUP($B43,MMWR_TRAD_AGG_RO_COMP[],Q$1,0),"ERROR")</f>
        <v>88</v>
      </c>
      <c r="R43" s="230">
        <f>IFERROR(VLOOKUP($B43,MMWR_TRAD_AGG_RO_COMP[],R$1,0),"ERROR")</f>
        <v>173</v>
      </c>
      <c r="S43" s="204">
        <f>IFERROR(VLOOKUP($B43,MMWR_APP_RO[],S$1,0),"ERROR")</f>
        <v>4256</v>
      </c>
      <c r="T43" s="28"/>
    </row>
    <row r="44" spans="1:20" x14ac:dyDescent="0.25">
      <c r="A44" s="28"/>
      <c r="B44" s="108" t="s">
        <v>54</v>
      </c>
      <c r="C44" s="222">
        <f>IFERROR(VLOOKUP($B44,MMWR_TRAD_AGG_RO_COMP[],C$1,0),"ERROR")</f>
        <v>4685</v>
      </c>
      <c r="D44" s="223">
        <f>IFERROR(VLOOKUP($B44,MMWR_TRAD_AGG_RO_COMP[],D$1,0),"ERROR")</f>
        <v>330.90458911420001</v>
      </c>
      <c r="E44" s="224">
        <f>IFERROR(VLOOKUP($B44,MMWR_TRAD_AGG_RO_COMP[],E$1,0),"ERROR")</f>
        <v>3412</v>
      </c>
      <c r="F44" s="225">
        <f>IFERROR(VLOOKUP($B44,MMWR_TRAD_AGG_RO_COMP[],F$1,0),"ERROR")</f>
        <v>634</v>
      </c>
      <c r="G44" s="226">
        <f t="shared" si="0"/>
        <v>0.18581477139507621</v>
      </c>
      <c r="H44" s="227">
        <f>IFERROR(VLOOKUP($B44,MMWR_TRAD_AGG_RO_COMP[],H$1,0),"ERROR")</f>
        <v>8380</v>
      </c>
      <c r="I44" s="225">
        <f>IFERROR(VLOOKUP($B44,MMWR_TRAD_AGG_RO_COMP[],I$1,0),"ERROR")</f>
        <v>3761</v>
      </c>
      <c r="J44" s="226">
        <f t="shared" si="1"/>
        <v>0.44880668257756562</v>
      </c>
      <c r="K44" s="228">
        <f>IFERROR(VLOOKUP($B44,MMWR_TRAD_AGG_RO_COMP[],K$1,0),"ERROR")</f>
        <v>3888</v>
      </c>
      <c r="L44" s="229">
        <f>IFERROR(VLOOKUP($B44,MMWR_TRAD_AGG_RO_COMP[],L$1,0),"ERROR")</f>
        <v>2190</v>
      </c>
      <c r="M44" s="226">
        <f t="shared" si="2"/>
        <v>0.56327160493827155</v>
      </c>
      <c r="N44" s="228">
        <f>IFERROR(VLOOKUP($B44,MMWR_TRAD_AGG_RO_COMP[],N$1,0),"ERROR")</f>
        <v>5517</v>
      </c>
      <c r="O44" s="229">
        <f>IFERROR(VLOOKUP($B44,MMWR_TRAD_AGG_RO_COMP[],O$1,0),"ERROR")</f>
        <v>4856</v>
      </c>
      <c r="P44" s="226">
        <f t="shared" si="3"/>
        <v>0.88018850824723582</v>
      </c>
      <c r="Q44" s="230">
        <f>IFERROR(VLOOKUP($B44,MMWR_TRAD_AGG_RO_COMP[],Q$1,0),"ERROR")</f>
        <v>1</v>
      </c>
      <c r="R44" s="230">
        <f>IFERROR(VLOOKUP($B44,MMWR_TRAD_AGG_RO_COMP[],R$1,0),"ERROR")</f>
        <v>155</v>
      </c>
      <c r="S44" s="204">
        <f>IFERROR(VLOOKUP($B44,MMWR_APP_RO[],S$1,0),"ERROR")</f>
        <v>5208</v>
      </c>
      <c r="T44" s="28"/>
    </row>
    <row r="45" spans="1:20" x14ac:dyDescent="0.25">
      <c r="A45" s="28"/>
      <c r="B45" s="108" t="s">
        <v>27</v>
      </c>
      <c r="C45" s="222">
        <f>IFERROR(VLOOKUP($B45,MMWR_TRAD_AGG_RO_COMP[],C$1,0),"ERROR")</f>
        <v>2418</v>
      </c>
      <c r="D45" s="223">
        <f>IFERROR(VLOOKUP($B45,MMWR_TRAD_AGG_RO_COMP[],D$1,0),"ERROR")</f>
        <v>134.86600496279999</v>
      </c>
      <c r="E45" s="224">
        <f>IFERROR(VLOOKUP($B45,MMWR_TRAD_AGG_RO_COMP[],E$1,0),"ERROR")</f>
        <v>6626</v>
      </c>
      <c r="F45" s="225">
        <f>IFERROR(VLOOKUP($B45,MMWR_TRAD_AGG_RO_COMP[],F$1,0),"ERROR")</f>
        <v>1533</v>
      </c>
      <c r="G45" s="226">
        <f t="shared" si="0"/>
        <v>0.23136130395412013</v>
      </c>
      <c r="H45" s="227">
        <f>IFERROR(VLOOKUP($B45,MMWR_TRAD_AGG_RO_COMP[],H$1,0),"ERROR")</f>
        <v>9808</v>
      </c>
      <c r="I45" s="225">
        <f>IFERROR(VLOOKUP($B45,MMWR_TRAD_AGG_RO_COMP[],I$1,0),"ERROR")</f>
        <v>2488</v>
      </c>
      <c r="J45" s="226">
        <f t="shared" si="1"/>
        <v>0.2536704730831974</v>
      </c>
      <c r="K45" s="228">
        <f>IFERROR(VLOOKUP($B45,MMWR_TRAD_AGG_RO_COMP[],K$1,0),"ERROR")</f>
        <v>1108</v>
      </c>
      <c r="L45" s="229">
        <f>IFERROR(VLOOKUP($B45,MMWR_TRAD_AGG_RO_COMP[],L$1,0),"ERROR")</f>
        <v>486</v>
      </c>
      <c r="M45" s="226">
        <f t="shared" si="2"/>
        <v>0.43862815884476536</v>
      </c>
      <c r="N45" s="228">
        <f>IFERROR(VLOOKUP($B45,MMWR_TRAD_AGG_RO_COMP[],N$1,0),"ERROR")</f>
        <v>492</v>
      </c>
      <c r="O45" s="229">
        <f>IFERROR(VLOOKUP($B45,MMWR_TRAD_AGG_RO_COMP[],O$1,0),"ERROR")</f>
        <v>188</v>
      </c>
      <c r="P45" s="226">
        <f t="shared" si="3"/>
        <v>0.38211382113821141</v>
      </c>
      <c r="Q45" s="230">
        <f>IFERROR(VLOOKUP($B45,MMWR_TRAD_AGG_RO_COMP[],Q$1,0),"ERROR")</f>
        <v>0</v>
      </c>
      <c r="R45" s="230">
        <f>IFERROR(VLOOKUP($B45,MMWR_TRAD_AGG_RO_COMP[],R$1,0),"ERROR")</f>
        <v>63</v>
      </c>
      <c r="S45" s="204">
        <f>IFERROR(VLOOKUP($B45,MMWR_APP_RO[],S$1,0),"ERROR")</f>
        <v>3887</v>
      </c>
      <c r="T45" s="28"/>
    </row>
    <row r="46" spans="1:20" x14ac:dyDescent="0.25">
      <c r="A46" s="28"/>
      <c r="B46" s="108" t="s">
        <v>62</v>
      </c>
      <c r="C46" s="222">
        <f>IFERROR(VLOOKUP($B46,MMWR_TRAD_AGG_RO_COMP[],C$1,0),"ERROR")</f>
        <v>5645</v>
      </c>
      <c r="D46" s="223">
        <f>IFERROR(VLOOKUP($B46,MMWR_TRAD_AGG_RO_COMP[],D$1,0),"ERROR")</f>
        <v>403.33162090349998</v>
      </c>
      <c r="E46" s="224">
        <f>IFERROR(VLOOKUP($B46,MMWR_TRAD_AGG_RO_COMP[],E$1,0),"ERROR")</f>
        <v>5443</v>
      </c>
      <c r="F46" s="225">
        <f>IFERROR(VLOOKUP($B46,MMWR_TRAD_AGG_RO_COMP[],F$1,0),"ERROR")</f>
        <v>1359</v>
      </c>
      <c r="G46" s="226">
        <f t="shared" si="0"/>
        <v>0.249678486128973</v>
      </c>
      <c r="H46" s="227">
        <f>IFERROR(VLOOKUP($B46,MMWR_TRAD_AGG_RO_COMP[],H$1,0),"ERROR")</f>
        <v>6977</v>
      </c>
      <c r="I46" s="225">
        <f>IFERROR(VLOOKUP($B46,MMWR_TRAD_AGG_RO_COMP[],I$1,0),"ERROR")</f>
        <v>4435</v>
      </c>
      <c r="J46" s="226">
        <f t="shared" si="1"/>
        <v>0.63566002579905401</v>
      </c>
      <c r="K46" s="228">
        <f>IFERROR(VLOOKUP($B46,MMWR_TRAD_AGG_RO_COMP[],K$1,0),"ERROR")</f>
        <v>585</v>
      </c>
      <c r="L46" s="229">
        <f>IFERROR(VLOOKUP($B46,MMWR_TRAD_AGG_RO_COMP[],L$1,0),"ERROR")</f>
        <v>457</v>
      </c>
      <c r="M46" s="226">
        <f t="shared" si="2"/>
        <v>0.7811965811965812</v>
      </c>
      <c r="N46" s="228">
        <f>IFERROR(VLOOKUP($B46,MMWR_TRAD_AGG_RO_COMP[],N$1,0),"ERROR")</f>
        <v>946</v>
      </c>
      <c r="O46" s="229">
        <f>IFERROR(VLOOKUP($B46,MMWR_TRAD_AGG_RO_COMP[],O$1,0),"ERROR")</f>
        <v>452</v>
      </c>
      <c r="P46" s="226">
        <f t="shared" si="3"/>
        <v>0.47780126849894294</v>
      </c>
      <c r="Q46" s="230">
        <f>IFERROR(VLOOKUP($B46,MMWR_TRAD_AGG_RO_COMP[],Q$1,0),"ERROR")</f>
        <v>2</v>
      </c>
      <c r="R46" s="230">
        <f>IFERROR(VLOOKUP($B46,MMWR_TRAD_AGG_RO_COMP[],R$1,0),"ERROR")</f>
        <v>305</v>
      </c>
      <c r="S46" s="204">
        <f>IFERROR(VLOOKUP($B46,MMWR_APP_RO[],S$1,0),"ERROR")</f>
        <v>5782</v>
      </c>
      <c r="T46" s="28"/>
    </row>
    <row r="47" spans="1:20" x14ac:dyDescent="0.25">
      <c r="A47" s="28"/>
      <c r="B47" s="108" t="s">
        <v>73</v>
      </c>
      <c r="C47" s="222">
        <f>IFERROR(VLOOKUP($B47,MMWR_TRAD_AGG_RO_COMP[],C$1,0),"ERROR")</f>
        <v>8016</v>
      </c>
      <c r="D47" s="223">
        <f>IFERROR(VLOOKUP($B47,MMWR_TRAD_AGG_RO_COMP[],D$1,0),"ERROR")</f>
        <v>209.73852295410001</v>
      </c>
      <c r="E47" s="224">
        <f>IFERROR(VLOOKUP($B47,MMWR_TRAD_AGG_RO_COMP[],E$1,0),"ERROR")</f>
        <v>4682</v>
      </c>
      <c r="F47" s="225">
        <f>IFERROR(VLOOKUP($B47,MMWR_TRAD_AGG_RO_COMP[],F$1,0),"ERROR")</f>
        <v>621</v>
      </c>
      <c r="G47" s="226">
        <f t="shared" si="0"/>
        <v>0.13263562580093977</v>
      </c>
      <c r="H47" s="227">
        <f>IFERROR(VLOOKUP($B47,MMWR_TRAD_AGG_RO_COMP[],H$1,0),"ERROR")</f>
        <v>17206</v>
      </c>
      <c r="I47" s="225">
        <f>IFERROR(VLOOKUP($B47,MMWR_TRAD_AGG_RO_COMP[],I$1,0),"ERROR")</f>
        <v>7029</v>
      </c>
      <c r="J47" s="226">
        <f t="shared" si="1"/>
        <v>0.40852028362199233</v>
      </c>
      <c r="K47" s="228">
        <f>IFERROR(VLOOKUP($B47,MMWR_TRAD_AGG_RO_COMP[],K$1,0),"ERROR")</f>
        <v>948</v>
      </c>
      <c r="L47" s="229">
        <f>IFERROR(VLOOKUP($B47,MMWR_TRAD_AGG_RO_COMP[],L$1,0),"ERROR")</f>
        <v>431</v>
      </c>
      <c r="M47" s="226">
        <f t="shared" si="2"/>
        <v>0.45464135021097046</v>
      </c>
      <c r="N47" s="228">
        <f>IFERROR(VLOOKUP($B47,MMWR_TRAD_AGG_RO_COMP[],N$1,0),"ERROR")</f>
        <v>77</v>
      </c>
      <c r="O47" s="229">
        <f>IFERROR(VLOOKUP($B47,MMWR_TRAD_AGG_RO_COMP[],O$1,0),"ERROR")</f>
        <v>42</v>
      </c>
      <c r="P47" s="226">
        <f t="shared" si="3"/>
        <v>0.54545454545454541</v>
      </c>
      <c r="Q47" s="230">
        <f>IFERROR(VLOOKUP($B47,MMWR_TRAD_AGG_RO_COMP[],Q$1,0),"ERROR")</f>
        <v>0</v>
      </c>
      <c r="R47" s="230">
        <f>IFERROR(VLOOKUP($B47,MMWR_TRAD_AGG_RO_COMP[],R$1,0),"ERROR")</f>
        <v>5</v>
      </c>
      <c r="S47" s="204">
        <f>IFERROR(VLOOKUP($B47,MMWR_APP_RO[],S$1,0),"ERROR")</f>
        <v>411</v>
      </c>
      <c r="T47" s="28"/>
    </row>
    <row r="48" spans="1:20" x14ac:dyDescent="0.25">
      <c r="A48" s="28"/>
      <c r="B48" s="116" t="s">
        <v>82</v>
      </c>
      <c r="C48" s="231">
        <f>IFERROR(VLOOKUP($B48,MMWR_TRAD_AGG_RO_COMP[],C$1,0),"ERROR")</f>
        <v>13683</v>
      </c>
      <c r="D48" s="232">
        <f>IFERROR(VLOOKUP($B48,MMWR_TRAD_AGG_RO_COMP[],D$1,0),"ERROR")</f>
        <v>300.59446027920001</v>
      </c>
      <c r="E48" s="233">
        <f>IFERROR(VLOOKUP($B48,MMWR_TRAD_AGG_RO_COMP[],E$1,0),"ERROR")</f>
        <v>17063</v>
      </c>
      <c r="F48" s="234">
        <f>IFERROR(VLOOKUP($B48,MMWR_TRAD_AGG_RO_COMP[],F$1,0),"ERROR")</f>
        <v>4744</v>
      </c>
      <c r="G48" s="235">
        <f t="shared" si="0"/>
        <v>0.27802848268182617</v>
      </c>
      <c r="H48" s="236">
        <f>IFERROR(VLOOKUP($B48,MMWR_TRAD_AGG_RO_COMP[],H$1,0),"ERROR")</f>
        <v>16370</v>
      </c>
      <c r="I48" s="234">
        <f>IFERROR(VLOOKUP($B48,MMWR_TRAD_AGG_RO_COMP[],I$1,0),"ERROR")</f>
        <v>9191</v>
      </c>
      <c r="J48" s="235">
        <f t="shared" si="1"/>
        <v>0.56145387904703725</v>
      </c>
      <c r="K48" s="237">
        <f>IFERROR(VLOOKUP($B48,MMWR_TRAD_AGG_RO_COMP[],K$1,0),"ERROR")</f>
        <v>1603</v>
      </c>
      <c r="L48" s="238">
        <f>IFERROR(VLOOKUP($B48,MMWR_TRAD_AGG_RO_COMP[],L$1,0),"ERROR")</f>
        <v>1171</v>
      </c>
      <c r="M48" s="235">
        <f t="shared" si="2"/>
        <v>0.73050530255770429</v>
      </c>
      <c r="N48" s="237">
        <f>IFERROR(VLOOKUP($B48,MMWR_TRAD_AGG_RO_COMP[],N$1,0),"ERROR")</f>
        <v>3001</v>
      </c>
      <c r="O48" s="238">
        <f>IFERROR(VLOOKUP($B48,MMWR_TRAD_AGG_RO_COMP[],O$1,0),"ERROR")</f>
        <v>1312</v>
      </c>
      <c r="P48" s="235">
        <f t="shared" si="3"/>
        <v>0.43718760413195601</v>
      </c>
      <c r="Q48" s="239">
        <f>IFERROR(VLOOKUP($B48,MMWR_TRAD_AGG_RO_COMP[],Q$1,0),"ERROR")</f>
        <v>2</v>
      </c>
      <c r="R48" s="239">
        <f>IFERROR(VLOOKUP($B48,MMWR_TRAD_AGG_RO_COMP[],R$1,0),"ERROR")</f>
        <v>227</v>
      </c>
      <c r="S48" s="204">
        <f>IFERROR(VLOOKUP($B48,MMWR_APP_RO[],S$1,0),"ERROR")</f>
        <v>19208</v>
      </c>
      <c r="T48" s="28"/>
    </row>
    <row r="49" spans="1:20" x14ac:dyDescent="0.25">
      <c r="A49" s="28"/>
      <c r="B49" s="101" t="s">
        <v>414</v>
      </c>
      <c r="C49" s="215">
        <f>IFERROR(VLOOKUP($B49,MMWR_TRAD_AGG_DISTRICT_COMP[],C$1,0),"ERROR")</f>
        <v>64799</v>
      </c>
      <c r="D49" s="200">
        <f>IFERROR(VLOOKUP($B49,MMWR_TRAD_AGG_DISTRICT_COMP[],D$1,0),"ERROR")</f>
        <v>364.94473680150003</v>
      </c>
      <c r="E49" s="216">
        <f>IFERROR(VLOOKUP($B49,MMWR_TRAD_AGG_DISTRICT_COMP[],E$1,0),"ERROR")</f>
        <v>61679</v>
      </c>
      <c r="F49" s="221">
        <f>IFERROR(VLOOKUP($B49,MMWR_TRAD_AGG_DISTRICT_COMP[],F$1,0),"ERROR")</f>
        <v>16491</v>
      </c>
      <c r="G49" s="217">
        <f t="shared" si="0"/>
        <v>0.26736814799202324</v>
      </c>
      <c r="H49" s="221">
        <f>IFERROR(VLOOKUP($B49,MMWR_TRAD_AGG_DISTRICT_COMP[],H$1,0),"ERROR")</f>
        <v>89365</v>
      </c>
      <c r="I49" s="221">
        <f>IFERROR(VLOOKUP($B49,MMWR_TRAD_AGG_DISTRICT_COMP[],I$1,0),"ERROR")</f>
        <v>54628</v>
      </c>
      <c r="J49" s="217">
        <f t="shared" si="1"/>
        <v>0.61129077379287189</v>
      </c>
      <c r="K49" s="215">
        <f>IFERROR(VLOOKUP($B49,MMWR_TRAD_AGG_DISTRICT_COMP[],K$1,0),"ERROR")</f>
        <v>19146</v>
      </c>
      <c r="L49" s="215">
        <f>IFERROR(VLOOKUP($B49,MMWR_TRAD_AGG_DISTRICT_COMP[],L$1,0),"ERROR")</f>
        <v>15563</v>
      </c>
      <c r="M49" s="217">
        <f t="shared" si="2"/>
        <v>0.81285908283714614</v>
      </c>
      <c r="N49" s="215">
        <f>IFERROR(VLOOKUP($B49,MMWR_TRAD_AGG_DISTRICT_COMP[],N$1,0),"ERROR")</f>
        <v>23489</v>
      </c>
      <c r="O49" s="215">
        <f>IFERROR(VLOOKUP($B49,MMWR_TRAD_AGG_DISTRICT_COMP[],O$1,0),"ERROR")</f>
        <v>17083</v>
      </c>
      <c r="P49" s="217">
        <f t="shared" si="3"/>
        <v>0.72727659755630292</v>
      </c>
      <c r="Q49" s="215">
        <f>IFERROR(VLOOKUP($B49,MMWR_TRAD_AGG_DISTRICT_COMP[],Q$1,0),"ERROR")</f>
        <v>346</v>
      </c>
      <c r="R49" s="218">
        <f>IFERROR(VLOOKUP($B49,MMWR_TRAD_AGG_DISTRICT_COMP[],R$1,0),"ERROR")</f>
        <v>722</v>
      </c>
      <c r="S49" s="218">
        <f>IFERROR(VLOOKUP($B49,MMWR_APP_RO[],S$1,0),"ERROR")</f>
        <v>42655</v>
      </c>
      <c r="T49" s="28"/>
    </row>
    <row r="50" spans="1:20" x14ac:dyDescent="0.25">
      <c r="A50" s="28"/>
      <c r="B50" s="108" t="s">
        <v>34</v>
      </c>
      <c r="C50" s="222">
        <f>IFERROR(VLOOKUP($B50,MMWR_TRAD_AGG_RO_COMP[],C$1,0),"ERROR")</f>
        <v>1310</v>
      </c>
      <c r="D50" s="223">
        <f>IFERROR(VLOOKUP($B50,MMWR_TRAD_AGG_RO_COMP[],D$1,0),"ERROR")</f>
        <v>123.92442748089999</v>
      </c>
      <c r="E50" s="224">
        <f>IFERROR(VLOOKUP($B50,MMWR_TRAD_AGG_RO_COMP[],E$1,0),"ERROR")</f>
        <v>2747</v>
      </c>
      <c r="F50" s="225">
        <f>IFERROR(VLOOKUP($B50,MMWR_TRAD_AGG_RO_COMP[],F$1,0),"ERROR")</f>
        <v>825</v>
      </c>
      <c r="G50" s="226">
        <f t="shared" si="0"/>
        <v>0.30032763014197306</v>
      </c>
      <c r="H50" s="227">
        <f>IFERROR(VLOOKUP($B50,MMWR_TRAD_AGG_RO_COMP[],H$1,0),"ERROR")</f>
        <v>1805</v>
      </c>
      <c r="I50" s="225">
        <f>IFERROR(VLOOKUP($B50,MMWR_TRAD_AGG_RO_COMP[],I$1,0),"ERROR")</f>
        <v>485</v>
      </c>
      <c r="J50" s="226">
        <f t="shared" si="1"/>
        <v>0.26869806094182824</v>
      </c>
      <c r="K50" s="228">
        <f>IFERROR(VLOOKUP($B50,MMWR_TRAD_AGG_RO_COMP[],K$1,0),"ERROR")</f>
        <v>196</v>
      </c>
      <c r="L50" s="229">
        <f>IFERROR(VLOOKUP($B50,MMWR_TRAD_AGG_RO_COMP[],L$1,0),"ERROR")</f>
        <v>104</v>
      </c>
      <c r="M50" s="226">
        <f t="shared" si="2"/>
        <v>0.53061224489795922</v>
      </c>
      <c r="N50" s="228">
        <f>IFERROR(VLOOKUP($B50,MMWR_TRAD_AGG_RO_COMP[],N$1,0),"ERROR")</f>
        <v>319</v>
      </c>
      <c r="O50" s="229">
        <f>IFERROR(VLOOKUP($B50,MMWR_TRAD_AGG_RO_COMP[],O$1,0),"ERROR")</f>
        <v>155</v>
      </c>
      <c r="P50" s="226">
        <f t="shared" si="3"/>
        <v>0.48589341692789967</v>
      </c>
      <c r="Q50" s="230">
        <f>IFERROR(VLOOKUP($B50,MMWR_TRAD_AGG_RO_COMP[],Q$1,0),"ERROR")</f>
        <v>0</v>
      </c>
      <c r="R50" s="230">
        <f>IFERROR(VLOOKUP($B50,MMWR_TRAD_AGG_RO_COMP[],R$1,0),"ERROR")</f>
        <v>19</v>
      </c>
      <c r="S50" s="204">
        <f>IFERROR(VLOOKUP($B50,MMWR_APP_RO[],S$1,0),"ERROR")</f>
        <v>1845</v>
      </c>
      <c r="T50" s="28"/>
    </row>
    <row r="51" spans="1:20" x14ac:dyDescent="0.25">
      <c r="A51" s="28"/>
      <c r="B51" s="108" t="s">
        <v>35</v>
      </c>
      <c r="C51" s="222">
        <f>IFERROR(VLOOKUP($B51,MMWR_TRAD_AGG_RO_COMP[],C$1,0),"ERROR")</f>
        <v>2164</v>
      </c>
      <c r="D51" s="223">
        <f>IFERROR(VLOOKUP($B51,MMWR_TRAD_AGG_RO_COMP[],D$1,0),"ERROR")</f>
        <v>484.18576709799999</v>
      </c>
      <c r="E51" s="224">
        <f>IFERROR(VLOOKUP($B51,MMWR_TRAD_AGG_RO_COMP[],E$1,0),"ERROR")</f>
        <v>880</v>
      </c>
      <c r="F51" s="225">
        <f>IFERROR(VLOOKUP($B51,MMWR_TRAD_AGG_RO_COMP[],F$1,0),"ERROR")</f>
        <v>121</v>
      </c>
      <c r="G51" s="226">
        <f t="shared" si="0"/>
        <v>0.13750000000000001</v>
      </c>
      <c r="H51" s="227">
        <f>IFERROR(VLOOKUP($B51,MMWR_TRAD_AGG_RO_COMP[],H$1,0),"ERROR")</f>
        <v>2786</v>
      </c>
      <c r="I51" s="225">
        <f>IFERROR(VLOOKUP($B51,MMWR_TRAD_AGG_RO_COMP[],I$1,0),"ERROR")</f>
        <v>2036</v>
      </c>
      <c r="J51" s="226">
        <f t="shared" si="1"/>
        <v>0.73079684134960521</v>
      </c>
      <c r="K51" s="228">
        <f>IFERROR(VLOOKUP($B51,MMWR_TRAD_AGG_RO_COMP[],K$1,0),"ERROR")</f>
        <v>1909</v>
      </c>
      <c r="L51" s="229">
        <f>IFERROR(VLOOKUP($B51,MMWR_TRAD_AGG_RO_COMP[],L$1,0),"ERROR")</f>
        <v>1732</v>
      </c>
      <c r="M51" s="226">
        <f t="shared" si="2"/>
        <v>0.90728129910948141</v>
      </c>
      <c r="N51" s="228">
        <f>IFERROR(VLOOKUP($B51,MMWR_TRAD_AGG_RO_COMP[],N$1,0),"ERROR")</f>
        <v>180</v>
      </c>
      <c r="O51" s="229">
        <f>IFERROR(VLOOKUP($B51,MMWR_TRAD_AGG_RO_COMP[],O$1,0),"ERROR")</f>
        <v>108</v>
      </c>
      <c r="P51" s="226">
        <f t="shared" si="3"/>
        <v>0.6</v>
      </c>
      <c r="Q51" s="230">
        <f>IFERROR(VLOOKUP($B51,MMWR_TRAD_AGG_RO_COMP[],Q$1,0),"ERROR")</f>
        <v>0</v>
      </c>
      <c r="R51" s="230">
        <f>IFERROR(VLOOKUP($B51,MMWR_TRAD_AGG_RO_COMP[],R$1,0),"ERROR")</f>
        <v>2</v>
      </c>
      <c r="S51" s="204">
        <f>IFERROR(VLOOKUP($B51,MMWR_APP_RO[],S$1,0),"ERROR")</f>
        <v>236</v>
      </c>
      <c r="T51" s="28"/>
    </row>
    <row r="52" spans="1:20" x14ac:dyDescent="0.25">
      <c r="A52" s="28"/>
      <c r="B52" s="108" t="s">
        <v>37</v>
      </c>
      <c r="C52" s="222">
        <f>IFERROR(VLOOKUP($B52,MMWR_TRAD_AGG_RO_COMP[],C$1,0),"ERROR")</f>
        <v>357</v>
      </c>
      <c r="D52" s="223">
        <f>IFERROR(VLOOKUP($B52,MMWR_TRAD_AGG_RO_COMP[],D$1,0),"ERROR")</f>
        <v>79.918767506999998</v>
      </c>
      <c r="E52" s="224">
        <f>IFERROR(VLOOKUP($B52,MMWR_TRAD_AGG_RO_COMP[],E$1,0),"ERROR")</f>
        <v>1440</v>
      </c>
      <c r="F52" s="225">
        <f>IFERROR(VLOOKUP($B52,MMWR_TRAD_AGG_RO_COMP[],F$1,0),"ERROR")</f>
        <v>354</v>
      </c>
      <c r="G52" s="226">
        <f t="shared" si="0"/>
        <v>0.24583333333333332</v>
      </c>
      <c r="H52" s="227">
        <f>IFERROR(VLOOKUP($B52,MMWR_TRAD_AGG_RO_COMP[],H$1,0),"ERROR")</f>
        <v>863</v>
      </c>
      <c r="I52" s="225">
        <f>IFERROR(VLOOKUP($B52,MMWR_TRAD_AGG_RO_COMP[],I$1,0),"ERROR")</f>
        <v>82</v>
      </c>
      <c r="J52" s="226">
        <f t="shared" si="1"/>
        <v>9.5017381228273468E-2</v>
      </c>
      <c r="K52" s="228">
        <f>IFERROR(VLOOKUP($B52,MMWR_TRAD_AGG_RO_COMP[],K$1,0),"ERROR")</f>
        <v>94</v>
      </c>
      <c r="L52" s="229">
        <f>IFERROR(VLOOKUP($B52,MMWR_TRAD_AGG_RO_COMP[],L$1,0),"ERROR")</f>
        <v>14</v>
      </c>
      <c r="M52" s="226">
        <f t="shared" si="2"/>
        <v>0.14893617021276595</v>
      </c>
      <c r="N52" s="228">
        <f>IFERROR(VLOOKUP($B52,MMWR_TRAD_AGG_RO_COMP[],N$1,0),"ERROR")</f>
        <v>107</v>
      </c>
      <c r="O52" s="229">
        <f>IFERROR(VLOOKUP($B52,MMWR_TRAD_AGG_RO_COMP[],O$1,0),"ERROR")</f>
        <v>36</v>
      </c>
      <c r="P52" s="226">
        <f t="shared" si="3"/>
        <v>0.3364485981308411</v>
      </c>
      <c r="Q52" s="230">
        <f>IFERROR(VLOOKUP($B52,MMWR_TRAD_AGG_RO_COMP[],Q$1,0),"ERROR")</f>
        <v>0</v>
      </c>
      <c r="R52" s="230">
        <f>IFERROR(VLOOKUP($B52,MMWR_TRAD_AGG_RO_COMP[],R$1,0),"ERROR")</f>
        <v>12</v>
      </c>
      <c r="S52" s="204">
        <f>IFERROR(VLOOKUP($B52,MMWR_APP_RO[],S$1,0),"ERROR")</f>
        <v>934</v>
      </c>
      <c r="T52" s="28"/>
    </row>
    <row r="53" spans="1:20" x14ac:dyDescent="0.25">
      <c r="A53" s="28"/>
      <c r="B53" s="108" t="s">
        <v>48</v>
      </c>
      <c r="C53" s="222">
        <f>IFERROR(VLOOKUP($B53,MMWR_TRAD_AGG_RO_COMP[],C$1,0),"ERROR")</f>
        <v>2035</v>
      </c>
      <c r="D53" s="223">
        <f>IFERROR(VLOOKUP($B53,MMWR_TRAD_AGG_RO_COMP[],D$1,0),"ERROR")</f>
        <v>220.9985257985</v>
      </c>
      <c r="E53" s="224">
        <f>IFERROR(VLOOKUP($B53,MMWR_TRAD_AGG_RO_COMP[],E$1,0),"ERROR")</f>
        <v>2530</v>
      </c>
      <c r="F53" s="225">
        <f>IFERROR(VLOOKUP($B53,MMWR_TRAD_AGG_RO_COMP[],F$1,0),"ERROR")</f>
        <v>610</v>
      </c>
      <c r="G53" s="226">
        <f t="shared" si="0"/>
        <v>0.24110671936758893</v>
      </c>
      <c r="H53" s="227">
        <f>IFERROR(VLOOKUP($B53,MMWR_TRAD_AGG_RO_COMP[],H$1,0),"ERROR")</f>
        <v>2697</v>
      </c>
      <c r="I53" s="225">
        <f>IFERROR(VLOOKUP($B53,MMWR_TRAD_AGG_RO_COMP[],I$1,0),"ERROR")</f>
        <v>1448</v>
      </c>
      <c r="J53" s="226">
        <f t="shared" si="1"/>
        <v>0.5368928439006303</v>
      </c>
      <c r="K53" s="228">
        <f>IFERROR(VLOOKUP($B53,MMWR_TRAD_AGG_RO_COMP[],K$1,0),"ERROR")</f>
        <v>445</v>
      </c>
      <c r="L53" s="229">
        <f>IFERROR(VLOOKUP($B53,MMWR_TRAD_AGG_RO_COMP[],L$1,0),"ERROR")</f>
        <v>354</v>
      </c>
      <c r="M53" s="226">
        <f t="shared" si="2"/>
        <v>0.79550561797752806</v>
      </c>
      <c r="N53" s="228">
        <f>IFERROR(VLOOKUP($B53,MMWR_TRAD_AGG_RO_COMP[],N$1,0),"ERROR")</f>
        <v>82</v>
      </c>
      <c r="O53" s="229">
        <f>IFERROR(VLOOKUP($B53,MMWR_TRAD_AGG_RO_COMP[],O$1,0),"ERROR")</f>
        <v>63</v>
      </c>
      <c r="P53" s="226">
        <f t="shared" si="3"/>
        <v>0.76829268292682928</v>
      </c>
      <c r="Q53" s="230">
        <f>IFERROR(VLOOKUP($B53,MMWR_TRAD_AGG_RO_COMP[],Q$1,0),"ERROR")</f>
        <v>0</v>
      </c>
      <c r="R53" s="230">
        <f>IFERROR(VLOOKUP($B53,MMWR_TRAD_AGG_RO_COMP[],R$1,0),"ERROR")</f>
        <v>1</v>
      </c>
      <c r="S53" s="204">
        <f>IFERROR(VLOOKUP($B53,MMWR_APP_RO[],S$1,0),"ERROR")</f>
        <v>1244</v>
      </c>
      <c r="T53" s="28"/>
    </row>
    <row r="54" spans="1:20" x14ac:dyDescent="0.25">
      <c r="A54" s="28"/>
      <c r="B54" s="108" t="s">
        <v>55</v>
      </c>
      <c r="C54" s="222">
        <f>IFERROR(VLOOKUP($B54,MMWR_TRAD_AGG_RO_COMP[],C$1,0),"ERROR")</f>
        <v>7498</v>
      </c>
      <c r="D54" s="223">
        <f>IFERROR(VLOOKUP($B54,MMWR_TRAD_AGG_RO_COMP[],D$1,0),"ERROR")</f>
        <v>390.71392371299999</v>
      </c>
      <c r="E54" s="224">
        <f>IFERROR(VLOOKUP($B54,MMWR_TRAD_AGG_RO_COMP[],E$1,0),"ERROR")</f>
        <v>9675</v>
      </c>
      <c r="F54" s="225">
        <f>IFERROR(VLOOKUP($B54,MMWR_TRAD_AGG_RO_COMP[],F$1,0),"ERROR")</f>
        <v>3164</v>
      </c>
      <c r="G54" s="226">
        <f t="shared" si="0"/>
        <v>0.32702842377260982</v>
      </c>
      <c r="H54" s="227">
        <f>IFERROR(VLOOKUP($B54,MMWR_TRAD_AGG_RO_COMP[],H$1,0),"ERROR")</f>
        <v>9234</v>
      </c>
      <c r="I54" s="225">
        <f>IFERROR(VLOOKUP($B54,MMWR_TRAD_AGG_RO_COMP[],I$1,0),"ERROR")</f>
        <v>6247</v>
      </c>
      <c r="J54" s="226">
        <f t="shared" si="1"/>
        <v>0.67652155079055665</v>
      </c>
      <c r="K54" s="228">
        <f>IFERROR(VLOOKUP($B54,MMWR_TRAD_AGG_RO_COMP[],K$1,0),"ERROR")</f>
        <v>906</v>
      </c>
      <c r="L54" s="229">
        <f>IFERROR(VLOOKUP($B54,MMWR_TRAD_AGG_RO_COMP[],L$1,0),"ERROR")</f>
        <v>848</v>
      </c>
      <c r="M54" s="226">
        <f t="shared" si="2"/>
        <v>0.9359823399558499</v>
      </c>
      <c r="N54" s="228">
        <f>IFERROR(VLOOKUP($B54,MMWR_TRAD_AGG_RO_COMP[],N$1,0),"ERROR")</f>
        <v>5598</v>
      </c>
      <c r="O54" s="229">
        <f>IFERROR(VLOOKUP($B54,MMWR_TRAD_AGG_RO_COMP[],O$1,0),"ERROR")</f>
        <v>3873</v>
      </c>
      <c r="P54" s="226">
        <f t="shared" si="3"/>
        <v>0.69185423365487675</v>
      </c>
      <c r="Q54" s="230">
        <f>IFERROR(VLOOKUP($B54,MMWR_TRAD_AGG_RO_COMP[],Q$1,0),"ERROR")</f>
        <v>2</v>
      </c>
      <c r="R54" s="230">
        <f>IFERROR(VLOOKUP($B54,MMWR_TRAD_AGG_RO_COMP[],R$1,0),"ERROR")</f>
        <v>36</v>
      </c>
      <c r="S54" s="204">
        <f>IFERROR(VLOOKUP($B54,MMWR_APP_RO[],S$1,0),"ERROR")</f>
        <v>4532</v>
      </c>
      <c r="T54" s="28"/>
    </row>
    <row r="55" spans="1:20" x14ac:dyDescent="0.25">
      <c r="A55" s="28"/>
      <c r="B55" s="108" t="s">
        <v>58</v>
      </c>
      <c r="C55" s="222">
        <f>IFERROR(VLOOKUP($B55,MMWR_TRAD_AGG_RO_COMP[],C$1,0),"ERROR")</f>
        <v>733</v>
      </c>
      <c r="D55" s="223">
        <f>IFERROR(VLOOKUP($B55,MMWR_TRAD_AGG_RO_COMP[],D$1,0),"ERROR")</f>
        <v>148.15688949520001</v>
      </c>
      <c r="E55" s="224">
        <f>IFERROR(VLOOKUP($B55,MMWR_TRAD_AGG_RO_COMP[],E$1,0),"ERROR")</f>
        <v>924</v>
      </c>
      <c r="F55" s="225">
        <f>IFERROR(VLOOKUP($B55,MMWR_TRAD_AGG_RO_COMP[],F$1,0),"ERROR")</f>
        <v>290</v>
      </c>
      <c r="G55" s="226">
        <f t="shared" si="0"/>
        <v>0.31385281385281383</v>
      </c>
      <c r="H55" s="227">
        <f>IFERROR(VLOOKUP($B55,MMWR_TRAD_AGG_RO_COMP[],H$1,0),"ERROR")</f>
        <v>949</v>
      </c>
      <c r="I55" s="225">
        <f>IFERROR(VLOOKUP($B55,MMWR_TRAD_AGG_RO_COMP[],I$1,0),"ERROR")</f>
        <v>375</v>
      </c>
      <c r="J55" s="226">
        <f t="shared" si="1"/>
        <v>0.39515279241306639</v>
      </c>
      <c r="K55" s="228">
        <f>IFERROR(VLOOKUP($B55,MMWR_TRAD_AGG_RO_COMP[],K$1,0),"ERROR")</f>
        <v>147</v>
      </c>
      <c r="L55" s="229">
        <f>IFERROR(VLOOKUP($B55,MMWR_TRAD_AGG_RO_COMP[],L$1,0),"ERROR")</f>
        <v>123</v>
      </c>
      <c r="M55" s="226">
        <f t="shared" si="2"/>
        <v>0.83673469387755106</v>
      </c>
      <c r="N55" s="228">
        <f>IFERROR(VLOOKUP($B55,MMWR_TRAD_AGG_RO_COMP[],N$1,0),"ERROR")</f>
        <v>698</v>
      </c>
      <c r="O55" s="229">
        <f>IFERROR(VLOOKUP($B55,MMWR_TRAD_AGG_RO_COMP[],O$1,0),"ERROR")</f>
        <v>448</v>
      </c>
      <c r="P55" s="226">
        <f t="shared" si="3"/>
        <v>0.6418338108882522</v>
      </c>
      <c r="Q55" s="230">
        <f>IFERROR(VLOOKUP($B55,MMWR_TRAD_AGG_RO_COMP[],Q$1,0),"ERROR")</f>
        <v>343</v>
      </c>
      <c r="R55" s="230">
        <f>IFERROR(VLOOKUP($B55,MMWR_TRAD_AGG_RO_COMP[],R$1,0),"ERROR")</f>
        <v>135</v>
      </c>
      <c r="S55" s="204">
        <f>IFERROR(VLOOKUP($B55,MMWR_APP_RO[],S$1,0),"ERROR")</f>
        <v>1060</v>
      </c>
      <c r="T55" s="28"/>
    </row>
    <row r="56" spans="1:20" x14ac:dyDescent="0.25">
      <c r="A56" s="28"/>
      <c r="B56" s="108" t="s">
        <v>65</v>
      </c>
      <c r="C56" s="222">
        <f>IFERROR(VLOOKUP($B56,MMWR_TRAD_AGG_RO_COMP[],C$1,0),"ERROR")</f>
        <v>11270</v>
      </c>
      <c r="D56" s="223">
        <f>IFERROR(VLOOKUP($B56,MMWR_TRAD_AGG_RO_COMP[],D$1,0),"ERROR")</f>
        <v>379.45953859799999</v>
      </c>
      <c r="E56" s="224">
        <f>IFERROR(VLOOKUP($B56,MMWR_TRAD_AGG_RO_COMP[],E$1,0),"ERROR")</f>
        <v>10860</v>
      </c>
      <c r="F56" s="225">
        <f>IFERROR(VLOOKUP($B56,MMWR_TRAD_AGG_RO_COMP[],F$1,0),"ERROR")</f>
        <v>3143</v>
      </c>
      <c r="G56" s="226">
        <f t="shared" si="0"/>
        <v>0.28941068139963166</v>
      </c>
      <c r="H56" s="227">
        <f>IFERROR(VLOOKUP($B56,MMWR_TRAD_AGG_RO_COMP[],H$1,0),"ERROR")</f>
        <v>14683</v>
      </c>
      <c r="I56" s="225">
        <f>IFERROR(VLOOKUP($B56,MMWR_TRAD_AGG_RO_COMP[],I$1,0),"ERROR")</f>
        <v>10170</v>
      </c>
      <c r="J56" s="226">
        <f t="shared" si="1"/>
        <v>0.69263774433017777</v>
      </c>
      <c r="K56" s="228">
        <f>IFERROR(VLOOKUP($B56,MMWR_TRAD_AGG_RO_COMP[],K$1,0),"ERROR")</f>
        <v>5073</v>
      </c>
      <c r="L56" s="229">
        <f>IFERROR(VLOOKUP($B56,MMWR_TRAD_AGG_RO_COMP[],L$1,0),"ERROR")</f>
        <v>3699</v>
      </c>
      <c r="M56" s="226">
        <f t="shared" si="2"/>
        <v>0.72915434654050859</v>
      </c>
      <c r="N56" s="228">
        <f>IFERROR(VLOOKUP($B56,MMWR_TRAD_AGG_RO_COMP[],N$1,0),"ERROR")</f>
        <v>3564</v>
      </c>
      <c r="O56" s="229">
        <f>IFERROR(VLOOKUP($B56,MMWR_TRAD_AGG_RO_COMP[],O$1,0),"ERROR")</f>
        <v>2677</v>
      </c>
      <c r="P56" s="226">
        <f t="shared" si="3"/>
        <v>0.75112233445566778</v>
      </c>
      <c r="Q56" s="230">
        <f>IFERROR(VLOOKUP($B56,MMWR_TRAD_AGG_RO_COMP[],Q$1,0),"ERROR")</f>
        <v>0</v>
      </c>
      <c r="R56" s="230">
        <f>IFERROR(VLOOKUP($B56,MMWR_TRAD_AGG_RO_COMP[],R$1,0),"ERROR")</f>
        <v>46</v>
      </c>
      <c r="S56" s="204">
        <f>IFERROR(VLOOKUP($B56,MMWR_APP_RO[],S$1,0),"ERROR")</f>
        <v>8755</v>
      </c>
      <c r="T56" s="28"/>
    </row>
    <row r="57" spans="1:20" x14ac:dyDescent="0.25">
      <c r="A57" s="28"/>
      <c r="B57" s="108" t="s">
        <v>67</v>
      </c>
      <c r="C57" s="222">
        <f>IFERROR(VLOOKUP($B57,MMWR_TRAD_AGG_RO_COMP[],C$1,0),"ERROR")</f>
        <v>5560</v>
      </c>
      <c r="D57" s="223">
        <f>IFERROR(VLOOKUP($B57,MMWR_TRAD_AGG_RO_COMP[],D$1,0),"ERROR")</f>
        <v>261.42697841730001</v>
      </c>
      <c r="E57" s="224">
        <f>IFERROR(VLOOKUP($B57,MMWR_TRAD_AGG_RO_COMP[],E$1,0),"ERROR")</f>
        <v>4952</v>
      </c>
      <c r="F57" s="225">
        <f>IFERROR(VLOOKUP($B57,MMWR_TRAD_AGG_RO_COMP[],F$1,0),"ERROR")</f>
        <v>1200</v>
      </c>
      <c r="G57" s="226">
        <f t="shared" si="0"/>
        <v>0.24232633279483037</v>
      </c>
      <c r="H57" s="227">
        <f>IFERROR(VLOOKUP($B57,MMWR_TRAD_AGG_RO_COMP[],H$1,0),"ERROR")</f>
        <v>6582</v>
      </c>
      <c r="I57" s="225">
        <f>IFERROR(VLOOKUP($B57,MMWR_TRAD_AGG_RO_COMP[],I$1,0),"ERROR")</f>
        <v>3678</v>
      </c>
      <c r="J57" s="226">
        <f t="shared" si="1"/>
        <v>0.55879671832269828</v>
      </c>
      <c r="K57" s="228">
        <f>IFERROR(VLOOKUP($B57,MMWR_TRAD_AGG_RO_COMP[],K$1,0),"ERROR")</f>
        <v>253</v>
      </c>
      <c r="L57" s="229">
        <f>IFERROR(VLOOKUP($B57,MMWR_TRAD_AGG_RO_COMP[],L$1,0),"ERROR")</f>
        <v>195</v>
      </c>
      <c r="M57" s="226">
        <f t="shared" si="2"/>
        <v>0.77075098814229248</v>
      </c>
      <c r="N57" s="228">
        <f>IFERROR(VLOOKUP($B57,MMWR_TRAD_AGG_RO_COMP[],N$1,0),"ERROR")</f>
        <v>2891</v>
      </c>
      <c r="O57" s="229">
        <f>IFERROR(VLOOKUP($B57,MMWR_TRAD_AGG_RO_COMP[],O$1,0),"ERROR")</f>
        <v>2300</v>
      </c>
      <c r="P57" s="226">
        <f t="shared" si="3"/>
        <v>0.79557246627464551</v>
      </c>
      <c r="Q57" s="230">
        <f>IFERROR(VLOOKUP($B57,MMWR_TRAD_AGG_RO_COMP[],Q$1,0),"ERROR")</f>
        <v>0</v>
      </c>
      <c r="R57" s="230">
        <f>IFERROR(VLOOKUP($B57,MMWR_TRAD_AGG_RO_COMP[],R$1,0),"ERROR")</f>
        <v>70</v>
      </c>
      <c r="S57" s="204">
        <f>IFERROR(VLOOKUP($B57,MMWR_APP_RO[],S$1,0),"ERROR")</f>
        <v>7052</v>
      </c>
      <c r="T57" s="28"/>
    </row>
    <row r="58" spans="1:20" x14ac:dyDescent="0.25">
      <c r="A58" s="28"/>
      <c r="B58" s="108" t="s">
        <v>69</v>
      </c>
      <c r="C58" s="222">
        <f>IFERROR(VLOOKUP($B58,MMWR_TRAD_AGG_RO_COMP[],C$1,0),"ERROR")</f>
        <v>8396</v>
      </c>
      <c r="D58" s="223">
        <f>IFERROR(VLOOKUP($B58,MMWR_TRAD_AGG_RO_COMP[],D$1,0),"ERROR")</f>
        <v>401.00107193899998</v>
      </c>
      <c r="E58" s="224">
        <f>IFERROR(VLOOKUP($B58,MMWR_TRAD_AGG_RO_COMP[],E$1,0),"ERROR")</f>
        <v>4918</v>
      </c>
      <c r="F58" s="225">
        <f>IFERROR(VLOOKUP($B58,MMWR_TRAD_AGG_RO_COMP[],F$1,0),"ERROR")</f>
        <v>1814</v>
      </c>
      <c r="G58" s="226">
        <f t="shared" si="0"/>
        <v>0.36884912566083772</v>
      </c>
      <c r="H58" s="227">
        <f>IFERROR(VLOOKUP($B58,MMWR_TRAD_AGG_RO_COMP[],H$1,0),"ERROR")</f>
        <v>10444</v>
      </c>
      <c r="I58" s="225">
        <f>IFERROR(VLOOKUP($B58,MMWR_TRAD_AGG_RO_COMP[],I$1,0),"ERROR")</f>
        <v>7068</v>
      </c>
      <c r="J58" s="226">
        <f t="shared" si="1"/>
        <v>0.67675220222137111</v>
      </c>
      <c r="K58" s="228">
        <f>IFERROR(VLOOKUP($B58,MMWR_TRAD_AGG_RO_COMP[],K$1,0),"ERROR")</f>
        <v>3808</v>
      </c>
      <c r="L58" s="229">
        <f>IFERROR(VLOOKUP($B58,MMWR_TRAD_AGG_RO_COMP[],L$1,0),"ERROR")</f>
        <v>3177</v>
      </c>
      <c r="M58" s="226">
        <f t="shared" si="2"/>
        <v>0.83429621848739499</v>
      </c>
      <c r="N58" s="228">
        <f>IFERROR(VLOOKUP($B58,MMWR_TRAD_AGG_RO_COMP[],N$1,0),"ERROR")</f>
        <v>1492</v>
      </c>
      <c r="O58" s="229">
        <f>IFERROR(VLOOKUP($B58,MMWR_TRAD_AGG_RO_COMP[],O$1,0),"ERROR")</f>
        <v>664</v>
      </c>
      <c r="P58" s="226">
        <f t="shared" si="3"/>
        <v>0.44504021447721182</v>
      </c>
      <c r="Q58" s="230">
        <f>IFERROR(VLOOKUP($B58,MMWR_TRAD_AGG_RO_COMP[],Q$1,0),"ERROR")</f>
        <v>0</v>
      </c>
      <c r="R58" s="230">
        <f>IFERROR(VLOOKUP($B58,MMWR_TRAD_AGG_RO_COMP[],R$1,0),"ERROR")</f>
        <v>74</v>
      </c>
      <c r="S58" s="204">
        <f>IFERROR(VLOOKUP($B58,MMWR_APP_RO[],S$1,0),"ERROR")</f>
        <v>5424</v>
      </c>
      <c r="T58" s="28"/>
    </row>
    <row r="59" spans="1:20" x14ac:dyDescent="0.25">
      <c r="A59" s="28"/>
      <c r="B59" s="108" t="s">
        <v>71</v>
      </c>
      <c r="C59" s="222">
        <f>IFERROR(VLOOKUP($B59,MMWR_TRAD_AGG_RO_COMP[],C$1,0),"ERROR")</f>
        <v>3591</v>
      </c>
      <c r="D59" s="223">
        <f>IFERROR(VLOOKUP($B59,MMWR_TRAD_AGG_RO_COMP[],D$1,0),"ERROR")</f>
        <v>473.35895293790003</v>
      </c>
      <c r="E59" s="224">
        <f>IFERROR(VLOOKUP($B59,MMWR_TRAD_AGG_RO_COMP[],E$1,0),"ERROR")</f>
        <v>3552</v>
      </c>
      <c r="F59" s="225">
        <f>IFERROR(VLOOKUP($B59,MMWR_TRAD_AGG_RO_COMP[],F$1,0),"ERROR")</f>
        <v>1152</v>
      </c>
      <c r="G59" s="226">
        <f t="shared" si="0"/>
        <v>0.32432432432432434</v>
      </c>
      <c r="H59" s="227">
        <f>IFERROR(VLOOKUP($B59,MMWR_TRAD_AGG_RO_COMP[],H$1,0),"ERROR")</f>
        <v>4217</v>
      </c>
      <c r="I59" s="225">
        <f>IFERROR(VLOOKUP($B59,MMWR_TRAD_AGG_RO_COMP[],I$1,0),"ERROR")</f>
        <v>2907</v>
      </c>
      <c r="J59" s="226">
        <f t="shared" si="1"/>
        <v>0.68935262034621769</v>
      </c>
      <c r="K59" s="228">
        <f>IFERROR(VLOOKUP($B59,MMWR_TRAD_AGG_RO_COMP[],K$1,0),"ERROR")</f>
        <v>398</v>
      </c>
      <c r="L59" s="229">
        <f>IFERROR(VLOOKUP($B59,MMWR_TRAD_AGG_RO_COMP[],L$1,0),"ERROR")</f>
        <v>356</v>
      </c>
      <c r="M59" s="226">
        <f t="shared" si="2"/>
        <v>0.89447236180904521</v>
      </c>
      <c r="N59" s="228">
        <f>IFERROR(VLOOKUP($B59,MMWR_TRAD_AGG_RO_COMP[],N$1,0),"ERROR")</f>
        <v>1201</v>
      </c>
      <c r="O59" s="229">
        <f>IFERROR(VLOOKUP($B59,MMWR_TRAD_AGG_RO_COMP[],O$1,0),"ERROR")</f>
        <v>746</v>
      </c>
      <c r="P59" s="226">
        <f t="shared" si="3"/>
        <v>0.62114904246461278</v>
      </c>
      <c r="Q59" s="230">
        <f>IFERROR(VLOOKUP($B59,MMWR_TRAD_AGG_RO_COMP[],Q$1,0),"ERROR")</f>
        <v>1</v>
      </c>
      <c r="R59" s="230">
        <f>IFERROR(VLOOKUP($B59,MMWR_TRAD_AGG_RO_COMP[],R$1,0),"ERROR")</f>
        <v>112</v>
      </c>
      <c r="S59" s="204">
        <f>IFERROR(VLOOKUP($B59,MMWR_APP_RO[],S$1,0),"ERROR")</f>
        <v>2751</v>
      </c>
      <c r="T59" s="28"/>
    </row>
    <row r="60" spans="1:20" x14ac:dyDescent="0.25">
      <c r="A60" s="28"/>
      <c r="B60" s="108" t="s">
        <v>74</v>
      </c>
      <c r="C60" s="222">
        <f>IFERROR(VLOOKUP($B60,MMWR_TRAD_AGG_RO_COMP[],C$1,0),"ERROR")</f>
        <v>7908</v>
      </c>
      <c r="D60" s="223">
        <f>IFERROR(VLOOKUP($B60,MMWR_TRAD_AGG_RO_COMP[],D$1,0),"ERROR")</f>
        <v>322.34382903390002</v>
      </c>
      <c r="E60" s="224">
        <f>IFERROR(VLOOKUP($B60,MMWR_TRAD_AGG_RO_COMP[],E$1,0),"ERROR")</f>
        <v>11982</v>
      </c>
      <c r="F60" s="225">
        <f>IFERROR(VLOOKUP($B60,MMWR_TRAD_AGG_RO_COMP[],F$1,0),"ERROR")</f>
        <v>2100</v>
      </c>
      <c r="G60" s="226">
        <f t="shared" si="0"/>
        <v>0.17526289434151227</v>
      </c>
      <c r="H60" s="227">
        <f>IFERROR(VLOOKUP($B60,MMWR_TRAD_AGG_RO_COMP[],H$1,0),"ERROR")</f>
        <v>15837</v>
      </c>
      <c r="I60" s="225">
        <f>IFERROR(VLOOKUP($B60,MMWR_TRAD_AGG_RO_COMP[],I$1,0),"ERROR")</f>
        <v>6688</v>
      </c>
      <c r="J60" s="226">
        <f t="shared" si="1"/>
        <v>0.42230220370019572</v>
      </c>
      <c r="K60" s="228">
        <f>IFERROR(VLOOKUP($B60,MMWR_TRAD_AGG_RO_COMP[],K$1,0),"ERROR")</f>
        <v>1896</v>
      </c>
      <c r="L60" s="229">
        <f>IFERROR(VLOOKUP($B60,MMWR_TRAD_AGG_RO_COMP[],L$1,0),"ERROR")</f>
        <v>1322</v>
      </c>
      <c r="M60" s="226">
        <f t="shared" si="2"/>
        <v>0.6972573839662447</v>
      </c>
      <c r="N60" s="228">
        <f>IFERROR(VLOOKUP($B60,MMWR_TRAD_AGG_RO_COMP[],N$1,0),"ERROR")</f>
        <v>1928</v>
      </c>
      <c r="O60" s="229">
        <f>IFERROR(VLOOKUP($B60,MMWR_TRAD_AGG_RO_COMP[],O$1,0),"ERROR")</f>
        <v>1371</v>
      </c>
      <c r="P60" s="226">
        <f t="shared" si="3"/>
        <v>0.71109958506224069</v>
      </c>
      <c r="Q60" s="230">
        <f>IFERROR(VLOOKUP($B60,MMWR_TRAD_AGG_RO_COMP[],Q$1,0),"ERROR")</f>
        <v>0</v>
      </c>
      <c r="R60" s="230">
        <f>IFERROR(VLOOKUP($B60,MMWR_TRAD_AGG_RO_COMP[],R$1,0),"ERROR")</f>
        <v>68</v>
      </c>
      <c r="S60" s="204">
        <f>IFERROR(VLOOKUP($B60,MMWR_APP_RO[],S$1,0),"ERROR")</f>
        <v>4139</v>
      </c>
      <c r="T60" s="28"/>
    </row>
    <row r="61" spans="1:20" x14ac:dyDescent="0.25">
      <c r="A61" s="28"/>
      <c r="B61" s="116" t="s">
        <v>76</v>
      </c>
      <c r="C61" s="231">
        <f>IFERROR(VLOOKUP($B61,MMWR_TRAD_AGG_RO_COMP[],C$1,0),"ERROR")</f>
        <v>13977</v>
      </c>
      <c r="D61" s="232">
        <f>IFERROR(VLOOKUP($B61,MMWR_TRAD_AGG_RO_COMP[],D$1,0),"ERROR")</f>
        <v>398.92144236960002</v>
      </c>
      <c r="E61" s="233">
        <f>IFERROR(VLOOKUP($B61,MMWR_TRAD_AGG_RO_COMP[],E$1,0),"ERROR")</f>
        <v>7219</v>
      </c>
      <c r="F61" s="234">
        <f>IFERROR(VLOOKUP($B61,MMWR_TRAD_AGG_RO_COMP[],F$1,0),"ERROR")</f>
        <v>1718</v>
      </c>
      <c r="G61" s="235">
        <f t="shared" si="0"/>
        <v>0.23798310015237567</v>
      </c>
      <c r="H61" s="236">
        <f>IFERROR(VLOOKUP($B61,MMWR_TRAD_AGG_RO_COMP[],H$1,0),"ERROR")</f>
        <v>19268</v>
      </c>
      <c r="I61" s="234">
        <f>IFERROR(VLOOKUP($B61,MMWR_TRAD_AGG_RO_COMP[],I$1,0),"ERROR")</f>
        <v>13444</v>
      </c>
      <c r="J61" s="235">
        <f t="shared" si="1"/>
        <v>0.69773718081793645</v>
      </c>
      <c r="K61" s="237">
        <f>IFERROR(VLOOKUP($B61,MMWR_TRAD_AGG_RO_COMP[],K$1,0),"ERROR")</f>
        <v>4021</v>
      </c>
      <c r="L61" s="238">
        <f>IFERROR(VLOOKUP($B61,MMWR_TRAD_AGG_RO_COMP[],L$1,0),"ERROR")</f>
        <v>3639</v>
      </c>
      <c r="M61" s="235">
        <f t="shared" si="2"/>
        <v>0.90499875652822681</v>
      </c>
      <c r="N61" s="237">
        <f>IFERROR(VLOOKUP($B61,MMWR_TRAD_AGG_RO_COMP[],N$1,0),"ERROR")</f>
        <v>5429</v>
      </c>
      <c r="O61" s="238">
        <f>IFERROR(VLOOKUP($B61,MMWR_TRAD_AGG_RO_COMP[],O$1,0),"ERROR")</f>
        <v>4642</v>
      </c>
      <c r="P61" s="235">
        <f t="shared" si="3"/>
        <v>0.8550377601768282</v>
      </c>
      <c r="Q61" s="239">
        <f>IFERROR(VLOOKUP($B61,MMWR_TRAD_AGG_RO_COMP[],Q$1,0),"ERROR")</f>
        <v>0</v>
      </c>
      <c r="R61" s="239">
        <f>IFERROR(VLOOKUP($B61,MMWR_TRAD_AGG_RO_COMP[],R$1,0),"ERROR")</f>
        <v>147</v>
      </c>
      <c r="S61" s="204">
        <f>IFERROR(VLOOKUP($B61,MMWR_APP_RO[],S$1,0),"ERROR")</f>
        <v>4683</v>
      </c>
      <c r="T61" s="28"/>
    </row>
    <row r="62" spans="1:20" x14ac:dyDescent="0.25">
      <c r="A62" s="28"/>
      <c r="B62" s="101" t="s">
        <v>390</v>
      </c>
      <c r="C62" s="215">
        <f>IFERROR(VLOOKUP($B62,MMWR_TRAD_AGG_DISTRICT_COMP[],C$1,0),"ERROR")</f>
        <v>70166</v>
      </c>
      <c r="D62" s="200">
        <f>IFERROR(VLOOKUP($B62,MMWR_TRAD_AGG_DISTRICT_COMP[],D$1,0),"ERROR")</f>
        <v>335.05019525130001</v>
      </c>
      <c r="E62" s="216">
        <f>IFERROR(VLOOKUP($B62,MMWR_TRAD_AGG_DISTRICT_COMP[],E$1,0),"ERROR")</f>
        <v>70685</v>
      </c>
      <c r="F62" s="221">
        <f>IFERROR(VLOOKUP($B62,MMWR_TRAD_AGG_DISTRICT_COMP[],F$1,0),"ERROR")</f>
        <v>21194</v>
      </c>
      <c r="G62" s="217">
        <f t="shared" si="0"/>
        <v>0.29983730635919925</v>
      </c>
      <c r="H62" s="221">
        <f>IFERROR(VLOOKUP($B62,MMWR_TRAD_AGG_DISTRICT_COMP[],H$1,0),"ERROR")</f>
        <v>98723</v>
      </c>
      <c r="I62" s="221">
        <f>IFERROR(VLOOKUP($B62,MMWR_TRAD_AGG_DISTRICT_COMP[],I$1,0),"ERROR")</f>
        <v>61316</v>
      </c>
      <c r="J62" s="217">
        <f t="shared" si="1"/>
        <v>0.62109133636538594</v>
      </c>
      <c r="K62" s="215">
        <f>IFERROR(VLOOKUP($B62,MMWR_TRAD_AGG_DISTRICT_COMP[],K$1,0),"ERROR")</f>
        <v>19909</v>
      </c>
      <c r="L62" s="215">
        <f>IFERROR(VLOOKUP($B62,MMWR_TRAD_AGG_DISTRICT_COMP[],L$1,0),"ERROR")</f>
        <v>15549</v>
      </c>
      <c r="M62" s="217">
        <f t="shared" si="2"/>
        <v>0.78100356622632983</v>
      </c>
      <c r="N62" s="215">
        <f>IFERROR(VLOOKUP($B62,MMWR_TRAD_AGG_DISTRICT_COMP[],N$1,0),"ERROR")</f>
        <v>38572</v>
      </c>
      <c r="O62" s="215">
        <f>IFERROR(VLOOKUP($B62,MMWR_TRAD_AGG_DISTRICT_COMP[],O$1,0),"ERROR")</f>
        <v>21859</v>
      </c>
      <c r="P62" s="217">
        <f t="shared" si="3"/>
        <v>0.56670641916416054</v>
      </c>
      <c r="Q62" s="215">
        <f>IFERROR(VLOOKUP($B62,MMWR_TRAD_AGG_DISTRICT_COMP[],Q$1,0),"ERROR")</f>
        <v>161</v>
      </c>
      <c r="R62" s="218">
        <f>IFERROR(VLOOKUP($B62,MMWR_TRAD_AGG_DISTRICT_COMP[],R$1,0),"ERROR")</f>
        <v>1167</v>
      </c>
      <c r="S62" s="218">
        <f>IFERROR(VLOOKUP($B62,MMWR_APP_RO[],S$1,0),"ERROR")</f>
        <v>82931</v>
      </c>
      <c r="T62" s="28"/>
    </row>
    <row r="63" spans="1:20" x14ac:dyDescent="0.25">
      <c r="A63" s="28"/>
      <c r="B63" s="108" t="s">
        <v>25</v>
      </c>
      <c r="C63" s="222">
        <f>IFERROR(VLOOKUP($B63,MMWR_TRAD_AGG_RO_COMP[],C$1,0),"ERROR")</f>
        <v>12986</v>
      </c>
      <c r="D63" s="223">
        <f>IFERROR(VLOOKUP($B63,MMWR_TRAD_AGG_RO_COMP[],D$1,0),"ERROR")</f>
        <v>345.40497458800002</v>
      </c>
      <c r="E63" s="224">
        <f>IFERROR(VLOOKUP($B63,MMWR_TRAD_AGG_RO_COMP[],E$1,0),"ERROR")</f>
        <v>15100</v>
      </c>
      <c r="F63" s="225">
        <f>IFERROR(VLOOKUP($B63,MMWR_TRAD_AGG_RO_COMP[],F$1,0),"ERROR")</f>
        <v>4281</v>
      </c>
      <c r="G63" s="226">
        <f t="shared" si="0"/>
        <v>0.28350993377483441</v>
      </c>
      <c r="H63" s="227">
        <f>IFERROR(VLOOKUP($B63,MMWR_TRAD_AGG_RO_COMP[],H$1,0),"ERROR")</f>
        <v>18164</v>
      </c>
      <c r="I63" s="225">
        <f>IFERROR(VLOOKUP($B63,MMWR_TRAD_AGG_RO_COMP[],I$1,0),"ERROR")</f>
        <v>12173</v>
      </c>
      <c r="J63" s="226">
        <f t="shared" si="1"/>
        <v>0.67017176833296632</v>
      </c>
      <c r="K63" s="228">
        <f>IFERROR(VLOOKUP($B63,MMWR_TRAD_AGG_RO_COMP[],K$1,0),"ERROR")</f>
        <v>4546</v>
      </c>
      <c r="L63" s="229">
        <f>IFERROR(VLOOKUP($B63,MMWR_TRAD_AGG_RO_COMP[],L$1,0),"ERROR")</f>
        <v>3981</v>
      </c>
      <c r="M63" s="226">
        <f t="shared" si="2"/>
        <v>0.87571491421029479</v>
      </c>
      <c r="N63" s="228">
        <f>IFERROR(VLOOKUP($B63,MMWR_TRAD_AGG_RO_COMP[],N$1,0),"ERROR")</f>
        <v>20188</v>
      </c>
      <c r="O63" s="229">
        <f>IFERROR(VLOOKUP($B63,MMWR_TRAD_AGG_RO_COMP[],O$1,0),"ERROR")</f>
        <v>9805</v>
      </c>
      <c r="P63" s="226">
        <f t="shared" si="3"/>
        <v>0.48568456508817121</v>
      </c>
      <c r="Q63" s="230">
        <f>IFERROR(VLOOKUP($B63,MMWR_TRAD_AGG_RO_COMP[],Q$1,0),"ERROR")</f>
        <v>62</v>
      </c>
      <c r="R63" s="230">
        <f>IFERROR(VLOOKUP($B63,MMWR_TRAD_AGG_RO_COMP[],R$1,0),"ERROR")</f>
        <v>25</v>
      </c>
      <c r="S63" s="204">
        <f>IFERROR(VLOOKUP($B63,MMWR_APP_RO[],S$1,0),"ERROR")</f>
        <v>16003</v>
      </c>
      <c r="T63" s="28"/>
    </row>
    <row r="64" spans="1:20" x14ac:dyDescent="0.25">
      <c r="A64" s="28"/>
      <c r="B64" s="108" t="s">
        <v>42</v>
      </c>
      <c r="C64" s="222">
        <f>IFERROR(VLOOKUP($B64,MMWR_TRAD_AGG_RO_COMP[],C$1,0),"ERROR")</f>
        <v>12002</v>
      </c>
      <c r="D64" s="223">
        <f>IFERROR(VLOOKUP($B64,MMWR_TRAD_AGG_RO_COMP[],D$1,0),"ERROR")</f>
        <v>282.76570571569999</v>
      </c>
      <c r="E64" s="224">
        <f>IFERROR(VLOOKUP($B64,MMWR_TRAD_AGG_RO_COMP[],E$1,0),"ERROR")</f>
        <v>8711</v>
      </c>
      <c r="F64" s="225">
        <f>IFERROR(VLOOKUP($B64,MMWR_TRAD_AGG_RO_COMP[],F$1,0),"ERROR")</f>
        <v>2340</v>
      </c>
      <c r="G64" s="226">
        <f t="shared" si="0"/>
        <v>0.26862587533004245</v>
      </c>
      <c r="H64" s="227">
        <f>IFERROR(VLOOKUP($B64,MMWR_TRAD_AGG_RO_COMP[],H$1,0),"ERROR")</f>
        <v>21900</v>
      </c>
      <c r="I64" s="225">
        <f>IFERROR(VLOOKUP($B64,MMWR_TRAD_AGG_RO_COMP[],I$1,0),"ERROR")</f>
        <v>12244</v>
      </c>
      <c r="J64" s="226">
        <f t="shared" si="1"/>
        <v>0.5590867579908676</v>
      </c>
      <c r="K64" s="228">
        <f>IFERROR(VLOOKUP($B64,MMWR_TRAD_AGG_RO_COMP[],K$1,0),"ERROR")</f>
        <v>3074</v>
      </c>
      <c r="L64" s="229">
        <f>IFERROR(VLOOKUP($B64,MMWR_TRAD_AGG_RO_COMP[],L$1,0),"ERROR")</f>
        <v>1382</v>
      </c>
      <c r="M64" s="226">
        <f t="shared" si="2"/>
        <v>0.44957709824333114</v>
      </c>
      <c r="N64" s="228">
        <f>IFERROR(VLOOKUP($B64,MMWR_TRAD_AGG_RO_COMP[],N$1,0),"ERROR")</f>
        <v>1700</v>
      </c>
      <c r="O64" s="229">
        <f>IFERROR(VLOOKUP($B64,MMWR_TRAD_AGG_RO_COMP[],O$1,0),"ERROR")</f>
        <v>1310</v>
      </c>
      <c r="P64" s="226">
        <f t="shared" si="3"/>
        <v>0.77058823529411768</v>
      </c>
      <c r="Q64" s="230">
        <f>IFERROR(VLOOKUP($B64,MMWR_TRAD_AGG_RO_COMP[],Q$1,0),"ERROR")</f>
        <v>2</v>
      </c>
      <c r="R64" s="230">
        <f>IFERROR(VLOOKUP($B64,MMWR_TRAD_AGG_RO_COMP[],R$1,0),"ERROR")</f>
        <v>56</v>
      </c>
      <c r="S64" s="204">
        <f>IFERROR(VLOOKUP($B64,MMWR_APP_RO[],S$1,0),"ERROR")</f>
        <v>11931</v>
      </c>
      <c r="T64" s="28"/>
    </row>
    <row r="65" spans="1:20" x14ac:dyDescent="0.25">
      <c r="A65" s="28"/>
      <c r="B65" s="108" t="s">
        <v>56</v>
      </c>
      <c r="C65" s="222">
        <f>IFERROR(VLOOKUP($B65,MMWR_TRAD_AGG_RO_COMP[],C$1,0),"ERROR")</f>
        <v>10301</v>
      </c>
      <c r="D65" s="223">
        <f>IFERROR(VLOOKUP($B65,MMWR_TRAD_AGG_RO_COMP[],D$1,0),"ERROR")</f>
        <v>467.31064945150001</v>
      </c>
      <c r="E65" s="224">
        <f>IFERROR(VLOOKUP($B65,MMWR_TRAD_AGG_RO_COMP[],E$1,0),"ERROR")</f>
        <v>6134</v>
      </c>
      <c r="F65" s="225">
        <f>IFERROR(VLOOKUP($B65,MMWR_TRAD_AGG_RO_COMP[],F$1,0),"ERROR")</f>
        <v>2879</v>
      </c>
      <c r="G65" s="226">
        <f t="shared" si="0"/>
        <v>0.46935115748288231</v>
      </c>
      <c r="H65" s="227">
        <f>IFERROR(VLOOKUP($B65,MMWR_TRAD_AGG_RO_COMP[],H$1,0),"ERROR")</f>
        <v>14195</v>
      </c>
      <c r="I65" s="225">
        <f>IFERROR(VLOOKUP($B65,MMWR_TRAD_AGG_RO_COMP[],I$1,0),"ERROR")</f>
        <v>9472</v>
      </c>
      <c r="J65" s="226">
        <f t="shared" si="1"/>
        <v>0.66727721028531173</v>
      </c>
      <c r="K65" s="228">
        <f>IFERROR(VLOOKUP($B65,MMWR_TRAD_AGG_RO_COMP[],K$1,0),"ERROR")</f>
        <v>3158</v>
      </c>
      <c r="L65" s="229">
        <f>IFERROR(VLOOKUP($B65,MMWR_TRAD_AGG_RO_COMP[],L$1,0),"ERROR")</f>
        <v>2518</v>
      </c>
      <c r="M65" s="226">
        <f t="shared" si="2"/>
        <v>0.7973400886637112</v>
      </c>
      <c r="N65" s="228">
        <f>IFERROR(VLOOKUP($B65,MMWR_TRAD_AGG_RO_COMP[],N$1,0),"ERROR")</f>
        <v>698</v>
      </c>
      <c r="O65" s="229">
        <f>IFERROR(VLOOKUP($B65,MMWR_TRAD_AGG_RO_COMP[],O$1,0),"ERROR")</f>
        <v>523</v>
      </c>
      <c r="P65" s="226">
        <f t="shared" si="3"/>
        <v>0.74928366762177645</v>
      </c>
      <c r="Q65" s="230">
        <f>IFERROR(VLOOKUP($B65,MMWR_TRAD_AGG_RO_COMP[],Q$1,0),"ERROR")</f>
        <v>81</v>
      </c>
      <c r="R65" s="230">
        <f>IFERROR(VLOOKUP($B65,MMWR_TRAD_AGG_RO_COMP[],R$1,0),"ERROR")</f>
        <v>254</v>
      </c>
      <c r="S65" s="204">
        <f>IFERROR(VLOOKUP($B65,MMWR_APP_RO[],S$1,0),"ERROR")</f>
        <v>4548</v>
      </c>
      <c r="T65" s="28"/>
    </row>
    <row r="66" spans="1:20" x14ac:dyDescent="0.25">
      <c r="A66" s="28"/>
      <c r="B66" s="108" t="s">
        <v>60</v>
      </c>
      <c r="C66" s="222">
        <f>IFERROR(VLOOKUP($B66,MMWR_TRAD_AGG_RO_COMP[],C$1,0),"ERROR")</f>
        <v>12493</v>
      </c>
      <c r="D66" s="223">
        <f>IFERROR(VLOOKUP($B66,MMWR_TRAD_AGG_RO_COMP[],D$1,0),"ERROR")</f>
        <v>367.30240934919999</v>
      </c>
      <c r="E66" s="224">
        <f>IFERROR(VLOOKUP($B66,MMWR_TRAD_AGG_RO_COMP[],E$1,0),"ERROR")</f>
        <v>7326</v>
      </c>
      <c r="F66" s="225">
        <f>IFERROR(VLOOKUP($B66,MMWR_TRAD_AGG_RO_COMP[],F$1,0),"ERROR")</f>
        <v>1562</v>
      </c>
      <c r="G66" s="226">
        <f t="shared" si="0"/>
        <v>0.21321321321321321</v>
      </c>
      <c r="H66" s="227">
        <f>IFERROR(VLOOKUP($B66,MMWR_TRAD_AGG_RO_COMP[],H$1,0),"ERROR")</f>
        <v>14068</v>
      </c>
      <c r="I66" s="225">
        <f>IFERROR(VLOOKUP($B66,MMWR_TRAD_AGG_RO_COMP[],I$1,0),"ERROR")</f>
        <v>9951</v>
      </c>
      <c r="J66" s="226">
        <f t="shared" si="1"/>
        <v>0.70735001421666188</v>
      </c>
      <c r="K66" s="228">
        <f>IFERROR(VLOOKUP($B66,MMWR_TRAD_AGG_RO_COMP[],K$1,0),"ERROR")</f>
        <v>4293</v>
      </c>
      <c r="L66" s="229">
        <f>IFERROR(VLOOKUP($B66,MMWR_TRAD_AGG_RO_COMP[],L$1,0),"ERROR")</f>
        <v>3937</v>
      </c>
      <c r="M66" s="226">
        <f t="shared" si="2"/>
        <v>0.9170743070114139</v>
      </c>
      <c r="N66" s="228">
        <f>IFERROR(VLOOKUP($B66,MMWR_TRAD_AGG_RO_COMP[],N$1,0),"ERROR")</f>
        <v>2316</v>
      </c>
      <c r="O66" s="229">
        <f>IFERROR(VLOOKUP($B66,MMWR_TRAD_AGG_RO_COMP[],O$1,0),"ERROR")</f>
        <v>1760</v>
      </c>
      <c r="P66" s="226">
        <f t="shared" si="3"/>
        <v>0.75993091537132984</v>
      </c>
      <c r="Q66" s="230">
        <f>IFERROR(VLOOKUP($B66,MMWR_TRAD_AGG_RO_COMP[],Q$1,0),"ERROR")</f>
        <v>2</v>
      </c>
      <c r="R66" s="230">
        <f>IFERROR(VLOOKUP($B66,MMWR_TRAD_AGG_RO_COMP[],R$1,0),"ERROR")</f>
        <v>363</v>
      </c>
      <c r="S66" s="204">
        <f>IFERROR(VLOOKUP($B66,MMWR_APP_RO[],S$1,0),"ERROR")</f>
        <v>10312</v>
      </c>
      <c r="T66" s="28"/>
    </row>
    <row r="67" spans="1:20" x14ac:dyDescent="0.25">
      <c r="A67" s="28"/>
      <c r="B67" s="108" t="s">
        <v>61</v>
      </c>
      <c r="C67" s="222">
        <f>IFERROR(VLOOKUP($B67,MMWR_TRAD_AGG_RO_COMP[],C$1,0),"ERROR")</f>
        <v>5326</v>
      </c>
      <c r="D67" s="223">
        <f>IFERROR(VLOOKUP($B67,MMWR_TRAD_AGG_RO_COMP[],D$1,0),"ERROR")</f>
        <v>217.2977844536</v>
      </c>
      <c r="E67" s="224">
        <f>IFERROR(VLOOKUP($B67,MMWR_TRAD_AGG_RO_COMP[],E$1,0),"ERROR")</f>
        <v>8960</v>
      </c>
      <c r="F67" s="225">
        <f>IFERROR(VLOOKUP($B67,MMWR_TRAD_AGG_RO_COMP[],F$1,0),"ERROR")</f>
        <v>2110</v>
      </c>
      <c r="G67" s="226">
        <f t="shared" si="0"/>
        <v>0.23549107142857142</v>
      </c>
      <c r="H67" s="227">
        <f>IFERROR(VLOOKUP($B67,MMWR_TRAD_AGG_RO_COMP[],H$1,0),"ERROR")</f>
        <v>8313</v>
      </c>
      <c r="I67" s="225">
        <f>IFERROR(VLOOKUP($B67,MMWR_TRAD_AGG_RO_COMP[],I$1,0),"ERROR")</f>
        <v>4015</v>
      </c>
      <c r="J67" s="226">
        <f t="shared" si="1"/>
        <v>0.48297846746060386</v>
      </c>
      <c r="K67" s="228">
        <f>IFERROR(VLOOKUP($B67,MMWR_TRAD_AGG_RO_COMP[],K$1,0),"ERROR")</f>
        <v>1772</v>
      </c>
      <c r="L67" s="229">
        <f>IFERROR(VLOOKUP($B67,MMWR_TRAD_AGG_RO_COMP[],L$1,0),"ERROR")</f>
        <v>1450</v>
      </c>
      <c r="M67" s="226">
        <f t="shared" si="2"/>
        <v>0.81828442437923254</v>
      </c>
      <c r="N67" s="228">
        <f>IFERROR(VLOOKUP($B67,MMWR_TRAD_AGG_RO_COMP[],N$1,0),"ERROR")</f>
        <v>1653</v>
      </c>
      <c r="O67" s="229">
        <f>IFERROR(VLOOKUP($B67,MMWR_TRAD_AGG_RO_COMP[],O$1,0),"ERROR")</f>
        <v>1295</v>
      </c>
      <c r="P67" s="226">
        <f t="shared" si="3"/>
        <v>0.78342407743496678</v>
      </c>
      <c r="Q67" s="230">
        <f>IFERROR(VLOOKUP($B67,MMWR_TRAD_AGG_RO_COMP[],Q$1,0),"ERROR")</f>
        <v>5</v>
      </c>
      <c r="R67" s="230">
        <f>IFERROR(VLOOKUP($B67,MMWR_TRAD_AGG_RO_COMP[],R$1,0),"ERROR")</f>
        <v>222</v>
      </c>
      <c r="S67" s="204">
        <f>IFERROR(VLOOKUP($B67,MMWR_APP_RO[],S$1,0),"ERROR")</f>
        <v>6433</v>
      </c>
      <c r="T67" s="28"/>
    </row>
    <row r="68" spans="1:20" x14ac:dyDescent="0.25">
      <c r="A68" s="28"/>
      <c r="B68" s="108" t="s">
        <v>75</v>
      </c>
      <c r="C68" s="222">
        <f>IFERROR(VLOOKUP($B68,MMWR_TRAD_AGG_RO_COMP[],C$1,0),"ERROR")</f>
        <v>2208</v>
      </c>
      <c r="D68" s="223">
        <f>IFERROR(VLOOKUP($B68,MMWR_TRAD_AGG_RO_COMP[],D$1,0),"ERROR")</f>
        <v>264.2527173913</v>
      </c>
      <c r="E68" s="224">
        <f>IFERROR(VLOOKUP($B68,MMWR_TRAD_AGG_RO_COMP[],E$1,0),"ERROR")</f>
        <v>2686</v>
      </c>
      <c r="F68" s="225">
        <f>IFERROR(VLOOKUP($B68,MMWR_TRAD_AGG_RO_COMP[],F$1,0),"ERROR")</f>
        <v>928</v>
      </c>
      <c r="G68" s="226">
        <f t="shared" si="0"/>
        <v>0.34549516008935222</v>
      </c>
      <c r="H68" s="227">
        <f>IFERROR(VLOOKUP($B68,MMWR_TRAD_AGG_RO_COMP[],H$1,0),"ERROR")</f>
        <v>3697</v>
      </c>
      <c r="I68" s="225">
        <f>IFERROR(VLOOKUP($B68,MMWR_TRAD_AGG_RO_COMP[],I$1,0),"ERROR")</f>
        <v>2640</v>
      </c>
      <c r="J68" s="226">
        <f t="shared" si="1"/>
        <v>0.71409250743846364</v>
      </c>
      <c r="K68" s="228">
        <f>IFERROR(VLOOKUP($B68,MMWR_TRAD_AGG_RO_COMP[],K$1,0),"ERROR")</f>
        <v>678</v>
      </c>
      <c r="L68" s="229">
        <f>IFERROR(VLOOKUP($B68,MMWR_TRAD_AGG_RO_COMP[],L$1,0),"ERROR")</f>
        <v>616</v>
      </c>
      <c r="M68" s="226">
        <f t="shared" si="2"/>
        <v>0.90855457227138647</v>
      </c>
      <c r="N68" s="228">
        <f>IFERROR(VLOOKUP($B68,MMWR_TRAD_AGG_RO_COMP[],N$1,0),"ERROR")</f>
        <v>1406</v>
      </c>
      <c r="O68" s="229">
        <f>IFERROR(VLOOKUP($B68,MMWR_TRAD_AGG_RO_COMP[],O$1,0),"ERROR")</f>
        <v>794</v>
      </c>
      <c r="P68" s="226">
        <f t="shared" si="3"/>
        <v>0.56472261735419627</v>
      </c>
      <c r="Q68" s="230">
        <f>IFERROR(VLOOKUP($B68,MMWR_TRAD_AGG_RO_COMP[],Q$1,0),"ERROR")</f>
        <v>0</v>
      </c>
      <c r="R68" s="230">
        <f>IFERROR(VLOOKUP($B68,MMWR_TRAD_AGG_RO_COMP[],R$1,0),"ERROR")</f>
        <v>5</v>
      </c>
      <c r="S68" s="204">
        <f>IFERROR(VLOOKUP($B68,MMWR_APP_RO[],S$1,0),"ERROR")</f>
        <v>6083</v>
      </c>
      <c r="T68" s="28"/>
    </row>
    <row r="69" spans="1:20" x14ac:dyDescent="0.25">
      <c r="A69" s="28"/>
      <c r="B69" s="116" t="s">
        <v>80</v>
      </c>
      <c r="C69" s="231">
        <f>IFERROR(VLOOKUP($B69,MMWR_TRAD_AGG_RO_COMP[],C$1,0),"ERROR")</f>
        <v>14850</v>
      </c>
      <c r="D69" s="232">
        <f>IFERROR(VLOOKUP($B69,MMWR_TRAD_AGG_RO_COMP[],D$1,0),"ERROR")</f>
        <v>302.132996633</v>
      </c>
      <c r="E69" s="233">
        <f>IFERROR(VLOOKUP($B69,MMWR_TRAD_AGG_RO_COMP[],E$1,0),"ERROR")</f>
        <v>21768</v>
      </c>
      <c r="F69" s="234">
        <f>IFERROR(VLOOKUP($B69,MMWR_TRAD_AGG_RO_COMP[],F$1,0),"ERROR")</f>
        <v>7094</v>
      </c>
      <c r="G69" s="235">
        <f t="shared" si="0"/>
        <v>0.32589121646453512</v>
      </c>
      <c r="H69" s="236">
        <f>IFERROR(VLOOKUP($B69,MMWR_TRAD_AGG_RO_COMP[],H$1,0),"ERROR")</f>
        <v>18386</v>
      </c>
      <c r="I69" s="234">
        <f>IFERROR(VLOOKUP($B69,MMWR_TRAD_AGG_RO_COMP[],I$1,0),"ERROR")</f>
        <v>10821</v>
      </c>
      <c r="J69" s="235">
        <f t="shared" si="1"/>
        <v>0.58854563254650283</v>
      </c>
      <c r="K69" s="237">
        <f>IFERROR(VLOOKUP($B69,MMWR_TRAD_AGG_RO_COMP[],K$1,0),"ERROR")</f>
        <v>2388</v>
      </c>
      <c r="L69" s="238">
        <f>IFERROR(VLOOKUP($B69,MMWR_TRAD_AGG_RO_COMP[],L$1,0),"ERROR")</f>
        <v>1665</v>
      </c>
      <c r="M69" s="235">
        <f t="shared" si="2"/>
        <v>0.69723618090452266</v>
      </c>
      <c r="N69" s="237">
        <f>IFERROR(VLOOKUP($B69,MMWR_TRAD_AGG_RO_COMP[],N$1,0),"ERROR")</f>
        <v>10611</v>
      </c>
      <c r="O69" s="238">
        <f>IFERROR(VLOOKUP($B69,MMWR_TRAD_AGG_RO_COMP[],O$1,0),"ERROR")</f>
        <v>6372</v>
      </c>
      <c r="P69" s="235">
        <f t="shared" si="3"/>
        <v>0.60050890585241734</v>
      </c>
      <c r="Q69" s="239">
        <f>IFERROR(VLOOKUP($B69,MMWR_TRAD_AGG_RO_COMP[],Q$1,0),"ERROR")</f>
        <v>9</v>
      </c>
      <c r="R69" s="239">
        <f>IFERROR(VLOOKUP($B69,MMWR_TRAD_AGG_RO_COMP[],R$1,0),"ERROR")</f>
        <v>242</v>
      </c>
      <c r="S69" s="204">
        <f>IFERROR(VLOOKUP($B69,MMWR_APP_RO[],S$1,0),"ERROR")</f>
        <v>27621</v>
      </c>
      <c r="T69" s="28"/>
    </row>
    <row r="70" spans="1:20" x14ac:dyDescent="0.25">
      <c r="A70" s="28"/>
      <c r="B70" s="101" t="s">
        <v>8</v>
      </c>
      <c r="C70" s="215">
        <f>IFERROR(VLOOKUP($B70,MMWR_TRAD_AGG_RO_COMP[],C$1,0),"ERROR")</f>
        <v>49</v>
      </c>
      <c r="D70" s="200">
        <f>IFERROR(VLOOKUP($B70,MMWR_TRAD_AGG_RO_COMP[],D$1,0),"ERROR")</f>
        <v>813.71428571429999</v>
      </c>
      <c r="E70" s="216">
        <f>IFERROR(VLOOKUP($B70,MMWR_TRAD_AGG_RO_COMP[],E$1,0),"ERROR")</f>
        <v>1</v>
      </c>
      <c r="F70" s="221">
        <f>IFERROR(VLOOKUP($B70,MMWR_TRAD_AGG_RO_COMP[],F$1,0),"ERROR")</f>
        <v>0</v>
      </c>
      <c r="G70" s="217">
        <f>IFERROR(F70/E70,"0%")</f>
        <v>0</v>
      </c>
      <c r="H70" s="221">
        <f>IFERROR(VLOOKUP($B70,MMWR_TRAD_AGG_RO_COMP[],H$1,0),"ERROR")</f>
        <v>50</v>
      </c>
      <c r="I70" s="221">
        <f>IFERROR(VLOOKUP($B70,MMWR_TRAD_AGG_RO_COMP[],I$1,0),"ERROR")</f>
        <v>50</v>
      </c>
      <c r="J70" s="217">
        <f>IFERROR(I70/H70,"0%")</f>
        <v>1</v>
      </c>
      <c r="K70" s="215">
        <f>IFERROR(VLOOKUP($B70,MMWR_TRAD_AGG_RO_COMP[],K$1,0),"ERROR")</f>
        <v>1</v>
      </c>
      <c r="L70" s="215">
        <f>IFERROR(VLOOKUP($B70,MMWR_TRAD_AGG_RO_COMP[],L$1,0),"ERROR")</f>
        <v>1</v>
      </c>
      <c r="M70" s="217">
        <f>IFERROR(L70/K70,"0%")</f>
        <v>1</v>
      </c>
      <c r="N70" s="215">
        <f>IFERROR(VLOOKUP($B70,MMWR_TRAD_AGG_RO_COMP[],N$1,0),"ERROR")</f>
        <v>19362</v>
      </c>
      <c r="O70" s="215">
        <f>IFERROR(VLOOKUP($B70,MMWR_TRAD_AGG_RO_COMP[],O$1,0),"ERROR")</f>
        <v>5746</v>
      </c>
      <c r="P70" s="217">
        <f>IFERROR(O70/N70,"0%")</f>
        <v>0.29676686292738352</v>
      </c>
      <c r="Q70" s="215">
        <f>IFERROR(VLOOKUP($B70,MMWR_TRAD_AGG_RO_COMP[],Q$1,0),"ERROR")</f>
        <v>0</v>
      </c>
      <c r="R70" s="218">
        <f>IFERROR(VLOOKUP($B70,MMWR_TRAD_AGG_RO_COMP[],R$1,0),"ERROR")</f>
        <v>0</v>
      </c>
      <c r="S70" s="218">
        <f>IFERROR(VLOOKUP($B70,MMWR_APP_RO[],S$1,0),"ERROR")</f>
        <v>12503</v>
      </c>
      <c r="T70" s="28"/>
    </row>
    <row r="71" spans="1:20" x14ac:dyDescent="0.25">
      <c r="A71" s="28"/>
      <c r="B71" s="28"/>
      <c r="C71" s="28"/>
      <c r="D71" s="28"/>
      <c r="E71" s="28"/>
      <c r="F71" s="28"/>
      <c r="G71" s="28"/>
      <c r="H71" s="28"/>
      <c r="I71" s="28"/>
      <c r="J71" s="28"/>
      <c r="K71" s="28"/>
      <c r="L71" s="28"/>
      <c r="M71" s="28"/>
      <c r="N71" s="28"/>
      <c r="O71" s="28"/>
      <c r="P71" s="28"/>
      <c r="Q71" s="28"/>
      <c r="R71" s="28"/>
      <c r="S71" s="28"/>
      <c r="T71" s="28"/>
    </row>
    <row r="72" spans="1:20" ht="24.6" x14ac:dyDescent="0.4">
      <c r="A72" s="25"/>
      <c r="B72" s="25"/>
      <c r="C72" s="451" t="s">
        <v>497</v>
      </c>
      <c r="D72" s="452"/>
      <c r="E72" s="452"/>
      <c r="F72" s="452"/>
      <c r="G72" s="452"/>
      <c r="H72" s="452"/>
      <c r="I72" s="452"/>
      <c r="J72" s="452"/>
      <c r="K72" s="452"/>
      <c r="L72" s="452"/>
      <c r="M72" s="452"/>
      <c r="N72" s="452"/>
      <c r="O72" s="452"/>
      <c r="P72" s="452"/>
      <c r="Q72" s="452"/>
      <c r="R72" s="452"/>
      <c r="S72" s="453"/>
      <c r="T72" s="28"/>
    </row>
    <row r="73" spans="1:20" x14ac:dyDescent="0.25">
      <c r="A73" s="25"/>
      <c r="B73" s="117"/>
      <c r="C73" s="454" t="s">
        <v>233</v>
      </c>
      <c r="D73" s="455"/>
      <c r="E73" s="456" t="s">
        <v>213</v>
      </c>
      <c r="F73" s="457"/>
      <c r="G73" s="458"/>
      <c r="H73" s="456" t="s">
        <v>7</v>
      </c>
      <c r="I73" s="457"/>
      <c r="J73" s="458"/>
      <c r="K73" s="456" t="s">
        <v>33</v>
      </c>
      <c r="L73" s="457"/>
      <c r="M73" s="458"/>
      <c r="N73" s="456" t="s">
        <v>8</v>
      </c>
      <c r="O73" s="457"/>
      <c r="P73" s="458"/>
      <c r="Q73" s="81" t="s">
        <v>9</v>
      </c>
      <c r="R73" s="82" t="s">
        <v>10</v>
      </c>
      <c r="S73" s="82" t="s">
        <v>11</v>
      </c>
      <c r="T73" s="28"/>
    </row>
    <row r="74" spans="1:20" ht="39.6" x14ac:dyDescent="0.25">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498</v>
      </c>
      <c r="T74" s="28"/>
    </row>
    <row r="75" spans="1:20" x14ac:dyDescent="0.25">
      <c r="A75" s="25"/>
      <c r="B75" s="101" t="s">
        <v>472</v>
      </c>
      <c r="C75" s="240">
        <f>IFERROR(VLOOKUP($B75,MMWR_TRAD_AGG_RO_PEN[],C$1,0),"ERROR")</f>
        <v>17840</v>
      </c>
      <c r="D75" s="241">
        <f>IFERROR(VLOOKUP($B75,MMWR_TRAD_AGG_RO_PEN[],D$1,0),"ERROR")</f>
        <v>86.940975336299999</v>
      </c>
      <c r="E75" s="240">
        <f>IFERROR(VLOOKUP($B75,MMWR_TRAD_AGG_RO_PEN[],E$1,0),"ERROR")</f>
        <v>25129</v>
      </c>
      <c r="F75" s="240">
        <f>IFERROR(VLOOKUP($B75,MMWR_TRAD_AGG_RO_PEN[],F$1,0),"ERROR")</f>
        <v>3465</v>
      </c>
      <c r="G75" s="242">
        <f>IFERROR(F75/E75,"0%")</f>
        <v>0.13788849536392217</v>
      </c>
      <c r="H75" s="240">
        <f>IFERROR(VLOOKUP($B75,MMWR_TRAD_AGG_RO_PEN[],H$1,0),"ERROR")</f>
        <v>30171</v>
      </c>
      <c r="I75" s="240">
        <f>IFERROR(VLOOKUP($B75,MMWR_TRAD_AGG_RO_PEN[],I$1,0),"ERROR")</f>
        <v>6798</v>
      </c>
      <c r="J75" s="242">
        <f>IFERROR(I75/H75,"0%")</f>
        <v>0.22531570050710947</v>
      </c>
      <c r="K75" s="240">
        <f>IFERROR(VLOOKUP($B75,MMWR_TRAD_AGG_RO_PEN[],K$1,0),"ERROR")</f>
        <v>889</v>
      </c>
      <c r="L75" s="240">
        <f>IFERROR(VLOOKUP($B75,MMWR_TRAD_AGG_RO_PEN[],L$1,0),"ERROR")</f>
        <v>840</v>
      </c>
      <c r="M75" s="242">
        <f>IFERROR(L75/K75,"0%")</f>
        <v>0.94488188976377951</v>
      </c>
      <c r="N75" s="240">
        <f>IFERROR(VLOOKUP($B75,MMWR_TRAD_AGG_RO_PEN[],N$1,0),"ERROR")</f>
        <v>4661</v>
      </c>
      <c r="O75" s="240">
        <f>IFERROR(VLOOKUP($B75,MMWR_TRAD_AGG_RO_PEN[],O$1,0),"ERROR")</f>
        <v>950</v>
      </c>
      <c r="P75" s="242">
        <f>IFERROR(O75/N75,"0%")</f>
        <v>0.20381892297790175</v>
      </c>
      <c r="Q75" s="240">
        <f>IFERROR(VLOOKUP($B75,MMWR_TRAD_AGG_RO_PEN[],Q$1,0),"ERROR")</f>
        <v>11295</v>
      </c>
      <c r="R75" s="243">
        <f>IFERROR(VLOOKUP($B75,MMWR_TRAD_AGG_RO_PEN[],R$1,0),"ERROR")</f>
        <v>5192</v>
      </c>
      <c r="S75" s="243">
        <f>IFERROR(VLOOKUP($B75,MMWR_APP_RO[],S$1,0),"ERROR")</f>
        <v>5568</v>
      </c>
      <c r="T75" s="28"/>
    </row>
    <row r="76" spans="1:20" x14ac:dyDescent="0.25">
      <c r="A76" s="107"/>
      <c r="B76" s="122" t="s">
        <v>218</v>
      </c>
      <c r="C76" s="244">
        <f>IFERROR(VLOOKUP($B76,MMWR_TRAD_AGG_RO_PEN[],C$1,0),"ERROR")</f>
        <v>12343</v>
      </c>
      <c r="D76" s="245">
        <f>IFERROR(VLOOKUP($B76,MMWR_TRAD_AGG_RO_PEN[],D$1,0),"ERROR")</f>
        <v>99.249453131300001</v>
      </c>
      <c r="E76" s="244">
        <f>IFERROR(VLOOKUP($B76,MMWR_TRAD_AGG_RO_PEN[],E$1,0),"ERROR")</f>
        <v>11750</v>
      </c>
      <c r="F76" s="244">
        <f>IFERROR(VLOOKUP($B76,MMWR_TRAD_AGG_RO_PEN[],F$1,0),"ERROR")</f>
        <v>2651</v>
      </c>
      <c r="G76" s="226">
        <f>IFERROR(F76/E76,"0%")</f>
        <v>0.22561702127659575</v>
      </c>
      <c r="H76" s="244">
        <f>IFERROR(VLOOKUP($B76,MMWR_TRAD_AGG_RO_PEN[],H$1,0),"ERROR")</f>
        <v>19262</v>
      </c>
      <c r="I76" s="244">
        <f>IFERROR(VLOOKUP($B76,MMWR_TRAD_AGG_RO_PEN[],I$1,0),"ERROR")</f>
        <v>5484</v>
      </c>
      <c r="J76" s="226">
        <f>IFERROR(I76/H76,"0%")</f>
        <v>0.28470563804381682</v>
      </c>
      <c r="K76" s="244">
        <f>IFERROR(VLOOKUP($B76,MMWR_TRAD_AGG_RO_PEN[],K$1,0),"ERROR")</f>
        <v>513</v>
      </c>
      <c r="L76" s="244">
        <f>IFERROR(VLOOKUP($B76,MMWR_TRAD_AGG_RO_PEN[],L$1,0),"ERROR")</f>
        <v>485</v>
      </c>
      <c r="M76" s="226">
        <f>IFERROR(L76/K76,"0%")</f>
        <v>0.94541910331384016</v>
      </c>
      <c r="N76" s="244">
        <f>IFERROR(VLOOKUP($B76,MMWR_TRAD_AGG_RO_PEN[],N$1,0),"ERROR")</f>
        <v>3800</v>
      </c>
      <c r="O76" s="244">
        <f>IFERROR(VLOOKUP($B76,MMWR_TRAD_AGG_RO_PEN[],O$1,0),"ERROR")</f>
        <v>563</v>
      </c>
      <c r="P76" s="226">
        <f>IFERROR(O76/N76,"0%")</f>
        <v>0.1481578947368421</v>
      </c>
      <c r="Q76" s="244">
        <f>IFERROR(VLOOKUP($B76,MMWR_TRAD_AGG_RO_PEN[],Q$1,0),"ERROR")</f>
        <v>1357</v>
      </c>
      <c r="R76" s="244">
        <f>IFERROR(VLOOKUP($B76,MMWR_TRAD_AGG_RO_PEN[],R$1,0),"ERROR")</f>
        <v>3571</v>
      </c>
      <c r="S76" s="246">
        <f>IFERROR(VLOOKUP($B76,MMWR_APP_RO[],S$1,0),"ERROR")</f>
        <v>2559</v>
      </c>
      <c r="T76" s="28"/>
    </row>
    <row r="77" spans="1:20" x14ac:dyDescent="0.25">
      <c r="A77" s="107"/>
      <c r="B77" s="122" t="s">
        <v>217</v>
      </c>
      <c r="C77" s="244">
        <f>IFERROR(VLOOKUP($B77,MMWR_TRAD_AGG_RO_PEN[],C$1,0),"ERROR")</f>
        <v>3686</v>
      </c>
      <c r="D77" s="245">
        <f>IFERROR(VLOOKUP($B77,MMWR_TRAD_AGG_RO_PEN[],D$1,0),"ERROR")</f>
        <v>71.290287574600001</v>
      </c>
      <c r="E77" s="244">
        <f>IFERROR(VLOOKUP($B77,MMWR_TRAD_AGG_RO_PEN[],E$1,0),"ERROR")</f>
        <v>6224</v>
      </c>
      <c r="F77" s="244">
        <f>IFERROR(VLOOKUP($B77,MMWR_TRAD_AGG_RO_PEN[],F$1,0),"ERROR")</f>
        <v>498</v>
      </c>
      <c r="G77" s="226">
        <f>IFERROR(F77/E77,"0%")</f>
        <v>8.0012853470437018E-2</v>
      </c>
      <c r="H77" s="244">
        <f>IFERROR(VLOOKUP($B77,MMWR_TRAD_AGG_RO_PEN[],H$1,0),"ERROR")</f>
        <v>6667</v>
      </c>
      <c r="I77" s="244">
        <f>IFERROR(VLOOKUP($B77,MMWR_TRAD_AGG_RO_PEN[],I$1,0),"ERROR")</f>
        <v>565</v>
      </c>
      <c r="J77" s="226">
        <f>IFERROR(I77/H77,"0%")</f>
        <v>8.4745762711864403E-2</v>
      </c>
      <c r="K77" s="244">
        <f>IFERROR(VLOOKUP($B77,MMWR_TRAD_AGG_RO_PEN[],K$1,0),"ERROR")</f>
        <v>80</v>
      </c>
      <c r="L77" s="244">
        <f>IFERROR(VLOOKUP($B77,MMWR_TRAD_AGG_RO_PEN[],L$1,0),"ERROR")</f>
        <v>79</v>
      </c>
      <c r="M77" s="226">
        <f>IFERROR(L77/K77,"0%")</f>
        <v>0.98750000000000004</v>
      </c>
      <c r="N77" s="244">
        <f>IFERROR(VLOOKUP($B77,MMWR_TRAD_AGG_RO_PEN[],N$1,0),"ERROR")</f>
        <v>459</v>
      </c>
      <c r="O77" s="244">
        <f>IFERROR(VLOOKUP($B77,MMWR_TRAD_AGG_RO_PEN[],O$1,0),"ERROR")</f>
        <v>102</v>
      </c>
      <c r="P77" s="226">
        <f>IFERROR(O77/N77,"0%")</f>
        <v>0.22222222222222221</v>
      </c>
      <c r="Q77" s="244">
        <f>IFERROR(VLOOKUP($B77,MMWR_TRAD_AGG_RO_PEN[],Q$1,0),"ERROR")</f>
        <v>5092</v>
      </c>
      <c r="R77" s="244">
        <f>IFERROR(VLOOKUP($B77,MMWR_TRAD_AGG_RO_PEN[],R$1,0),"ERROR")</f>
        <v>504</v>
      </c>
      <c r="S77" s="246">
        <f>IFERROR(VLOOKUP($B77,MMWR_APP_RO[],S$1,0),"ERROR")</f>
        <v>1948</v>
      </c>
      <c r="T77" s="28"/>
    </row>
    <row r="78" spans="1:20" x14ac:dyDescent="0.25">
      <c r="A78" s="107"/>
      <c r="B78" s="122" t="s">
        <v>220</v>
      </c>
      <c r="C78" s="244">
        <f>IFERROR(VLOOKUP($B78,MMWR_TRAD_AGG_RO_PEN[],C$1,0),"ERROR")</f>
        <v>1811</v>
      </c>
      <c r="D78" s="245">
        <f>IFERROR(VLOOKUP($B78,MMWR_TRAD_AGG_RO_PEN[],D$1,0),"ERROR")</f>
        <v>34.906129210400003</v>
      </c>
      <c r="E78" s="244">
        <f>IFERROR(VLOOKUP($B78,MMWR_TRAD_AGG_RO_PEN[],E$1,0),"ERROR")</f>
        <v>6917</v>
      </c>
      <c r="F78" s="244">
        <f>IFERROR(VLOOKUP($B78,MMWR_TRAD_AGG_RO_PEN[],F$1,0),"ERROR")</f>
        <v>217</v>
      </c>
      <c r="G78" s="226">
        <f>IFERROR(F78/E78,"0%")</f>
        <v>3.1371982073153101E-2</v>
      </c>
      <c r="H78" s="244">
        <f>IFERROR(VLOOKUP($B78,MMWR_TRAD_AGG_RO_PEN[],H$1,0),"ERROR")</f>
        <v>3347</v>
      </c>
      <c r="I78" s="244">
        <f>IFERROR(VLOOKUP($B78,MMWR_TRAD_AGG_RO_PEN[],I$1,0),"ERROR")</f>
        <v>20</v>
      </c>
      <c r="J78" s="226">
        <f>IFERROR(I78/H78,"0%")</f>
        <v>5.9755004481625339E-3</v>
      </c>
      <c r="K78" s="244">
        <f>IFERROR(VLOOKUP($B78,MMWR_TRAD_AGG_RO_PEN[],K$1,0),"ERROR")</f>
        <v>13</v>
      </c>
      <c r="L78" s="244">
        <f>IFERROR(VLOOKUP($B78,MMWR_TRAD_AGG_RO_PEN[],L$1,0),"ERROR")</f>
        <v>3</v>
      </c>
      <c r="M78" s="226">
        <f>IFERROR(L78/K78,"0%")</f>
        <v>0.23076923076923078</v>
      </c>
      <c r="N78" s="244">
        <f>IFERROR(VLOOKUP($B78,MMWR_TRAD_AGG_RO_PEN[],N$1,0),"ERROR")</f>
        <v>99</v>
      </c>
      <c r="O78" s="244">
        <f>IFERROR(VLOOKUP($B78,MMWR_TRAD_AGG_RO_PEN[],O$1,0),"ERROR")</f>
        <v>36</v>
      </c>
      <c r="P78" s="226">
        <f>IFERROR(O78/N78,"0%")</f>
        <v>0.36363636363636365</v>
      </c>
      <c r="Q78" s="244">
        <f>IFERROR(VLOOKUP($B78,MMWR_TRAD_AGG_RO_PEN[],Q$1,0),"ERROR")</f>
        <v>4729</v>
      </c>
      <c r="R78" s="244">
        <f>IFERROR(VLOOKUP($B78,MMWR_TRAD_AGG_RO_PEN[],R$1,0),"ERROR")</f>
        <v>1117</v>
      </c>
      <c r="S78" s="246">
        <f>IFERROR(VLOOKUP($B78,MMWR_APP_RO[],S$1,0),"ERROR")</f>
        <v>1061</v>
      </c>
      <c r="T78" s="28"/>
    </row>
    <row r="79" spans="1:20" x14ac:dyDescent="0.25">
      <c r="A79" s="92"/>
      <c r="B79" s="101" t="s">
        <v>232</v>
      </c>
      <c r="C79" s="221">
        <f>IFERROR(VLOOKUP($B79,MMWR_TRAD_AGG_RO_PEN[],C$1,0),"ERROR")</f>
        <v>0</v>
      </c>
      <c r="D79" s="192">
        <f>IFERROR(VLOOKUP($B79,MMWR_TRAD_AGG_RO_PEN[],D$1,0),"ERROR")</f>
        <v>0</v>
      </c>
      <c r="E79" s="221">
        <f>IFERROR(VLOOKUP($B79,MMWR_TRAD_AGG_RO_PEN[],E$1,0),"ERROR")</f>
        <v>238</v>
      </c>
      <c r="F79" s="221">
        <f>IFERROR(VLOOKUP($B79,MMWR_TRAD_AGG_RO_PEN[],F$1,0),"ERROR")</f>
        <v>99</v>
      </c>
      <c r="G79" s="217">
        <f>IFERROR(F79/E79,"0%")</f>
        <v>0.41596638655462187</v>
      </c>
      <c r="H79" s="221">
        <f>IFERROR(VLOOKUP($B79,MMWR_TRAD_AGG_RO_PEN[],H$1,0),"ERROR")</f>
        <v>895</v>
      </c>
      <c r="I79" s="221">
        <f>IFERROR(VLOOKUP($B79,MMWR_TRAD_AGG_RO_PEN[],I$1,0),"ERROR")</f>
        <v>729</v>
      </c>
      <c r="J79" s="217">
        <f>IFERROR(I79/H79,"0%")</f>
        <v>0.81452513966480444</v>
      </c>
      <c r="K79" s="221">
        <f>IFERROR(VLOOKUP($B79,MMWR_TRAD_AGG_RO_PEN[],K$1,0),"ERROR")</f>
        <v>283</v>
      </c>
      <c r="L79" s="221">
        <f>IFERROR(VLOOKUP($B79,MMWR_TRAD_AGG_RO_PEN[],L$1,0),"ERROR")</f>
        <v>273</v>
      </c>
      <c r="M79" s="217">
        <f>IFERROR(L79/K79,"0%")</f>
        <v>0.96466431095406358</v>
      </c>
      <c r="N79" s="221">
        <f>IFERROR(VLOOKUP($B79,MMWR_TRAD_AGG_RO_PEN[],N$1,0),"ERROR")</f>
        <v>303</v>
      </c>
      <c r="O79" s="221">
        <f>IFERROR(VLOOKUP($B79,MMWR_TRAD_AGG_RO_PEN[],O$1,0),"ERROR")</f>
        <v>249</v>
      </c>
      <c r="P79" s="217">
        <f>IFERROR(O79/N79,"0%")</f>
        <v>0.82178217821782173</v>
      </c>
      <c r="Q79" s="221">
        <f>IFERROR(VLOOKUP($B79,MMWR_TRAD_AGG_RO_PEN[],Q$1,0),"ERROR")</f>
        <v>117</v>
      </c>
      <c r="R79" s="247">
        <f>IFERROR(VLOOKUP($B79,MMWR_TRAD_AGG_RO_PEN[],R$1,0),"ERROR")</f>
        <v>0</v>
      </c>
      <c r="S79" s="247"/>
      <c r="T79" s="28"/>
    </row>
    <row r="80" spans="1:20" x14ac:dyDescent="0.25">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3.2" zeroHeight="1" x14ac:dyDescent="0.25"/>
  <cols>
    <col min="1" max="1" width="2.88671875" style="28" customWidth="1"/>
    <col min="2" max="2" width="26.33203125" style="28" customWidth="1"/>
    <col min="3" max="19" width="12.88671875" style="28" customWidth="1"/>
    <col min="20" max="20" width="2.88671875" style="28" customWidth="1"/>
    <col min="21" max="16384" width="9.109375" style="28" hidden="1"/>
  </cols>
  <sheetData>
    <row r="1" spans="1:20" s="123" customFormat="1" ht="15" customHeight="1" x14ac:dyDescent="0.25">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4.6" x14ac:dyDescent="0.4">
      <c r="A2" s="25"/>
      <c r="B2" s="26"/>
      <c r="C2" s="451" t="str">
        <f>UPPER("INVENTORY BY STATE "&amp;Transformation!B4)</f>
        <v>INVENTORY BY STATE AS OF: AUGUST 29, 2015</v>
      </c>
      <c r="D2" s="452"/>
      <c r="E2" s="452"/>
      <c r="F2" s="452"/>
      <c r="G2" s="452"/>
      <c r="H2" s="452"/>
      <c r="I2" s="452"/>
      <c r="J2" s="452"/>
      <c r="K2" s="452"/>
      <c r="L2" s="452"/>
      <c r="M2" s="452"/>
      <c r="N2" s="452"/>
      <c r="O2" s="452"/>
      <c r="P2" s="452"/>
      <c r="Q2" s="452"/>
      <c r="R2" s="452"/>
      <c r="S2" s="453"/>
      <c r="T2" s="28"/>
    </row>
    <row r="3" spans="1:20" s="123" customFormat="1" x14ac:dyDescent="0.25">
      <c r="A3" s="25"/>
      <c r="B3" s="26"/>
      <c r="C3" s="459" t="s">
        <v>233</v>
      </c>
      <c r="D3" s="459"/>
      <c r="E3" s="456" t="s">
        <v>213</v>
      </c>
      <c r="F3" s="457"/>
      <c r="G3" s="458"/>
      <c r="H3" s="456" t="s">
        <v>7</v>
      </c>
      <c r="I3" s="457"/>
      <c r="J3" s="458"/>
      <c r="K3" s="456" t="s">
        <v>33</v>
      </c>
      <c r="L3" s="457"/>
      <c r="M3" s="458"/>
      <c r="N3" s="456" t="s">
        <v>8</v>
      </c>
      <c r="O3" s="457"/>
      <c r="P3" s="458"/>
      <c r="Q3" s="81" t="s">
        <v>9</v>
      </c>
      <c r="R3" s="82" t="s">
        <v>10</v>
      </c>
      <c r="S3" s="82" t="s">
        <v>11</v>
      </c>
      <c r="T3" s="28"/>
    </row>
    <row r="4" spans="1:20" s="123" customFormat="1" ht="39.6" x14ac:dyDescent="0.25">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498</v>
      </c>
      <c r="T4" s="28"/>
    </row>
    <row r="5" spans="1:20" s="123" customFormat="1" ht="24.6" x14ac:dyDescent="0.4">
      <c r="A5" s="25"/>
      <c r="B5" s="124"/>
      <c r="C5" s="451" t="s">
        <v>496</v>
      </c>
      <c r="D5" s="452"/>
      <c r="E5" s="452"/>
      <c r="F5" s="452"/>
      <c r="G5" s="452"/>
      <c r="H5" s="452"/>
      <c r="I5" s="452"/>
      <c r="J5" s="452"/>
      <c r="K5" s="452"/>
      <c r="L5" s="452"/>
      <c r="M5" s="452"/>
      <c r="N5" s="452"/>
      <c r="O5" s="452"/>
      <c r="P5" s="452"/>
      <c r="Q5" s="452"/>
      <c r="R5" s="452"/>
      <c r="S5" s="453"/>
      <c r="T5" s="28"/>
    </row>
    <row r="6" spans="1:20" s="123" customFormat="1" x14ac:dyDescent="0.25">
      <c r="A6" s="92"/>
      <c r="B6" s="125" t="s">
        <v>471</v>
      </c>
      <c r="C6" s="94">
        <f>IFERROR(VLOOKUP($B6,MMWR_TRAD_AGG_ST_DISTRICT_COMP[],C$1,0),"ERROR")</f>
        <v>352017</v>
      </c>
      <c r="D6" s="95">
        <f>IFERROR(VLOOKUP($B6,MMWR_TRAD_AGG_ST_DISTRICT_COMP[],D$1,0),"ERROR")</f>
        <v>372.03491592739999</v>
      </c>
      <c r="E6" s="96">
        <f>IFERROR(VLOOKUP($B6,MMWR_TRAD_AGG_ST_DISTRICT_COMP[],E$1,0),"ERROR")</f>
        <v>332613</v>
      </c>
      <c r="F6" s="97">
        <f>IFERROR(VLOOKUP($B6,MMWR_TRAD_AGG_ST_DISTRICT_COMP[],F$1,0),"ERROR")</f>
        <v>90510</v>
      </c>
      <c r="G6" s="98">
        <f t="shared" ref="G6:G37" si="0">IFERROR(F6/E6,"0%")</f>
        <v>0.27211804709978266</v>
      </c>
      <c r="H6" s="96">
        <f>IFERROR(VLOOKUP($B6,MMWR_TRAD_AGG_ST_DISTRICT_COMP[],H$1,0),"ERROR")</f>
        <v>498359</v>
      </c>
      <c r="I6" s="97">
        <f>IFERROR(VLOOKUP($B6,MMWR_TRAD_AGG_ST_DISTRICT_COMP[],I$1,0),"ERROR")</f>
        <v>303690</v>
      </c>
      <c r="J6" s="99">
        <f t="shared" ref="J6:J37" si="1">IFERROR(I6/H6,"0%")</f>
        <v>0.60937998511113478</v>
      </c>
      <c r="K6" s="96">
        <f>IFERROR(VLOOKUP($B6,MMWR_TRAD_AGG_ST_DISTRICT_COMP[],K$1,0),"ERROR")</f>
        <v>84595</v>
      </c>
      <c r="L6" s="97">
        <f>IFERROR(VLOOKUP($B6,MMWR_TRAD_AGG_ST_DISTRICT_COMP[],L$1,0),"ERROR")</f>
        <v>65401</v>
      </c>
      <c r="M6" s="99">
        <f t="shared" ref="M6:M37" si="2">IFERROR(L6/K6,"0%")</f>
        <v>0.77310715763342985</v>
      </c>
      <c r="N6" s="96">
        <f>IFERROR(VLOOKUP($B6,MMWR_TRAD_AGG_ST_DISTRICT_COMP[],N$1,0),"ERROR")</f>
        <v>161652</v>
      </c>
      <c r="O6" s="97">
        <f>IFERROR(VLOOKUP($B6,MMWR_TRAD_AGG_ST_DISTRICT_COMP[],O$1,0),"ERROR")</f>
        <v>101194</v>
      </c>
      <c r="P6" s="99">
        <f t="shared" ref="P6:P37" si="3">IFERROR(O6/N6,"0%")</f>
        <v>0.62599905970850966</v>
      </c>
      <c r="Q6" s="100">
        <f>IFERROR(VLOOKUP($B6,MMWR_TRAD_AGG_ST_DISTRICT_COMP[],Q$1,0),"ERROR")</f>
        <v>9491</v>
      </c>
      <c r="R6" s="100">
        <f>IFERROR(VLOOKUP($B6,MMWR_TRAD_AGG_ST_DISTRICT_COMP[],R$1,0),"ERROR")</f>
        <v>4405</v>
      </c>
      <c r="S6" s="100">
        <f>S7+S23+S36+S46+S56+S64</f>
        <v>303098</v>
      </c>
      <c r="T6" s="28"/>
    </row>
    <row r="7" spans="1:20" s="123" customFormat="1" x14ac:dyDescent="0.25">
      <c r="A7" s="92"/>
      <c r="B7" s="126" t="s">
        <v>379</v>
      </c>
      <c r="C7" s="102">
        <f>IF(SUM(C8:C22)&lt;&gt;VLOOKUP($B7,MMWR_TRAD_AGG_ST_DISTRICT_COMP[],C$1,0),"ERROR",
VLOOKUP($B7,MMWR_TRAD_AGG_ST_DISTRICT_COMP[],C$1,0))</f>
        <v>73982</v>
      </c>
      <c r="D7" s="103">
        <f>IFERROR(VLOOKUP($B7,MMWR_TRAD_AGG_ST_DISTRICT_COMP[],D$1,0),"ERROR")</f>
        <v>401.66664864429998</v>
      </c>
      <c r="E7" s="102">
        <f>IF(SUM(E8:E22)&lt;&gt;VLOOKUP($B7,MMWR_TRAD_AGG_ST_DISTRICT_COMP[],E$1,0),"ERROR",
VLOOKUP($B7,MMWR_TRAD_AGG_ST_DISTRICT_COMP[],E$1,0))</f>
        <v>72615</v>
      </c>
      <c r="F7" s="102">
        <f>IFERROR(VLOOKUP($B7,MMWR_TRAD_AGG_ST_DISTRICT_COMP[],F$1,0),"ERROR")</f>
        <v>19935</v>
      </c>
      <c r="G7" s="104">
        <f t="shared" si="0"/>
        <v>0.27453005577360051</v>
      </c>
      <c r="H7" s="102">
        <f>IF(SUM(H8:H22)&lt;&gt;VLOOKUP($B7,MMWR_TRAD_AGG_ST_DISTRICT_COMP[],H$1,0),"ERROR",
VLOOKUP($B7,MMWR_TRAD_AGG_ST_DISTRICT_COMP[],H$1,0))</f>
        <v>103429</v>
      </c>
      <c r="I7" s="102">
        <f>IF(SUM(I8:I22)&lt;&gt;VLOOKUP($B7,MMWR_TRAD_AGG_ST_DISTRICT_COMP[],I$1,0),"ERROR",
VLOOKUP($B7,MMWR_TRAD_AGG_ST_DISTRICT_COMP[],I$1,0))</f>
        <v>63795</v>
      </c>
      <c r="J7" s="105">
        <f t="shared" si="1"/>
        <v>0.61679993038702874</v>
      </c>
      <c r="K7" s="102">
        <f>IF(SUM(K8:K22)&lt;&gt;VLOOKUP($B7,MMWR_TRAD_AGG_ST_DISTRICT_COMP[],K$1,0),"ERROR",
VLOOKUP($B7,MMWR_TRAD_AGG_ST_DISTRICT_COMP[],K$1,0))</f>
        <v>20205</v>
      </c>
      <c r="L7" s="102">
        <f>IF(SUM(L8:L22)&lt;&gt;VLOOKUP($B7,MMWR_TRAD_AGG_ST_DISTRICT_COMP[],L$1,0),"ERROR",
VLOOKUP($B7,MMWR_TRAD_AGG_ST_DISTRICT_COMP[],L$1,0))</f>
        <v>15431</v>
      </c>
      <c r="M7" s="105">
        <f t="shared" si="2"/>
        <v>0.76372185102697354</v>
      </c>
      <c r="N7" s="102">
        <f>IF(SUM(N8:N22)&lt;&gt;VLOOKUP($B7,MMWR_TRAD_AGG_ST_DISTRICT_COMP[],N$1,0),"ERROR",
VLOOKUP($B7,MMWR_TRAD_AGG_ST_DISTRICT_COMP[],N$1,0))</f>
        <v>34460</v>
      </c>
      <c r="O7" s="102">
        <f>IF(SUM(O8:O22)&lt;&gt;VLOOKUP($B7,MMWR_TRAD_AGG_ST_DISTRICT_COMP[],O$1,0),"ERROR",
VLOOKUP($B7,MMWR_TRAD_AGG_ST_DISTRICT_COMP[],O$1,0))</f>
        <v>22055</v>
      </c>
      <c r="P7" s="105">
        <f t="shared" si="3"/>
        <v>0.64001741149158442</v>
      </c>
      <c r="Q7" s="102">
        <f>IF(SUM(Q8:Q22)&lt;&gt;VLOOKUP($B7,MMWR_TRAD_AGG_ST_DISTRICT_COMP[],Q$1,0),"ERROR",
VLOOKUP($B7,MMWR_TRAD_AGG_ST_DISTRICT_COMP[],Q$1,0))</f>
        <v>5952</v>
      </c>
      <c r="R7" s="106">
        <f>IFERROR(VLOOKUP($B7,MMWR_TRAD_AGG_ST_DISTRICT_COMP[],R$1,0),"ERROR")</f>
        <v>163</v>
      </c>
      <c r="S7" s="106">
        <f>SUM(S8:S22)</f>
        <v>55298</v>
      </c>
      <c r="T7" s="28"/>
    </row>
    <row r="8" spans="1:20" s="123" customFormat="1" x14ac:dyDescent="0.25">
      <c r="A8" s="107"/>
      <c r="B8" s="127" t="s">
        <v>383</v>
      </c>
      <c r="C8" s="109">
        <f>IFERROR(VLOOKUP($B8,MMWR_TRAD_AGG_STATE_COMP[],C$1,0),"ERROR")</f>
        <v>1998</v>
      </c>
      <c r="D8" s="110">
        <f>IFERROR(VLOOKUP($B8,MMWR_TRAD_AGG_STATE_COMP[],D$1,0),"ERROR")</f>
        <v>253.93643643639999</v>
      </c>
      <c r="E8" s="111">
        <f>IFERROR(VLOOKUP($B8,MMWR_TRAD_AGG_STATE_COMP[],E$1,0),"ERROR")</f>
        <v>1848</v>
      </c>
      <c r="F8" s="112">
        <f>IFERROR(VLOOKUP($B8,MMWR_TRAD_AGG_STATE_COMP[],F$1,0),"ERROR")</f>
        <v>421</v>
      </c>
      <c r="G8" s="113">
        <f t="shared" si="0"/>
        <v>0.2278138528138528</v>
      </c>
      <c r="H8" s="111">
        <f>IFERROR(VLOOKUP($B8,MMWR_TRAD_AGG_STATE_COMP[],H$1,0),"ERROR")</f>
        <v>3622</v>
      </c>
      <c r="I8" s="112">
        <f>IFERROR(VLOOKUP($B8,MMWR_TRAD_AGG_STATE_COMP[],I$1,0),"ERROR")</f>
        <v>1791</v>
      </c>
      <c r="J8" s="114">
        <f t="shared" si="1"/>
        <v>0.49447818884594147</v>
      </c>
      <c r="K8" s="111">
        <f>IFERROR(VLOOKUP($B8,MMWR_TRAD_AGG_STATE_COMP[],K$1,0),"ERROR")</f>
        <v>410</v>
      </c>
      <c r="L8" s="112">
        <f>IFERROR(VLOOKUP($B8,MMWR_TRAD_AGG_STATE_COMP[],L$1,0),"ERROR")</f>
        <v>301</v>
      </c>
      <c r="M8" s="114">
        <f t="shared" si="2"/>
        <v>0.73414634146341462</v>
      </c>
      <c r="N8" s="111">
        <f>IFERROR(VLOOKUP($B8,MMWR_TRAD_AGG_STATE_COMP[],N$1,0),"ERROR")</f>
        <v>809</v>
      </c>
      <c r="O8" s="112">
        <f>IFERROR(VLOOKUP($B8,MMWR_TRAD_AGG_STATE_COMP[],O$1,0),"ERROR")</f>
        <v>492</v>
      </c>
      <c r="P8" s="114">
        <f t="shared" si="3"/>
        <v>0.60815822002472186</v>
      </c>
      <c r="Q8" s="115">
        <f>IFERROR(VLOOKUP($B8,MMWR_TRAD_AGG_STATE_COMP[],Q$1,0),"ERROR")</f>
        <v>195</v>
      </c>
      <c r="R8" s="115">
        <f>IFERROR(VLOOKUP($B8,MMWR_TRAD_AGG_STATE_COMP[],R$1,0),"ERROR")</f>
        <v>3</v>
      </c>
      <c r="S8" s="115">
        <f>IFERROR(VLOOKUP($B8,MMWR_APP_STATE_COMP[],S$1,0),"ERROR")</f>
        <v>948</v>
      </c>
      <c r="T8" s="28"/>
    </row>
    <row r="9" spans="1:20" s="123" customFormat="1" x14ac:dyDescent="0.25">
      <c r="A9" s="107"/>
      <c r="B9" s="127" t="s">
        <v>433</v>
      </c>
      <c r="C9" s="109">
        <f>IFERROR(VLOOKUP($B9,MMWR_TRAD_AGG_STATE_COMP[],C$1,0),"ERROR")</f>
        <v>1052</v>
      </c>
      <c r="D9" s="110">
        <f>IFERROR(VLOOKUP($B9,MMWR_TRAD_AGG_STATE_COMP[],D$1,0),"ERROR")</f>
        <v>351.28326996200002</v>
      </c>
      <c r="E9" s="111">
        <f>IFERROR(VLOOKUP($B9,MMWR_TRAD_AGG_STATE_COMP[],E$1,0),"ERROR")</f>
        <v>987</v>
      </c>
      <c r="F9" s="112">
        <f>IFERROR(VLOOKUP($B9,MMWR_TRAD_AGG_STATE_COMP[],F$1,0),"ERROR")</f>
        <v>326</v>
      </c>
      <c r="G9" s="113">
        <f t="shared" si="0"/>
        <v>0.33029381965552179</v>
      </c>
      <c r="H9" s="111">
        <f>IFERROR(VLOOKUP($B9,MMWR_TRAD_AGG_STATE_COMP[],H$1,0),"ERROR")</f>
        <v>1264</v>
      </c>
      <c r="I9" s="112">
        <f>IFERROR(VLOOKUP($B9,MMWR_TRAD_AGG_STATE_COMP[],I$1,0),"ERROR")</f>
        <v>701</v>
      </c>
      <c r="J9" s="114">
        <f t="shared" si="1"/>
        <v>0.55458860759493667</v>
      </c>
      <c r="K9" s="111">
        <f>IFERROR(VLOOKUP($B9,MMWR_TRAD_AGG_STATE_COMP[],K$1,0),"ERROR")</f>
        <v>68</v>
      </c>
      <c r="L9" s="112">
        <f>IFERROR(VLOOKUP($B9,MMWR_TRAD_AGG_STATE_COMP[],L$1,0),"ERROR")</f>
        <v>52</v>
      </c>
      <c r="M9" s="114">
        <f t="shared" si="2"/>
        <v>0.76470588235294112</v>
      </c>
      <c r="N9" s="111">
        <f>IFERROR(VLOOKUP($B9,MMWR_TRAD_AGG_STATE_COMP[],N$1,0),"ERROR")</f>
        <v>384</v>
      </c>
      <c r="O9" s="112">
        <f>IFERROR(VLOOKUP($B9,MMWR_TRAD_AGG_STATE_COMP[],O$1,0),"ERROR")</f>
        <v>190</v>
      </c>
      <c r="P9" s="114">
        <f t="shared" si="3"/>
        <v>0.49479166666666669</v>
      </c>
      <c r="Q9" s="115">
        <f>IFERROR(VLOOKUP($B9,MMWR_TRAD_AGG_STATE_COMP[],Q$1,0),"ERROR")</f>
        <v>43</v>
      </c>
      <c r="R9" s="115">
        <f>IFERROR(VLOOKUP($B9,MMWR_TRAD_AGG_STATE_COMP[],R$1,0),"ERROR")</f>
        <v>1</v>
      </c>
      <c r="S9" s="115">
        <f>IFERROR(VLOOKUP($B9,MMWR_APP_STATE_COMP[],S$1,0),"ERROR")</f>
        <v>499</v>
      </c>
      <c r="T9" s="28"/>
    </row>
    <row r="10" spans="1:20" s="123" customFormat="1" x14ac:dyDescent="0.25">
      <c r="A10" s="107"/>
      <c r="B10" s="127" t="s">
        <v>424</v>
      </c>
      <c r="C10" s="109">
        <f>IFERROR(VLOOKUP($B10,MMWR_TRAD_AGG_STATE_COMP[],C$1,0),"ERROR")</f>
        <v>500</v>
      </c>
      <c r="D10" s="110">
        <f>IFERROR(VLOOKUP($B10,MMWR_TRAD_AGG_STATE_COMP[],D$1,0),"ERROR")</f>
        <v>489.06400000000002</v>
      </c>
      <c r="E10" s="111">
        <f>IFERROR(VLOOKUP($B10,MMWR_TRAD_AGG_STATE_COMP[],E$1,0),"ERROR")</f>
        <v>493</v>
      </c>
      <c r="F10" s="112">
        <f>IFERROR(VLOOKUP($B10,MMWR_TRAD_AGG_STATE_COMP[],F$1,0),"ERROR")</f>
        <v>158</v>
      </c>
      <c r="G10" s="113">
        <f t="shared" si="0"/>
        <v>0.32048681541582152</v>
      </c>
      <c r="H10" s="111">
        <f>IFERROR(VLOOKUP($B10,MMWR_TRAD_AGG_STATE_COMP[],H$1,0),"ERROR")</f>
        <v>702</v>
      </c>
      <c r="I10" s="112">
        <f>IFERROR(VLOOKUP($B10,MMWR_TRAD_AGG_STATE_COMP[],I$1,0),"ERROR")</f>
        <v>461</v>
      </c>
      <c r="J10" s="114">
        <f t="shared" si="1"/>
        <v>0.65669515669515666</v>
      </c>
      <c r="K10" s="111">
        <f>IFERROR(VLOOKUP($B10,MMWR_TRAD_AGG_STATE_COMP[],K$1,0),"ERROR")</f>
        <v>123</v>
      </c>
      <c r="L10" s="112">
        <f>IFERROR(VLOOKUP($B10,MMWR_TRAD_AGG_STATE_COMP[],L$1,0),"ERROR")</f>
        <v>101</v>
      </c>
      <c r="M10" s="114">
        <f t="shared" si="2"/>
        <v>0.82113821138211385</v>
      </c>
      <c r="N10" s="111">
        <f>IFERROR(VLOOKUP($B10,MMWR_TRAD_AGG_STATE_COMP[],N$1,0),"ERROR")</f>
        <v>331</v>
      </c>
      <c r="O10" s="112">
        <f>IFERROR(VLOOKUP($B10,MMWR_TRAD_AGG_STATE_COMP[],O$1,0),"ERROR")</f>
        <v>235</v>
      </c>
      <c r="P10" s="114">
        <f t="shared" si="3"/>
        <v>0.70996978851963743</v>
      </c>
      <c r="Q10" s="115">
        <f>IFERROR(VLOOKUP($B10,MMWR_TRAD_AGG_STATE_COMP[],Q$1,0),"ERROR")</f>
        <v>21</v>
      </c>
      <c r="R10" s="115">
        <f>IFERROR(VLOOKUP($B10,MMWR_TRAD_AGG_STATE_COMP[],R$1,0),"ERROR")</f>
        <v>1</v>
      </c>
      <c r="S10" s="115">
        <f>IFERROR(VLOOKUP($B10,MMWR_APP_STATE_COMP[],S$1,0),"ERROR")</f>
        <v>565</v>
      </c>
      <c r="T10" s="28"/>
    </row>
    <row r="11" spans="1:20" s="123" customFormat="1" x14ac:dyDescent="0.25">
      <c r="A11" s="107"/>
      <c r="B11" s="127" t="s">
        <v>426</v>
      </c>
      <c r="C11" s="109">
        <f>IFERROR(VLOOKUP($B11,MMWR_TRAD_AGG_STATE_COMP[],C$1,0),"ERROR")</f>
        <v>1566</v>
      </c>
      <c r="D11" s="110">
        <f>IFERROR(VLOOKUP($B11,MMWR_TRAD_AGG_STATE_COMP[],D$1,0),"ERROR")</f>
        <v>263.44636015330002</v>
      </c>
      <c r="E11" s="111">
        <f>IFERROR(VLOOKUP($B11,MMWR_TRAD_AGG_STATE_COMP[],E$1,0),"ERROR")</f>
        <v>1247</v>
      </c>
      <c r="F11" s="112">
        <f>IFERROR(VLOOKUP($B11,MMWR_TRAD_AGG_STATE_COMP[],F$1,0),"ERROR")</f>
        <v>170</v>
      </c>
      <c r="G11" s="113">
        <f t="shared" si="0"/>
        <v>0.13632718524458701</v>
      </c>
      <c r="H11" s="111">
        <f>IFERROR(VLOOKUP($B11,MMWR_TRAD_AGG_STATE_COMP[],H$1,0),"ERROR")</f>
        <v>2163</v>
      </c>
      <c r="I11" s="112">
        <f>IFERROR(VLOOKUP($B11,MMWR_TRAD_AGG_STATE_COMP[],I$1,0),"ERROR")</f>
        <v>1052</v>
      </c>
      <c r="J11" s="114">
        <f t="shared" si="1"/>
        <v>0.48636153490522421</v>
      </c>
      <c r="K11" s="111">
        <f>IFERROR(VLOOKUP($B11,MMWR_TRAD_AGG_STATE_COMP[],K$1,0),"ERROR")</f>
        <v>912</v>
      </c>
      <c r="L11" s="112">
        <f>IFERROR(VLOOKUP($B11,MMWR_TRAD_AGG_STATE_COMP[],L$1,0),"ERROR")</f>
        <v>516</v>
      </c>
      <c r="M11" s="114">
        <f t="shared" si="2"/>
        <v>0.56578947368421051</v>
      </c>
      <c r="N11" s="111">
        <f>IFERROR(VLOOKUP($B11,MMWR_TRAD_AGG_STATE_COMP[],N$1,0),"ERROR")</f>
        <v>325</v>
      </c>
      <c r="O11" s="112">
        <f>IFERROR(VLOOKUP($B11,MMWR_TRAD_AGG_STATE_COMP[],O$1,0),"ERROR")</f>
        <v>179</v>
      </c>
      <c r="P11" s="114">
        <f t="shared" si="3"/>
        <v>0.55076923076923079</v>
      </c>
      <c r="Q11" s="115">
        <f>IFERROR(VLOOKUP($B11,MMWR_TRAD_AGG_STATE_COMP[],Q$1,0),"ERROR")</f>
        <v>250</v>
      </c>
      <c r="R11" s="115">
        <f>IFERROR(VLOOKUP($B11,MMWR_TRAD_AGG_STATE_COMP[],R$1,0),"ERROR")</f>
        <v>2</v>
      </c>
      <c r="S11" s="115">
        <f>IFERROR(VLOOKUP($B11,MMWR_APP_STATE_COMP[],S$1,0),"ERROR")</f>
        <v>422</v>
      </c>
      <c r="T11" s="28"/>
    </row>
    <row r="12" spans="1:20" s="123" customFormat="1" x14ac:dyDescent="0.25">
      <c r="A12" s="107"/>
      <c r="B12" s="127" t="s">
        <v>386</v>
      </c>
      <c r="C12" s="109">
        <f>IFERROR(VLOOKUP($B12,MMWR_TRAD_AGG_STATE_COMP[],C$1,0),"ERROR")</f>
        <v>8965</v>
      </c>
      <c r="D12" s="110">
        <f>IFERROR(VLOOKUP($B12,MMWR_TRAD_AGG_STATE_COMP[],D$1,0),"ERROR")</f>
        <v>582.88700501949995</v>
      </c>
      <c r="E12" s="111">
        <f>IFERROR(VLOOKUP($B12,MMWR_TRAD_AGG_STATE_COMP[],E$1,0),"ERROR")</f>
        <v>5575</v>
      </c>
      <c r="F12" s="112">
        <f>IFERROR(VLOOKUP($B12,MMWR_TRAD_AGG_STATE_COMP[],F$1,0),"ERROR")</f>
        <v>1455</v>
      </c>
      <c r="G12" s="113">
        <f t="shared" si="0"/>
        <v>0.2609865470852018</v>
      </c>
      <c r="H12" s="111">
        <f>IFERROR(VLOOKUP($B12,MMWR_TRAD_AGG_STATE_COMP[],H$1,0),"ERROR")</f>
        <v>11064</v>
      </c>
      <c r="I12" s="112">
        <f>IFERROR(VLOOKUP($B12,MMWR_TRAD_AGG_STATE_COMP[],I$1,0),"ERROR")</f>
        <v>8282</v>
      </c>
      <c r="J12" s="114">
        <f t="shared" si="1"/>
        <v>0.74855386840202454</v>
      </c>
      <c r="K12" s="111">
        <f>IFERROR(VLOOKUP($B12,MMWR_TRAD_AGG_STATE_COMP[],K$1,0),"ERROR")</f>
        <v>1267</v>
      </c>
      <c r="L12" s="112">
        <f>IFERROR(VLOOKUP($B12,MMWR_TRAD_AGG_STATE_COMP[],L$1,0),"ERROR")</f>
        <v>1052</v>
      </c>
      <c r="M12" s="114">
        <f t="shared" si="2"/>
        <v>0.83030781373322815</v>
      </c>
      <c r="N12" s="111">
        <f>IFERROR(VLOOKUP($B12,MMWR_TRAD_AGG_STATE_COMP[],N$1,0),"ERROR")</f>
        <v>6624</v>
      </c>
      <c r="O12" s="112">
        <f>IFERROR(VLOOKUP($B12,MMWR_TRAD_AGG_STATE_COMP[],O$1,0),"ERROR")</f>
        <v>5411</v>
      </c>
      <c r="P12" s="114">
        <f t="shared" si="3"/>
        <v>0.81687801932367154</v>
      </c>
      <c r="Q12" s="115">
        <f>IFERROR(VLOOKUP($B12,MMWR_TRAD_AGG_STATE_COMP[],Q$1,0),"ERROR")</f>
        <v>318</v>
      </c>
      <c r="R12" s="115">
        <f>IFERROR(VLOOKUP($B12,MMWR_TRAD_AGG_STATE_COMP[],R$1,0),"ERROR")</f>
        <v>7</v>
      </c>
      <c r="S12" s="115">
        <f>IFERROR(VLOOKUP($B12,MMWR_APP_STATE_COMP[],S$1,0),"ERROR")</f>
        <v>5314</v>
      </c>
      <c r="T12" s="28"/>
    </row>
    <row r="13" spans="1:20" s="123" customFormat="1" x14ac:dyDescent="0.25">
      <c r="A13" s="107"/>
      <c r="B13" s="127" t="s">
        <v>381</v>
      </c>
      <c r="C13" s="109">
        <f>IFERROR(VLOOKUP($B13,MMWR_TRAD_AGG_STATE_COMP[],C$1,0),"ERROR")</f>
        <v>5037</v>
      </c>
      <c r="D13" s="110">
        <f>IFERROR(VLOOKUP($B13,MMWR_TRAD_AGG_STATE_COMP[],D$1,0),"ERROR")</f>
        <v>483.8925947985</v>
      </c>
      <c r="E13" s="111">
        <f>IFERROR(VLOOKUP($B13,MMWR_TRAD_AGG_STATE_COMP[],E$1,0),"ERROR")</f>
        <v>4415</v>
      </c>
      <c r="F13" s="112">
        <f>IFERROR(VLOOKUP($B13,MMWR_TRAD_AGG_STATE_COMP[],F$1,0),"ERROR")</f>
        <v>1259</v>
      </c>
      <c r="G13" s="113">
        <f t="shared" si="0"/>
        <v>0.28516421291053229</v>
      </c>
      <c r="H13" s="111">
        <f>IFERROR(VLOOKUP($B13,MMWR_TRAD_AGG_STATE_COMP[],H$1,0),"ERROR")</f>
        <v>7817</v>
      </c>
      <c r="I13" s="112">
        <f>IFERROR(VLOOKUP($B13,MMWR_TRAD_AGG_STATE_COMP[],I$1,0),"ERROR")</f>
        <v>4894</v>
      </c>
      <c r="J13" s="114">
        <f t="shared" si="1"/>
        <v>0.62607138288345909</v>
      </c>
      <c r="K13" s="111">
        <f>IFERROR(VLOOKUP($B13,MMWR_TRAD_AGG_STATE_COMP[],K$1,0),"ERROR")</f>
        <v>2669</v>
      </c>
      <c r="L13" s="112">
        <f>IFERROR(VLOOKUP($B13,MMWR_TRAD_AGG_STATE_COMP[],L$1,0),"ERROR")</f>
        <v>1846</v>
      </c>
      <c r="M13" s="114">
        <f t="shared" si="2"/>
        <v>0.69164481079055828</v>
      </c>
      <c r="N13" s="111">
        <f>IFERROR(VLOOKUP($B13,MMWR_TRAD_AGG_STATE_COMP[],N$1,0),"ERROR")</f>
        <v>1287</v>
      </c>
      <c r="O13" s="112">
        <f>IFERROR(VLOOKUP($B13,MMWR_TRAD_AGG_STATE_COMP[],O$1,0),"ERROR")</f>
        <v>989</v>
      </c>
      <c r="P13" s="114">
        <f t="shared" si="3"/>
        <v>0.76845376845376845</v>
      </c>
      <c r="Q13" s="115">
        <f>IFERROR(VLOOKUP($B13,MMWR_TRAD_AGG_STATE_COMP[],Q$1,0),"ERROR")</f>
        <v>531</v>
      </c>
      <c r="R13" s="115">
        <f>IFERROR(VLOOKUP($B13,MMWR_TRAD_AGG_STATE_COMP[],R$1,0),"ERROR")</f>
        <v>13</v>
      </c>
      <c r="S13" s="115">
        <f>IFERROR(VLOOKUP($B13,MMWR_APP_STATE_COMP[],S$1,0),"ERROR")</f>
        <v>3512</v>
      </c>
      <c r="T13" s="28"/>
    </row>
    <row r="14" spans="1:20" s="123" customFormat="1" x14ac:dyDescent="0.25">
      <c r="A14" s="107"/>
      <c r="B14" s="127" t="s">
        <v>425</v>
      </c>
      <c r="C14" s="109">
        <f>IFERROR(VLOOKUP($B14,MMWR_TRAD_AGG_STATE_COMP[],C$1,0),"ERROR")</f>
        <v>1844</v>
      </c>
      <c r="D14" s="110">
        <f>IFERROR(VLOOKUP($B14,MMWR_TRAD_AGG_STATE_COMP[],D$1,0),"ERROR")</f>
        <v>383.43167028200003</v>
      </c>
      <c r="E14" s="111">
        <f>IFERROR(VLOOKUP($B14,MMWR_TRAD_AGG_STATE_COMP[],E$1,0),"ERROR")</f>
        <v>1173</v>
      </c>
      <c r="F14" s="112">
        <f>IFERROR(VLOOKUP($B14,MMWR_TRAD_AGG_STATE_COMP[],F$1,0),"ERROR")</f>
        <v>271</v>
      </c>
      <c r="G14" s="113">
        <f t="shared" si="0"/>
        <v>0.23103154305200341</v>
      </c>
      <c r="H14" s="111">
        <f>IFERROR(VLOOKUP($B14,MMWR_TRAD_AGG_STATE_COMP[],H$1,0),"ERROR")</f>
        <v>2515</v>
      </c>
      <c r="I14" s="112">
        <f>IFERROR(VLOOKUP($B14,MMWR_TRAD_AGG_STATE_COMP[],I$1,0),"ERROR")</f>
        <v>1559</v>
      </c>
      <c r="J14" s="114">
        <f t="shared" si="1"/>
        <v>0.61988071570576542</v>
      </c>
      <c r="K14" s="111">
        <f>IFERROR(VLOOKUP($B14,MMWR_TRAD_AGG_STATE_COMP[],K$1,0),"ERROR")</f>
        <v>685</v>
      </c>
      <c r="L14" s="112">
        <f>IFERROR(VLOOKUP($B14,MMWR_TRAD_AGG_STATE_COMP[],L$1,0),"ERROR")</f>
        <v>533</v>
      </c>
      <c r="M14" s="114">
        <f t="shared" si="2"/>
        <v>0.77810218978102186</v>
      </c>
      <c r="N14" s="111">
        <f>IFERROR(VLOOKUP($B14,MMWR_TRAD_AGG_STATE_COMP[],N$1,0),"ERROR")</f>
        <v>207</v>
      </c>
      <c r="O14" s="112">
        <f>IFERROR(VLOOKUP($B14,MMWR_TRAD_AGG_STATE_COMP[],O$1,0),"ERROR")</f>
        <v>103</v>
      </c>
      <c r="P14" s="114">
        <f t="shared" si="3"/>
        <v>0.49758454106280192</v>
      </c>
      <c r="Q14" s="115">
        <f>IFERROR(VLOOKUP($B14,MMWR_TRAD_AGG_STATE_COMP[],Q$1,0),"ERROR")</f>
        <v>117</v>
      </c>
      <c r="R14" s="115">
        <f>IFERROR(VLOOKUP($B14,MMWR_TRAD_AGG_STATE_COMP[],R$1,0),"ERROR")</f>
        <v>3</v>
      </c>
      <c r="S14" s="115">
        <f>IFERROR(VLOOKUP($B14,MMWR_APP_STATE_COMP[],S$1,0),"ERROR")</f>
        <v>706</v>
      </c>
      <c r="T14" s="28"/>
    </row>
    <row r="15" spans="1:20" s="123" customFormat="1" x14ac:dyDescent="0.25">
      <c r="A15" s="107"/>
      <c r="B15" s="127" t="s">
        <v>384</v>
      </c>
      <c r="C15" s="109">
        <f>IFERROR(VLOOKUP($B15,MMWR_TRAD_AGG_STATE_COMP[],C$1,0),"ERROR")</f>
        <v>2585</v>
      </c>
      <c r="D15" s="110">
        <f>IFERROR(VLOOKUP($B15,MMWR_TRAD_AGG_STATE_COMP[],D$1,0),"ERROR")</f>
        <v>268.37911025149998</v>
      </c>
      <c r="E15" s="111">
        <f>IFERROR(VLOOKUP($B15,MMWR_TRAD_AGG_STATE_COMP[],E$1,0),"ERROR")</f>
        <v>4122</v>
      </c>
      <c r="F15" s="112">
        <f>IFERROR(VLOOKUP($B15,MMWR_TRAD_AGG_STATE_COMP[],F$1,0),"ERROR")</f>
        <v>1247</v>
      </c>
      <c r="G15" s="113">
        <f t="shared" si="0"/>
        <v>0.30252304706453176</v>
      </c>
      <c r="H15" s="111">
        <f>IFERROR(VLOOKUP($B15,MMWR_TRAD_AGG_STATE_COMP[],H$1,0),"ERROR")</f>
        <v>4158</v>
      </c>
      <c r="I15" s="112">
        <f>IFERROR(VLOOKUP($B15,MMWR_TRAD_AGG_STATE_COMP[],I$1,0),"ERROR")</f>
        <v>1951</v>
      </c>
      <c r="J15" s="114">
        <f t="shared" si="1"/>
        <v>0.4692159692159692</v>
      </c>
      <c r="K15" s="111">
        <f>IFERROR(VLOOKUP($B15,MMWR_TRAD_AGG_STATE_COMP[],K$1,0),"ERROR")</f>
        <v>925</v>
      </c>
      <c r="L15" s="112">
        <f>IFERROR(VLOOKUP($B15,MMWR_TRAD_AGG_STATE_COMP[],L$1,0),"ERROR")</f>
        <v>402</v>
      </c>
      <c r="M15" s="114">
        <f t="shared" si="2"/>
        <v>0.4345945945945946</v>
      </c>
      <c r="N15" s="111">
        <f>IFERROR(VLOOKUP($B15,MMWR_TRAD_AGG_STATE_COMP[],N$1,0),"ERROR")</f>
        <v>2019</v>
      </c>
      <c r="O15" s="112">
        <f>IFERROR(VLOOKUP($B15,MMWR_TRAD_AGG_STATE_COMP[],O$1,0),"ERROR")</f>
        <v>1108</v>
      </c>
      <c r="P15" s="114">
        <f t="shared" si="3"/>
        <v>0.54878652798415062</v>
      </c>
      <c r="Q15" s="115">
        <f>IFERROR(VLOOKUP($B15,MMWR_TRAD_AGG_STATE_COMP[],Q$1,0),"ERROR")</f>
        <v>518</v>
      </c>
      <c r="R15" s="115">
        <f>IFERROR(VLOOKUP($B15,MMWR_TRAD_AGG_STATE_COMP[],R$1,0),"ERROR")</f>
        <v>6</v>
      </c>
      <c r="S15" s="115">
        <f>IFERROR(VLOOKUP($B15,MMWR_APP_STATE_COMP[],S$1,0),"ERROR")</f>
        <v>4070</v>
      </c>
      <c r="T15" s="28"/>
    </row>
    <row r="16" spans="1:20" s="123" customFormat="1" x14ac:dyDescent="0.25">
      <c r="A16" s="107"/>
      <c r="B16" s="127" t="s">
        <v>63</v>
      </c>
      <c r="C16" s="109">
        <f>IFERROR(VLOOKUP($B16,MMWR_TRAD_AGG_STATE_COMP[],C$1,0),"ERROR")</f>
        <v>5476</v>
      </c>
      <c r="D16" s="110">
        <f>IFERROR(VLOOKUP($B16,MMWR_TRAD_AGG_STATE_COMP[],D$1,0),"ERROR")</f>
        <v>265.77666179689999</v>
      </c>
      <c r="E16" s="111">
        <f>IFERROR(VLOOKUP($B16,MMWR_TRAD_AGG_STATE_COMP[],E$1,0),"ERROR")</f>
        <v>9363</v>
      </c>
      <c r="F16" s="112">
        <f>IFERROR(VLOOKUP($B16,MMWR_TRAD_AGG_STATE_COMP[],F$1,0),"ERROR")</f>
        <v>2573</v>
      </c>
      <c r="G16" s="113">
        <f t="shared" si="0"/>
        <v>0.27480508384064939</v>
      </c>
      <c r="H16" s="111">
        <f>IFERROR(VLOOKUP($B16,MMWR_TRAD_AGG_STATE_COMP[],H$1,0),"ERROR")</f>
        <v>8700</v>
      </c>
      <c r="I16" s="112">
        <f>IFERROR(VLOOKUP($B16,MMWR_TRAD_AGG_STATE_COMP[],I$1,0),"ERROR")</f>
        <v>4216</v>
      </c>
      <c r="J16" s="114">
        <f t="shared" si="1"/>
        <v>0.4845977011494253</v>
      </c>
      <c r="K16" s="111">
        <f>IFERROR(VLOOKUP($B16,MMWR_TRAD_AGG_STATE_COMP[],K$1,0),"ERROR")</f>
        <v>2045</v>
      </c>
      <c r="L16" s="112">
        <f>IFERROR(VLOOKUP($B16,MMWR_TRAD_AGG_STATE_COMP[],L$1,0),"ERROR")</f>
        <v>1245</v>
      </c>
      <c r="M16" s="114">
        <f t="shared" si="2"/>
        <v>0.60880195599022002</v>
      </c>
      <c r="N16" s="111">
        <f>IFERROR(VLOOKUP($B16,MMWR_TRAD_AGG_STATE_COMP[],N$1,0),"ERROR")</f>
        <v>1571</v>
      </c>
      <c r="O16" s="112">
        <f>IFERROR(VLOOKUP($B16,MMWR_TRAD_AGG_STATE_COMP[],O$1,0),"ERROR")</f>
        <v>793</v>
      </c>
      <c r="P16" s="114">
        <f t="shared" si="3"/>
        <v>0.50477402928071291</v>
      </c>
      <c r="Q16" s="115">
        <f>IFERROR(VLOOKUP($B16,MMWR_TRAD_AGG_STATE_COMP[],Q$1,0),"ERROR")</f>
        <v>1038</v>
      </c>
      <c r="R16" s="115">
        <f>IFERROR(VLOOKUP($B16,MMWR_TRAD_AGG_STATE_COMP[],R$1,0),"ERROR")</f>
        <v>15</v>
      </c>
      <c r="S16" s="115">
        <f>IFERROR(VLOOKUP($B16,MMWR_APP_STATE_COMP[],S$1,0),"ERROR")</f>
        <v>5451</v>
      </c>
      <c r="T16" s="28"/>
    </row>
    <row r="17" spans="1:20" s="123" customFormat="1" x14ac:dyDescent="0.25">
      <c r="A17" s="107"/>
      <c r="B17" s="127" t="s">
        <v>392</v>
      </c>
      <c r="C17" s="109">
        <f>IFERROR(VLOOKUP($B17,MMWR_TRAD_AGG_STATE_COMP[],C$1,0),"ERROR")</f>
        <v>16075</v>
      </c>
      <c r="D17" s="110">
        <f>IFERROR(VLOOKUP($B17,MMWR_TRAD_AGG_STATE_COMP[],D$1,0),"ERROR")</f>
        <v>327.87508553650002</v>
      </c>
      <c r="E17" s="111">
        <f>IFERROR(VLOOKUP($B17,MMWR_TRAD_AGG_STATE_COMP[],E$1,0),"ERROR")</f>
        <v>18302</v>
      </c>
      <c r="F17" s="112">
        <f>IFERROR(VLOOKUP($B17,MMWR_TRAD_AGG_STATE_COMP[],F$1,0),"ERROR")</f>
        <v>5222</v>
      </c>
      <c r="G17" s="113">
        <f t="shared" si="0"/>
        <v>0.28532400830510329</v>
      </c>
      <c r="H17" s="111">
        <f>IFERROR(VLOOKUP($B17,MMWR_TRAD_AGG_STATE_COMP[],H$1,0),"ERROR")</f>
        <v>21996</v>
      </c>
      <c r="I17" s="112">
        <f>IFERROR(VLOOKUP($B17,MMWR_TRAD_AGG_STATE_COMP[],I$1,0),"ERROR")</f>
        <v>13586</v>
      </c>
      <c r="J17" s="114">
        <f t="shared" si="1"/>
        <v>0.61765775595562833</v>
      </c>
      <c r="K17" s="111">
        <f>IFERROR(VLOOKUP($B17,MMWR_TRAD_AGG_STATE_COMP[],K$1,0),"ERROR")</f>
        <v>4119</v>
      </c>
      <c r="L17" s="112">
        <f>IFERROR(VLOOKUP($B17,MMWR_TRAD_AGG_STATE_COMP[],L$1,0),"ERROR")</f>
        <v>3574</v>
      </c>
      <c r="M17" s="114">
        <f t="shared" si="2"/>
        <v>0.86768633163389175</v>
      </c>
      <c r="N17" s="111">
        <f>IFERROR(VLOOKUP($B17,MMWR_TRAD_AGG_STATE_COMP[],N$1,0),"ERROR")</f>
        <v>8033</v>
      </c>
      <c r="O17" s="112">
        <f>IFERROR(VLOOKUP($B17,MMWR_TRAD_AGG_STATE_COMP[],O$1,0),"ERROR")</f>
        <v>4455</v>
      </c>
      <c r="P17" s="114">
        <f t="shared" si="3"/>
        <v>0.55458732727499072</v>
      </c>
      <c r="Q17" s="115">
        <f>IFERROR(VLOOKUP($B17,MMWR_TRAD_AGG_STATE_COMP[],Q$1,0),"ERROR")</f>
        <v>844</v>
      </c>
      <c r="R17" s="115">
        <f>IFERROR(VLOOKUP($B17,MMWR_TRAD_AGG_STATE_COMP[],R$1,0),"ERROR")</f>
        <v>45</v>
      </c>
      <c r="S17" s="115">
        <f>IFERROR(VLOOKUP($B17,MMWR_APP_STATE_COMP[],S$1,0),"ERROR")</f>
        <v>10334</v>
      </c>
      <c r="T17" s="28"/>
    </row>
    <row r="18" spans="1:20" s="123" customFormat="1" x14ac:dyDescent="0.25">
      <c r="A18" s="107"/>
      <c r="B18" s="127" t="s">
        <v>385</v>
      </c>
      <c r="C18" s="109">
        <f>IFERROR(VLOOKUP($B18,MMWR_TRAD_AGG_STATE_COMP[],C$1,0),"ERROR")</f>
        <v>7813</v>
      </c>
      <c r="D18" s="110">
        <f>IFERROR(VLOOKUP($B18,MMWR_TRAD_AGG_STATE_COMP[],D$1,0),"ERROR")</f>
        <v>401.35581722770002</v>
      </c>
      <c r="E18" s="111">
        <f>IFERROR(VLOOKUP($B18,MMWR_TRAD_AGG_STATE_COMP[],E$1,0),"ERROR")</f>
        <v>9460</v>
      </c>
      <c r="F18" s="112">
        <f>IFERROR(VLOOKUP($B18,MMWR_TRAD_AGG_STATE_COMP[],F$1,0),"ERROR")</f>
        <v>2968</v>
      </c>
      <c r="G18" s="113">
        <f t="shared" si="0"/>
        <v>0.31374207188160674</v>
      </c>
      <c r="H18" s="111">
        <f>IFERROR(VLOOKUP($B18,MMWR_TRAD_AGG_STATE_COMP[],H$1,0),"ERROR")</f>
        <v>11582</v>
      </c>
      <c r="I18" s="112">
        <f>IFERROR(VLOOKUP($B18,MMWR_TRAD_AGG_STATE_COMP[],I$1,0),"ERROR")</f>
        <v>7608</v>
      </c>
      <c r="J18" s="114">
        <f t="shared" si="1"/>
        <v>0.65688136763944049</v>
      </c>
      <c r="K18" s="111">
        <f>IFERROR(VLOOKUP($B18,MMWR_TRAD_AGG_STATE_COMP[],K$1,0),"ERROR")</f>
        <v>1015</v>
      </c>
      <c r="L18" s="112">
        <f>IFERROR(VLOOKUP($B18,MMWR_TRAD_AGG_STATE_COMP[],L$1,0),"ERROR")</f>
        <v>720</v>
      </c>
      <c r="M18" s="114">
        <f t="shared" si="2"/>
        <v>0.70935960591133007</v>
      </c>
      <c r="N18" s="111">
        <f>IFERROR(VLOOKUP($B18,MMWR_TRAD_AGG_STATE_COMP[],N$1,0),"ERROR")</f>
        <v>5848</v>
      </c>
      <c r="O18" s="112">
        <f>IFERROR(VLOOKUP($B18,MMWR_TRAD_AGG_STATE_COMP[],O$1,0),"ERROR")</f>
        <v>3088</v>
      </c>
      <c r="P18" s="114">
        <f t="shared" si="3"/>
        <v>0.52804377564979477</v>
      </c>
      <c r="Q18" s="115">
        <f>IFERROR(VLOOKUP($B18,MMWR_TRAD_AGG_STATE_COMP[],Q$1,0),"ERROR")</f>
        <v>981</v>
      </c>
      <c r="R18" s="115">
        <f>IFERROR(VLOOKUP($B18,MMWR_TRAD_AGG_STATE_COMP[],R$1,0),"ERROR")</f>
        <v>10</v>
      </c>
      <c r="S18" s="115">
        <f>IFERROR(VLOOKUP($B18,MMWR_APP_STATE_COMP[],S$1,0),"ERROR")</f>
        <v>6537</v>
      </c>
      <c r="T18" s="28"/>
    </row>
    <row r="19" spans="1:20" s="123" customFormat="1" x14ac:dyDescent="0.25">
      <c r="A19" s="107"/>
      <c r="B19" s="127" t="s">
        <v>382</v>
      </c>
      <c r="C19" s="109">
        <f>IFERROR(VLOOKUP($B19,MMWR_TRAD_AGG_STATE_COMP[],C$1,0),"ERROR")</f>
        <v>465</v>
      </c>
      <c r="D19" s="110">
        <f>IFERROR(VLOOKUP($B19,MMWR_TRAD_AGG_STATE_COMP[],D$1,0),"ERROR")</f>
        <v>238.0301075269</v>
      </c>
      <c r="E19" s="111">
        <f>IFERROR(VLOOKUP($B19,MMWR_TRAD_AGG_STATE_COMP[],E$1,0),"ERROR")</f>
        <v>899</v>
      </c>
      <c r="F19" s="112">
        <f>IFERROR(VLOOKUP($B19,MMWR_TRAD_AGG_STATE_COMP[],F$1,0),"ERROR")</f>
        <v>270</v>
      </c>
      <c r="G19" s="113">
        <f t="shared" si="0"/>
        <v>0.30033370411568411</v>
      </c>
      <c r="H19" s="111">
        <f>IFERROR(VLOOKUP($B19,MMWR_TRAD_AGG_STATE_COMP[],H$1,0),"ERROR")</f>
        <v>1080</v>
      </c>
      <c r="I19" s="112">
        <f>IFERROR(VLOOKUP($B19,MMWR_TRAD_AGG_STATE_COMP[],I$1,0),"ERROR")</f>
        <v>388</v>
      </c>
      <c r="J19" s="114">
        <f t="shared" si="1"/>
        <v>0.35925925925925928</v>
      </c>
      <c r="K19" s="111">
        <f>IFERROR(VLOOKUP($B19,MMWR_TRAD_AGG_STATE_COMP[],K$1,0),"ERROR")</f>
        <v>337</v>
      </c>
      <c r="L19" s="112">
        <f>IFERROR(VLOOKUP($B19,MMWR_TRAD_AGG_STATE_COMP[],L$1,0),"ERROR")</f>
        <v>120</v>
      </c>
      <c r="M19" s="114">
        <f t="shared" si="2"/>
        <v>0.35608308605341249</v>
      </c>
      <c r="N19" s="111">
        <f>IFERROR(VLOOKUP($B19,MMWR_TRAD_AGG_STATE_COMP[],N$1,0),"ERROR")</f>
        <v>129</v>
      </c>
      <c r="O19" s="112">
        <f>IFERROR(VLOOKUP($B19,MMWR_TRAD_AGG_STATE_COMP[],O$1,0),"ERROR")</f>
        <v>57</v>
      </c>
      <c r="P19" s="114">
        <f t="shared" si="3"/>
        <v>0.44186046511627908</v>
      </c>
      <c r="Q19" s="115">
        <f>IFERROR(VLOOKUP($B19,MMWR_TRAD_AGG_STATE_COMP[],Q$1,0),"ERROR")</f>
        <v>119</v>
      </c>
      <c r="R19" s="115">
        <f>IFERROR(VLOOKUP($B19,MMWR_TRAD_AGG_STATE_COMP[],R$1,0),"ERROR")</f>
        <v>2</v>
      </c>
      <c r="S19" s="115">
        <f>IFERROR(VLOOKUP($B19,MMWR_APP_STATE_COMP[],S$1,0),"ERROR")</f>
        <v>319</v>
      </c>
      <c r="T19" s="28"/>
    </row>
    <row r="20" spans="1:20" s="123" customFormat="1" x14ac:dyDescent="0.25">
      <c r="A20" s="107"/>
      <c r="B20" s="127" t="s">
        <v>427</v>
      </c>
      <c r="C20" s="109">
        <f>IFERROR(VLOOKUP($B20,MMWR_TRAD_AGG_STATE_COMP[],C$1,0),"ERROR")</f>
        <v>495</v>
      </c>
      <c r="D20" s="110">
        <f>IFERROR(VLOOKUP($B20,MMWR_TRAD_AGG_STATE_COMP[],D$1,0),"ERROR")</f>
        <v>337.1232323232</v>
      </c>
      <c r="E20" s="111">
        <f>IFERROR(VLOOKUP($B20,MMWR_TRAD_AGG_STATE_COMP[],E$1,0),"ERROR")</f>
        <v>409</v>
      </c>
      <c r="F20" s="112">
        <f>IFERROR(VLOOKUP($B20,MMWR_TRAD_AGG_STATE_COMP[],F$1,0),"ERROR")</f>
        <v>123</v>
      </c>
      <c r="G20" s="113">
        <f t="shared" si="0"/>
        <v>0.30073349633251834</v>
      </c>
      <c r="H20" s="111">
        <f>IFERROR(VLOOKUP($B20,MMWR_TRAD_AGG_STATE_COMP[],H$1,0),"ERROR")</f>
        <v>835</v>
      </c>
      <c r="I20" s="112">
        <f>IFERROR(VLOOKUP($B20,MMWR_TRAD_AGG_STATE_COMP[],I$1,0),"ERROR")</f>
        <v>458</v>
      </c>
      <c r="J20" s="114">
        <f t="shared" si="1"/>
        <v>0.548502994011976</v>
      </c>
      <c r="K20" s="111">
        <f>IFERROR(VLOOKUP($B20,MMWR_TRAD_AGG_STATE_COMP[],K$1,0),"ERROR")</f>
        <v>168</v>
      </c>
      <c r="L20" s="112">
        <f>IFERROR(VLOOKUP($B20,MMWR_TRAD_AGG_STATE_COMP[],L$1,0),"ERROR")</f>
        <v>97</v>
      </c>
      <c r="M20" s="114">
        <f t="shared" si="2"/>
        <v>0.57738095238095233</v>
      </c>
      <c r="N20" s="111">
        <f>IFERROR(VLOOKUP($B20,MMWR_TRAD_AGG_STATE_COMP[],N$1,0),"ERROR")</f>
        <v>94</v>
      </c>
      <c r="O20" s="112">
        <f>IFERROR(VLOOKUP($B20,MMWR_TRAD_AGG_STATE_COMP[],O$1,0),"ERROR")</f>
        <v>56</v>
      </c>
      <c r="P20" s="114">
        <f t="shared" si="3"/>
        <v>0.5957446808510638</v>
      </c>
      <c r="Q20" s="115">
        <f>IFERROR(VLOOKUP($B20,MMWR_TRAD_AGG_STATE_COMP[],Q$1,0),"ERROR")</f>
        <v>47</v>
      </c>
      <c r="R20" s="115">
        <f>IFERROR(VLOOKUP($B20,MMWR_TRAD_AGG_STATE_COMP[],R$1,0),"ERROR")</f>
        <v>1</v>
      </c>
      <c r="S20" s="115">
        <f>IFERROR(VLOOKUP($B20,MMWR_APP_STATE_COMP[],S$1,0),"ERROR")</f>
        <v>205</v>
      </c>
      <c r="T20" s="28"/>
    </row>
    <row r="21" spans="1:20" s="123" customFormat="1" x14ac:dyDescent="0.25">
      <c r="A21" s="107"/>
      <c r="B21" s="127" t="s">
        <v>388</v>
      </c>
      <c r="C21" s="109">
        <f>IFERROR(VLOOKUP($B21,MMWR_TRAD_AGG_STATE_COMP[],C$1,0),"ERROR")</f>
        <v>17801</v>
      </c>
      <c r="D21" s="110">
        <f>IFERROR(VLOOKUP($B21,MMWR_TRAD_AGG_STATE_COMP[],D$1,0),"ERROR")</f>
        <v>471.79602269539998</v>
      </c>
      <c r="E21" s="111">
        <f>IFERROR(VLOOKUP($B21,MMWR_TRAD_AGG_STATE_COMP[],E$1,0),"ERROR")</f>
        <v>12154</v>
      </c>
      <c r="F21" s="112">
        <f>IFERROR(VLOOKUP($B21,MMWR_TRAD_AGG_STATE_COMP[],F$1,0),"ERROR")</f>
        <v>2975</v>
      </c>
      <c r="G21" s="113">
        <f t="shared" si="0"/>
        <v>0.24477538259009379</v>
      </c>
      <c r="H21" s="111">
        <f>IFERROR(VLOOKUP($B21,MMWR_TRAD_AGG_STATE_COMP[],H$1,0),"ERROR")</f>
        <v>22426</v>
      </c>
      <c r="I21" s="112">
        <f>IFERROR(VLOOKUP($B21,MMWR_TRAD_AGG_STATE_COMP[],I$1,0),"ERROR")</f>
        <v>14980</v>
      </c>
      <c r="J21" s="114">
        <f t="shared" si="1"/>
        <v>0.66797467225541785</v>
      </c>
      <c r="K21" s="111">
        <f>IFERROR(VLOOKUP($B21,MMWR_TRAD_AGG_STATE_COMP[],K$1,0),"ERROR")</f>
        <v>5142</v>
      </c>
      <c r="L21" s="112">
        <f>IFERROR(VLOOKUP($B21,MMWR_TRAD_AGG_STATE_COMP[],L$1,0),"ERROR")</f>
        <v>4607</v>
      </c>
      <c r="M21" s="114">
        <f t="shared" si="2"/>
        <v>0.89595488136911705</v>
      </c>
      <c r="N21" s="111">
        <f>IFERROR(VLOOKUP($B21,MMWR_TRAD_AGG_STATE_COMP[],N$1,0),"ERROR")</f>
        <v>5674</v>
      </c>
      <c r="O21" s="112">
        <f>IFERROR(VLOOKUP($B21,MMWR_TRAD_AGG_STATE_COMP[],O$1,0),"ERROR")</f>
        <v>4196</v>
      </c>
      <c r="P21" s="114">
        <f t="shared" si="3"/>
        <v>0.73951357067324641</v>
      </c>
      <c r="Q21" s="115">
        <f>IFERROR(VLOOKUP($B21,MMWR_TRAD_AGG_STATE_COMP[],Q$1,0),"ERROR")</f>
        <v>646</v>
      </c>
      <c r="R21" s="115">
        <f>IFERROR(VLOOKUP($B21,MMWR_TRAD_AGG_STATE_COMP[],R$1,0),"ERROR")</f>
        <v>35</v>
      </c>
      <c r="S21" s="115">
        <f>IFERROR(VLOOKUP($B21,MMWR_APP_STATE_COMP[],S$1,0),"ERROR")</f>
        <v>14053</v>
      </c>
      <c r="T21" s="28"/>
    </row>
    <row r="22" spans="1:20" s="123" customFormat="1" x14ac:dyDescent="0.25">
      <c r="A22" s="107"/>
      <c r="B22" s="127" t="s">
        <v>389</v>
      </c>
      <c r="C22" s="109">
        <f>IFERROR(VLOOKUP($B22,MMWR_TRAD_AGG_STATE_COMP[],C$1,0),"ERROR")</f>
        <v>2310</v>
      </c>
      <c r="D22" s="110">
        <f>IFERROR(VLOOKUP($B22,MMWR_TRAD_AGG_STATE_COMP[],D$1,0),"ERROR")</f>
        <v>251.3255411255</v>
      </c>
      <c r="E22" s="111">
        <f>IFERROR(VLOOKUP($B22,MMWR_TRAD_AGG_STATE_COMP[],E$1,0),"ERROR")</f>
        <v>2168</v>
      </c>
      <c r="F22" s="112">
        <f>IFERROR(VLOOKUP($B22,MMWR_TRAD_AGG_STATE_COMP[],F$1,0),"ERROR")</f>
        <v>497</v>
      </c>
      <c r="G22" s="113">
        <f t="shared" si="0"/>
        <v>0.22924354243542436</v>
      </c>
      <c r="H22" s="111">
        <f>IFERROR(VLOOKUP($B22,MMWR_TRAD_AGG_STATE_COMP[],H$1,0),"ERROR")</f>
        <v>3505</v>
      </c>
      <c r="I22" s="112">
        <f>IFERROR(VLOOKUP($B22,MMWR_TRAD_AGG_STATE_COMP[],I$1,0),"ERROR")</f>
        <v>1868</v>
      </c>
      <c r="J22" s="114">
        <f t="shared" si="1"/>
        <v>0.53295292439372322</v>
      </c>
      <c r="K22" s="111">
        <f>IFERROR(VLOOKUP($B22,MMWR_TRAD_AGG_STATE_COMP[],K$1,0),"ERROR")</f>
        <v>320</v>
      </c>
      <c r="L22" s="112">
        <f>IFERROR(VLOOKUP($B22,MMWR_TRAD_AGG_STATE_COMP[],L$1,0),"ERROR")</f>
        <v>265</v>
      </c>
      <c r="M22" s="114">
        <f t="shared" si="2"/>
        <v>0.828125</v>
      </c>
      <c r="N22" s="111">
        <f>IFERROR(VLOOKUP($B22,MMWR_TRAD_AGG_STATE_COMP[],N$1,0),"ERROR")</f>
        <v>1125</v>
      </c>
      <c r="O22" s="112">
        <f>IFERROR(VLOOKUP($B22,MMWR_TRAD_AGG_STATE_COMP[],O$1,0),"ERROR")</f>
        <v>703</v>
      </c>
      <c r="P22" s="114">
        <f t="shared" si="3"/>
        <v>0.62488888888888894</v>
      </c>
      <c r="Q22" s="115">
        <f>IFERROR(VLOOKUP($B22,MMWR_TRAD_AGG_STATE_COMP[],Q$1,0),"ERROR")</f>
        <v>284</v>
      </c>
      <c r="R22" s="115">
        <f>IFERROR(VLOOKUP($B22,MMWR_TRAD_AGG_STATE_COMP[],R$1,0),"ERROR")</f>
        <v>19</v>
      </c>
      <c r="S22" s="115">
        <f>IFERROR(VLOOKUP($B22,MMWR_APP_STATE_COMP[],S$1,0),"ERROR")</f>
        <v>2363</v>
      </c>
      <c r="T22" s="28"/>
    </row>
    <row r="23" spans="1:20" s="123" customFormat="1" x14ac:dyDescent="0.25">
      <c r="A23" s="107"/>
      <c r="B23" s="126" t="s">
        <v>400</v>
      </c>
      <c r="C23" s="102">
        <f>IF(SUM(C24:C35)&lt;&gt;VLOOKUP($B23,MMWR_TRAD_AGG_ST_DISTRICT_COMP[],C$1,0),"ERROR",
VLOOKUP($B23,MMWR_TRAD_AGG_ST_DISTRICT_COMP[],C$1,0))</f>
        <v>47756</v>
      </c>
      <c r="D23" s="103">
        <f>IFERROR(VLOOKUP($B23,MMWR_TRAD_AGG_ST_DISTRICT_COMP[],D$1,0),"ERROR")</f>
        <v>399.68362090630001</v>
      </c>
      <c r="E23" s="102">
        <f>IF(SUM(E24:E35)&lt;&gt;VLOOKUP($B23,MMWR_TRAD_AGG_ST_DISTRICT_COMP[],E$1,0),"ERROR",
VLOOKUP($B23,MMWR_TRAD_AGG_ST_DISTRICT_COMP[],E$1,0))</f>
        <v>51659</v>
      </c>
      <c r="F23" s="102">
        <f>IF(SUM(F24:F35)&lt;&gt;VLOOKUP($B23,MMWR_TRAD_AGG_ST_DISTRICT_COMP[],F$1,0),"ERROR",
VLOOKUP($B23,MMWR_TRAD_AGG_ST_DISTRICT_COMP[],F$1,0))</f>
        <v>12756</v>
      </c>
      <c r="G23" s="104">
        <f t="shared" si="0"/>
        <v>0.24692696335585279</v>
      </c>
      <c r="H23" s="102">
        <f>IF(SUM(H24:H35)&lt;&gt;VLOOKUP($B23,MMWR_TRAD_AGG_ST_DISTRICT_COMP[],H$1,0),"ERROR",
VLOOKUP($B23,MMWR_TRAD_AGG_ST_DISTRICT_COMP[],H$1,0))</f>
        <v>73934</v>
      </c>
      <c r="I23" s="102">
        <f>IF(SUM(I24:I35)&lt;&gt;VLOOKUP($B23,MMWR_TRAD_AGG_ST_DISTRICT_COMP[],I$1,0),"ERROR",
VLOOKUP($B23,MMWR_TRAD_AGG_ST_DISTRICT_COMP[],I$1,0))</f>
        <v>41608</v>
      </c>
      <c r="J23" s="105">
        <f t="shared" si="1"/>
        <v>0.56277220223442526</v>
      </c>
      <c r="K23" s="102">
        <f>IF(SUM(K24:K35)&lt;&gt;VLOOKUP($B23,MMWR_TRAD_AGG_ST_DISTRICT_COMP[],K$1,0),"ERROR",
VLOOKUP($B23,MMWR_TRAD_AGG_ST_DISTRICT_COMP[],K$1,0))</f>
        <v>10177</v>
      </c>
      <c r="L23" s="102">
        <f>IF(SUM(L24:L35)&lt;&gt;VLOOKUP($B23,MMWR_TRAD_AGG_ST_DISTRICT_COMP[],L$1,0),"ERROR",
VLOOKUP($B23,MMWR_TRAD_AGG_ST_DISTRICT_COMP[],L$1,0))</f>
        <v>8242</v>
      </c>
      <c r="M23" s="105">
        <f t="shared" si="2"/>
        <v>0.80986538272575415</v>
      </c>
      <c r="N23" s="102">
        <f>IF(SUM(N24:N35)&lt;&gt;VLOOKUP($B23,MMWR_TRAD_AGG_ST_DISTRICT_COMP[],N$1,0),"ERROR",
VLOOKUP($B23,MMWR_TRAD_AGG_ST_DISTRICT_COMP[],N$1,0))</f>
        <v>22335</v>
      </c>
      <c r="O23" s="102">
        <f>IF(SUM(O24:O35)&lt;&gt;VLOOKUP($B23,MMWR_TRAD_AGG_ST_DISTRICT_COMP[],O$1,0),"ERROR",
VLOOKUP($B23,MMWR_TRAD_AGG_ST_DISTRICT_COMP[],O$1,0))</f>
        <v>14516</v>
      </c>
      <c r="P23" s="105">
        <f t="shared" si="3"/>
        <v>0.6499216476382359</v>
      </c>
      <c r="Q23" s="102">
        <f>IF(SUM(Q24:Q35)&lt;&gt;VLOOKUP($B23,MMWR_TRAD_AGG_ST_DISTRICT_COMP[],Q$1,0),"ERROR",
VLOOKUP($B23,MMWR_TRAD_AGG_ST_DISTRICT_COMP[],Q$1,0))</f>
        <v>138</v>
      </c>
      <c r="R23" s="102">
        <f>IF(SUM(R24:R35)&lt;&gt;VLOOKUP($B23,MMWR_TRAD_AGG_ST_DISTRICT_COMP[],R$1,0),"ERROR",
VLOOKUP($B23,MMWR_TRAD_AGG_ST_DISTRICT_COMP[],R$1,0))</f>
        <v>1183</v>
      </c>
      <c r="S23" s="106">
        <f>SUM(S24:S35)</f>
        <v>53060</v>
      </c>
      <c r="T23" s="28"/>
    </row>
    <row r="24" spans="1:20" s="123" customFormat="1" x14ac:dyDescent="0.25">
      <c r="A24" s="92"/>
      <c r="B24" s="127" t="s">
        <v>404</v>
      </c>
      <c r="C24" s="109">
        <f>IFERROR(VLOOKUP($B24,MMWR_TRAD_AGG_STATE_COMP[],C$1,0),"ERROR")</f>
        <v>7949</v>
      </c>
      <c r="D24" s="110">
        <f>IFERROR(VLOOKUP($B24,MMWR_TRAD_AGG_STATE_COMP[],D$1,0),"ERROR")</f>
        <v>471.71229085419998</v>
      </c>
      <c r="E24" s="111">
        <f>IFERROR(VLOOKUP($B24,MMWR_TRAD_AGG_STATE_COMP[],E$1,0),"ERROR")</f>
        <v>7420</v>
      </c>
      <c r="F24" s="112">
        <f>IFERROR(VLOOKUP($B24,MMWR_TRAD_AGG_STATE_COMP[],F$1,0),"ERROR")</f>
        <v>2157</v>
      </c>
      <c r="G24" s="113">
        <f t="shared" si="0"/>
        <v>0.29070080862533693</v>
      </c>
      <c r="H24" s="111">
        <f>IFERROR(VLOOKUP($B24,MMWR_TRAD_AGG_STATE_COMP[],H$1,0),"ERROR")</f>
        <v>10578</v>
      </c>
      <c r="I24" s="112">
        <f>IFERROR(VLOOKUP($B24,MMWR_TRAD_AGG_STATE_COMP[],I$1,0),"ERROR")</f>
        <v>7050</v>
      </c>
      <c r="J24" s="114">
        <f t="shared" si="1"/>
        <v>0.66647759500850823</v>
      </c>
      <c r="K24" s="111">
        <f>IFERROR(VLOOKUP($B24,MMWR_TRAD_AGG_STATE_COMP[],K$1,0),"ERROR")</f>
        <v>1496</v>
      </c>
      <c r="L24" s="112">
        <f>IFERROR(VLOOKUP($B24,MMWR_TRAD_AGG_STATE_COMP[],L$1,0),"ERROR")</f>
        <v>1381</v>
      </c>
      <c r="M24" s="114">
        <f t="shared" si="2"/>
        <v>0.92312834224598928</v>
      </c>
      <c r="N24" s="111">
        <f>IFERROR(VLOOKUP($B24,MMWR_TRAD_AGG_STATE_COMP[],N$1,0),"ERROR")</f>
        <v>2698</v>
      </c>
      <c r="O24" s="112">
        <f>IFERROR(VLOOKUP($B24,MMWR_TRAD_AGG_STATE_COMP[],O$1,0),"ERROR")</f>
        <v>1905</v>
      </c>
      <c r="P24" s="114">
        <f t="shared" si="3"/>
        <v>0.70607857672349894</v>
      </c>
      <c r="Q24" s="115">
        <f>IFERROR(VLOOKUP($B24,MMWR_TRAD_AGG_STATE_COMP[],Q$1,0),"ERROR")</f>
        <v>21</v>
      </c>
      <c r="R24" s="115">
        <f>IFERROR(VLOOKUP($B24,MMWR_TRAD_AGG_STATE_COMP[],R$1,0),"ERROR")</f>
        <v>283</v>
      </c>
      <c r="S24" s="115">
        <f>IFERROR(VLOOKUP($B24,MMWR_APP_STATE_COMP[],S$1,0),"ERROR")</f>
        <v>7737</v>
      </c>
      <c r="T24" s="28"/>
    </row>
    <row r="25" spans="1:20" s="123" customFormat="1" x14ac:dyDescent="0.25">
      <c r="A25" s="107"/>
      <c r="B25" s="127" t="s">
        <v>402</v>
      </c>
      <c r="C25" s="109">
        <f>IFERROR(VLOOKUP($B25,MMWR_TRAD_AGG_STATE_COMP[],C$1,0),"ERROR")</f>
        <v>8344</v>
      </c>
      <c r="D25" s="110">
        <f>IFERROR(VLOOKUP($B25,MMWR_TRAD_AGG_STATE_COMP[],D$1,0),"ERROR")</f>
        <v>659.15316395009995</v>
      </c>
      <c r="E25" s="111">
        <f>IFERROR(VLOOKUP($B25,MMWR_TRAD_AGG_STATE_COMP[],E$1,0),"ERROR")</f>
        <v>5103</v>
      </c>
      <c r="F25" s="112">
        <f>IFERROR(VLOOKUP($B25,MMWR_TRAD_AGG_STATE_COMP[],F$1,0),"ERROR")</f>
        <v>1230</v>
      </c>
      <c r="G25" s="113">
        <f t="shared" si="0"/>
        <v>0.24103468547912993</v>
      </c>
      <c r="H25" s="111">
        <f>IFERROR(VLOOKUP($B25,MMWR_TRAD_AGG_STATE_COMP[],H$1,0),"ERROR")</f>
        <v>11166</v>
      </c>
      <c r="I25" s="112">
        <f>IFERROR(VLOOKUP($B25,MMWR_TRAD_AGG_STATE_COMP[],I$1,0),"ERROR")</f>
        <v>7999</v>
      </c>
      <c r="J25" s="114">
        <f t="shared" si="1"/>
        <v>0.71637112663442593</v>
      </c>
      <c r="K25" s="111">
        <f>IFERROR(VLOOKUP($B25,MMWR_TRAD_AGG_STATE_COMP[],K$1,0),"ERROR")</f>
        <v>1153</v>
      </c>
      <c r="L25" s="112">
        <f>IFERROR(VLOOKUP($B25,MMWR_TRAD_AGG_STATE_COMP[],L$1,0),"ERROR")</f>
        <v>967</v>
      </c>
      <c r="M25" s="114">
        <f t="shared" si="2"/>
        <v>0.83868169991326968</v>
      </c>
      <c r="N25" s="111">
        <f>IFERROR(VLOOKUP($B25,MMWR_TRAD_AGG_STATE_COMP[],N$1,0),"ERROR")</f>
        <v>2206</v>
      </c>
      <c r="O25" s="112">
        <f>IFERROR(VLOOKUP($B25,MMWR_TRAD_AGG_STATE_COMP[],O$1,0),"ERROR")</f>
        <v>1470</v>
      </c>
      <c r="P25" s="114">
        <f t="shared" si="3"/>
        <v>0.6663644605621033</v>
      </c>
      <c r="Q25" s="115">
        <f>IFERROR(VLOOKUP($B25,MMWR_TRAD_AGG_STATE_COMP[],Q$1,0),"ERROR")</f>
        <v>20</v>
      </c>
      <c r="R25" s="115">
        <f>IFERROR(VLOOKUP($B25,MMWR_TRAD_AGG_STATE_COMP[],R$1,0),"ERROR")</f>
        <v>200</v>
      </c>
      <c r="S25" s="115">
        <f>IFERROR(VLOOKUP($B25,MMWR_APP_STATE_COMP[],S$1,0),"ERROR")</f>
        <v>8030</v>
      </c>
      <c r="T25" s="28"/>
    </row>
    <row r="26" spans="1:20" s="123" customFormat="1" x14ac:dyDescent="0.25">
      <c r="A26" s="107"/>
      <c r="B26" s="127" t="s">
        <v>409</v>
      </c>
      <c r="C26" s="109">
        <f>IFERROR(VLOOKUP($B26,MMWR_TRAD_AGG_STATE_COMP[],C$1,0),"ERROR")</f>
        <v>1658</v>
      </c>
      <c r="D26" s="110">
        <f>IFERROR(VLOOKUP($B26,MMWR_TRAD_AGG_STATE_COMP[],D$1,0),"ERROR")</f>
        <v>181.28287092880001</v>
      </c>
      <c r="E26" s="111">
        <f>IFERROR(VLOOKUP($B26,MMWR_TRAD_AGG_STATE_COMP[],E$1,0),"ERROR")</f>
        <v>2389</v>
      </c>
      <c r="F26" s="112">
        <f>IFERROR(VLOOKUP($B26,MMWR_TRAD_AGG_STATE_COMP[],F$1,0),"ERROR")</f>
        <v>571</v>
      </c>
      <c r="G26" s="113">
        <f t="shared" si="0"/>
        <v>0.23901213897028045</v>
      </c>
      <c r="H26" s="111">
        <f>IFERROR(VLOOKUP($B26,MMWR_TRAD_AGG_STATE_COMP[],H$1,0),"ERROR")</f>
        <v>3332</v>
      </c>
      <c r="I26" s="112">
        <f>IFERROR(VLOOKUP($B26,MMWR_TRAD_AGG_STATE_COMP[],I$1,0),"ERROR")</f>
        <v>1199</v>
      </c>
      <c r="J26" s="114">
        <f t="shared" si="1"/>
        <v>0.35984393757503003</v>
      </c>
      <c r="K26" s="111">
        <f>IFERROR(VLOOKUP($B26,MMWR_TRAD_AGG_STATE_COMP[],K$1,0),"ERROR")</f>
        <v>272</v>
      </c>
      <c r="L26" s="112">
        <f>IFERROR(VLOOKUP($B26,MMWR_TRAD_AGG_STATE_COMP[],L$1,0),"ERROR")</f>
        <v>221</v>
      </c>
      <c r="M26" s="114">
        <f t="shared" si="2"/>
        <v>0.8125</v>
      </c>
      <c r="N26" s="111">
        <f>IFERROR(VLOOKUP($B26,MMWR_TRAD_AGG_STATE_COMP[],N$1,0),"ERROR")</f>
        <v>1296</v>
      </c>
      <c r="O26" s="112">
        <f>IFERROR(VLOOKUP($B26,MMWR_TRAD_AGG_STATE_COMP[],O$1,0),"ERROR")</f>
        <v>1055</v>
      </c>
      <c r="P26" s="114">
        <f t="shared" si="3"/>
        <v>0.81404320987654322</v>
      </c>
      <c r="Q26" s="115">
        <f>IFERROR(VLOOKUP($B26,MMWR_TRAD_AGG_STATE_COMP[],Q$1,0),"ERROR")</f>
        <v>0</v>
      </c>
      <c r="R26" s="115">
        <f>IFERROR(VLOOKUP($B26,MMWR_TRAD_AGG_STATE_COMP[],R$1,0),"ERROR")</f>
        <v>13</v>
      </c>
      <c r="S26" s="115">
        <f>IFERROR(VLOOKUP($B26,MMWR_APP_STATE_COMP[],S$1,0),"ERROR")</f>
        <v>1219</v>
      </c>
      <c r="T26" s="28"/>
    </row>
    <row r="27" spans="1:20" s="123" customFormat="1" x14ac:dyDescent="0.25">
      <c r="A27" s="107"/>
      <c r="B27" s="127" t="s">
        <v>432</v>
      </c>
      <c r="C27" s="109">
        <f>IFERROR(VLOOKUP($B27,MMWR_TRAD_AGG_STATE_COMP[],C$1,0),"ERROR")</f>
        <v>2129</v>
      </c>
      <c r="D27" s="110">
        <f>IFERROR(VLOOKUP($B27,MMWR_TRAD_AGG_STATE_COMP[],D$1,0),"ERROR")</f>
        <v>236.6496007515</v>
      </c>
      <c r="E27" s="111">
        <f>IFERROR(VLOOKUP($B27,MMWR_TRAD_AGG_STATE_COMP[],E$1,0),"ERROR")</f>
        <v>2619</v>
      </c>
      <c r="F27" s="112">
        <f>IFERROR(VLOOKUP($B27,MMWR_TRAD_AGG_STATE_COMP[],F$1,0),"ERROR")</f>
        <v>591</v>
      </c>
      <c r="G27" s="113">
        <f t="shared" si="0"/>
        <v>0.22565864833906071</v>
      </c>
      <c r="H27" s="111">
        <f>IFERROR(VLOOKUP($B27,MMWR_TRAD_AGG_STATE_COMP[],H$1,0),"ERROR")</f>
        <v>3649</v>
      </c>
      <c r="I27" s="112">
        <f>IFERROR(VLOOKUP($B27,MMWR_TRAD_AGG_STATE_COMP[],I$1,0),"ERROR")</f>
        <v>1508</v>
      </c>
      <c r="J27" s="114">
        <f t="shared" si="1"/>
        <v>0.41326390791997808</v>
      </c>
      <c r="K27" s="111">
        <f>IFERROR(VLOOKUP($B27,MMWR_TRAD_AGG_STATE_COMP[],K$1,0),"ERROR")</f>
        <v>548</v>
      </c>
      <c r="L27" s="112">
        <f>IFERROR(VLOOKUP($B27,MMWR_TRAD_AGG_STATE_COMP[],L$1,0),"ERROR")</f>
        <v>330</v>
      </c>
      <c r="M27" s="114">
        <f t="shared" si="2"/>
        <v>0.6021897810218978</v>
      </c>
      <c r="N27" s="111">
        <f>IFERROR(VLOOKUP($B27,MMWR_TRAD_AGG_STATE_COMP[],N$1,0),"ERROR")</f>
        <v>439</v>
      </c>
      <c r="O27" s="112">
        <f>IFERROR(VLOOKUP($B27,MMWR_TRAD_AGG_STATE_COMP[],O$1,0),"ERROR")</f>
        <v>201</v>
      </c>
      <c r="P27" s="114">
        <f t="shared" si="3"/>
        <v>0.45785876993166286</v>
      </c>
      <c r="Q27" s="115">
        <f>IFERROR(VLOOKUP($B27,MMWR_TRAD_AGG_STATE_COMP[],Q$1,0),"ERROR")</f>
        <v>1</v>
      </c>
      <c r="R27" s="115">
        <f>IFERROR(VLOOKUP($B27,MMWR_TRAD_AGG_STATE_COMP[],R$1,0),"ERROR")</f>
        <v>15</v>
      </c>
      <c r="S27" s="115">
        <f>IFERROR(VLOOKUP($B27,MMWR_APP_STATE_COMP[],S$1,0),"ERROR")</f>
        <v>1395</v>
      </c>
      <c r="T27" s="28"/>
    </row>
    <row r="28" spans="1:20" s="123" customFormat="1" x14ac:dyDescent="0.25">
      <c r="A28" s="107"/>
      <c r="B28" s="127" t="s">
        <v>405</v>
      </c>
      <c r="C28" s="109">
        <f>IFERROR(VLOOKUP($B28,MMWR_TRAD_AGG_STATE_COMP[],C$1,0),"ERROR")</f>
        <v>3892</v>
      </c>
      <c r="D28" s="110">
        <f>IFERROR(VLOOKUP($B28,MMWR_TRAD_AGG_STATE_COMP[],D$1,0),"ERROR")</f>
        <v>256.4177800617</v>
      </c>
      <c r="E28" s="111">
        <f>IFERROR(VLOOKUP($B28,MMWR_TRAD_AGG_STATE_COMP[],E$1,0),"ERROR")</f>
        <v>7385</v>
      </c>
      <c r="F28" s="112">
        <f>IFERROR(VLOOKUP($B28,MMWR_TRAD_AGG_STATE_COMP[],F$1,0),"ERROR")</f>
        <v>2072</v>
      </c>
      <c r="G28" s="113">
        <f t="shared" si="0"/>
        <v>0.28056872037914693</v>
      </c>
      <c r="H28" s="111">
        <f>IFERROR(VLOOKUP($B28,MMWR_TRAD_AGG_STATE_COMP[],H$1,0),"ERROR")</f>
        <v>7732</v>
      </c>
      <c r="I28" s="112">
        <f>IFERROR(VLOOKUP($B28,MMWR_TRAD_AGG_STATE_COMP[],I$1,0),"ERROR")</f>
        <v>3379</v>
      </c>
      <c r="J28" s="114">
        <f t="shared" si="1"/>
        <v>0.43701500258665288</v>
      </c>
      <c r="K28" s="111">
        <f>IFERROR(VLOOKUP($B28,MMWR_TRAD_AGG_STATE_COMP[],K$1,0),"ERROR")</f>
        <v>970</v>
      </c>
      <c r="L28" s="112">
        <f>IFERROR(VLOOKUP($B28,MMWR_TRAD_AGG_STATE_COMP[],L$1,0),"ERROR")</f>
        <v>791</v>
      </c>
      <c r="M28" s="114">
        <f t="shared" si="2"/>
        <v>0.81546391752577319</v>
      </c>
      <c r="N28" s="111">
        <f>IFERROR(VLOOKUP($B28,MMWR_TRAD_AGG_STATE_COMP[],N$1,0),"ERROR")</f>
        <v>1222</v>
      </c>
      <c r="O28" s="112">
        <f>IFERROR(VLOOKUP($B28,MMWR_TRAD_AGG_STATE_COMP[],O$1,0),"ERROR")</f>
        <v>700</v>
      </c>
      <c r="P28" s="114">
        <f t="shared" si="3"/>
        <v>0.57283142389525366</v>
      </c>
      <c r="Q28" s="115">
        <f>IFERROR(VLOOKUP($B28,MMWR_TRAD_AGG_STATE_COMP[],Q$1,0),"ERROR")</f>
        <v>27</v>
      </c>
      <c r="R28" s="115">
        <f>IFERROR(VLOOKUP($B28,MMWR_TRAD_AGG_STATE_COMP[],R$1,0),"ERROR")</f>
        <v>201</v>
      </c>
      <c r="S28" s="115">
        <f>IFERROR(VLOOKUP($B28,MMWR_APP_STATE_COMP[],S$1,0),"ERROR")</f>
        <v>6379</v>
      </c>
      <c r="T28" s="28"/>
    </row>
    <row r="29" spans="1:20" s="123" customFormat="1" x14ac:dyDescent="0.25">
      <c r="A29" s="107"/>
      <c r="B29" s="127" t="s">
        <v>411</v>
      </c>
      <c r="C29" s="109">
        <f>IFERROR(VLOOKUP($B29,MMWR_TRAD_AGG_STATE_COMP[],C$1,0),"ERROR")</f>
        <v>1448</v>
      </c>
      <c r="D29" s="110">
        <f>IFERROR(VLOOKUP($B29,MMWR_TRAD_AGG_STATE_COMP[],D$1,0),"ERROR")</f>
        <v>202.453038674</v>
      </c>
      <c r="E29" s="111">
        <f>IFERROR(VLOOKUP($B29,MMWR_TRAD_AGG_STATE_COMP[],E$1,0),"ERROR")</f>
        <v>5319</v>
      </c>
      <c r="F29" s="112">
        <f>IFERROR(VLOOKUP($B29,MMWR_TRAD_AGG_STATE_COMP[],F$1,0),"ERROR")</f>
        <v>1214</v>
      </c>
      <c r="G29" s="113">
        <f t="shared" si="0"/>
        <v>0.2282383906749389</v>
      </c>
      <c r="H29" s="111">
        <f>IFERROR(VLOOKUP($B29,MMWR_TRAD_AGG_STATE_COMP[],H$1,0),"ERROR")</f>
        <v>4744</v>
      </c>
      <c r="I29" s="112">
        <f>IFERROR(VLOOKUP($B29,MMWR_TRAD_AGG_STATE_COMP[],I$1,0),"ERROR")</f>
        <v>1179</v>
      </c>
      <c r="J29" s="114">
        <f t="shared" si="1"/>
        <v>0.24852445193929174</v>
      </c>
      <c r="K29" s="111">
        <f>IFERROR(VLOOKUP($B29,MMWR_TRAD_AGG_STATE_COMP[],K$1,0),"ERROR")</f>
        <v>324</v>
      </c>
      <c r="L29" s="112">
        <f>IFERROR(VLOOKUP($B29,MMWR_TRAD_AGG_STATE_COMP[],L$1,0),"ERROR")</f>
        <v>233</v>
      </c>
      <c r="M29" s="114">
        <f t="shared" si="2"/>
        <v>0.71913580246913578</v>
      </c>
      <c r="N29" s="111">
        <f>IFERROR(VLOOKUP($B29,MMWR_TRAD_AGG_STATE_COMP[],N$1,0),"ERROR")</f>
        <v>1175</v>
      </c>
      <c r="O29" s="112">
        <f>IFERROR(VLOOKUP($B29,MMWR_TRAD_AGG_STATE_COMP[],O$1,0),"ERROR")</f>
        <v>581</v>
      </c>
      <c r="P29" s="114">
        <f t="shared" si="3"/>
        <v>0.49446808510638296</v>
      </c>
      <c r="Q29" s="115">
        <f>IFERROR(VLOOKUP($B29,MMWR_TRAD_AGG_STATE_COMP[],Q$1,0),"ERROR")</f>
        <v>5</v>
      </c>
      <c r="R29" s="115">
        <f>IFERROR(VLOOKUP($B29,MMWR_TRAD_AGG_STATE_COMP[],R$1,0),"ERROR")</f>
        <v>2</v>
      </c>
      <c r="S29" s="115">
        <f>IFERROR(VLOOKUP($B29,MMWR_APP_STATE_COMP[],S$1,0),"ERROR")</f>
        <v>2174</v>
      </c>
      <c r="T29" s="28"/>
    </row>
    <row r="30" spans="1:20" s="123" customFormat="1" x14ac:dyDescent="0.25">
      <c r="A30" s="107"/>
      <c r="B30" s="127" t="s">
        <v>407</v>
      </c>
      <c r="C30" s="109">
        <f>IFERROR(VLOOKUP($B30,MMWR_TRAD_AGG_STATE_COMP[],C$1,0),"ERROR")</f>
        <v>6077</v>
      </c>
      <c r="D30" s="110">
        <f>IFERROR(VLOOKUP($B30,MMWR_TRAD_AGG_STATE_COMP[],D$1,0),"ERROR")</f>
        <v>281.19861773899999</v>
      </c>
      <c r="E30" s="111">
        <f>IFERROR(VLOOKUP($B30,MMWR_TRAD_AGG_STATE_COMP[],E$1,0),"ERROR")</f>
        <v>5546</v>
      </c>
      <c r="F30" s="112">
        <f>IFERROR(VLOOKUP($B30,MMWR_TRAD_AGG_STATE_COMP[],F$1,0),"ERROR")</f>
        <v>1135</v>
      </c>
      <c r="G30" s="113">
        <f t="shared" si="0"/>
        <v>0.20465200144248108</v>
      </c>
      <c r="H30" s="111">
        <f>IFERROR(VLOOKUP($B30,MMWR_TRAD_AGG_STATE_COMP[],H$1,0),"ERROR")</f>
        <v>8996</v>
      </c>
      <c r="I30" s="112">
        <f>IFERROR(VLOOKUP($B30,MMWR_TRAD_AGG_STATE_COMP[],I$1,0),"ERROR")</f>
        <v>5324</v>
      </c>
      <c r="J30" s="114">
        <f t="shared" si="1"/>
        <v>0.59181858603823922</v>
      </c>
      <c r="K30" s="111">
        <f>IFERROR(VLOOKUP($B30,MMWR_TRAD_AGG_STATE_COMP[],K$1,0),"ERROR")</f>
        <v>2140</v>
      </c>
      <c r="L30" s="112">
        <f>IFERROR(VLOOKUP($B30,MMWR_TRAD_AGG_STATE_COMP[],L$1,0),"ERROR")</f>
        <v>1973</v>
      </c>
      <c r="M30" s="114">
        <f t="shared" si="2"/>
        <v>0.92196261682242986</v>
      </c>
      <c r="N30" s="111">
        <f>IFERROR(VLOOKUP($B30,MMWR_TRAD_AGG_STATE_COMP[],N$1,0),"ERROR")</f>
        <v>6026</v>
      </c>
      <c r="O30" s="112">
        <f>IFERROR(VLOOKUP($B30,MMWR_TRAD_AGG_STATE_COMP[],O$1,0),"ERROR")</f>
        <v>4515</v>
      </c>
      <c r="P30" s="114">
        <f t="shared" si="3"/>
        <v>0.7492532359774311</v>
      </c>
      <c r="Q30" s="115">
        <f>IFERROR(VLOOKUP($B30,MMWR_TRAD_AGG_STATE_COMP[],Q$1,0),"ERROR")</f>
        <v>12</v>
      </c>
      <c r="R30" s="115">
        <f>IFERROR(VLOOKUP($B30,MMWR_TRAD_AGG_STATE_COMP[],R$1,0),"ERROR")</f>
        <v>103</v>
      </c>
      <c r="S30" s="115">
        <f>IFERROR(VLOOKUP($B30,MMWR_APP_STATE_COMP[],S$1,0),"ERROR")</f>
        <v>6791</v>
      </c>
      <c r="T30" s="28"/>
    </row>
    <row r="31" spans="1:20" s="123" customFormat="1" x14ac:dyDescent="0.25">
      <c r="A31" s="107"/>
      <c r="B31" s="127" t="s">
        <v>410</v>
      </c>
      <c r="C31" s="109">
        <f>IFERROR(VLOOKUP($B31,MMWR_TRAD_AGG_STATE_COMP[],C$1,0),"ERROR")</f>
        <v>1315</v>
      </c>
      <c r="D31" s="110">
        <f>IFERROR(VLOOKUP($B31,MMWR_TRAD_AGG_STATE_COMP[],D$1,0),"ERROR")</f>
        <v>206.697338403</v>
      </c>
      <c r="E31" s="111">
        <f>IFERROR(VLOOKUP($B31,MMWR_TRAD_AGG_STATE_COMP[],E$1,0),"ERROR")</f>
        <v>2014</v>
      </c>
      <c r="F31" s="112">
        <f>IFERROR(VLOOKUP($B31,MMWR_TRAD_AGG_STATE_COMP[],F$1,0),"ERROR")</f>
        <v>323</v>
      </c>
      <c r="G31" s="113">
        <f t="shared" si="0"/>
        <v>0.16037735849056603</v>
      </c>
      <c r="H31" s="111">
        <f>IFERROR(VLOOKUP($B31,MMWR_TRAD_AGG_STATE_COMP[],H$1,0),"ERROR")</f>
        <v>2524</v>
      </c>
      <c r="I31" s="112">
        <f>IFERROR(VLOOKUP($B31,MMWR_TRAD_AGG_STATE_COMP[],I$1,0),"ERROR")</f>
        <v>773</v>
      </c>
      <c r="J31" s="114">
        <f t="shared" si="1"/>
        <v>0.30625990491283678</v>
      </c>
      <c r="K31" s="111">
        <f>IFERROR(VLOOKUP($B31,MMWR_TRAD_AGG_STATE_COMP[],K$1,0),"ERROR")</f>
        <v>883</v>
      </c>
      <c r="L31" s="112">
        <f>IFERROR(VLOOKUP($B31,MMWR_TRAD_AGG_STATE_COMP[],L$1,0),"ERROR")</f>
        <v>444</v>
      </c>
      <c r="M31" s="114">
        <f t="shared" si="2"/>
        <v>0.50283125707814269</v>
      </c>
      <c r="N31" s="111">
        <f>IFERROR(VLOOKUP($B31,MMWR_TRAD_AGG_STATE_COMP[],N$1,0),"ERROR")</f>
        <v>386</v>
      </c>
      <c r="O31" s="112">
        <f>IFERROR(VLOOKUP($B31,MMWR_TRAD_AGG_STATE_COMP[],O$1,0),"ERROR")</f>
        <v>158</v>
      </c>
      <c r="P31" s="114">
        <f t="shared" si="3"/>
        <v>0.40932642487046633</v>
      </c>
      <c r="Q31" s="115">
        <f>IFERROR(VLOOKUP($B31,MMWR_TRAD_AGG_STATE_COMP[],Q$1,0),"ERROR")</f>
        <v>1</v>
      </c>
      <c r="R31" s="115">
        <f>IFERROR(VLOOKUP($B31,MMWR_TRAD_AGG_STATE_COMP[],R$1,0),"ERROR")</f>
        <v>14</v>
      </c>
      <c r="S31" s="115">
        <f>IFERROR(VLOOKUP($B31,MMWR_APP_STATE_COMP[],S$1,0),"ERROR")</f>
        <v>1570</v>
      </c>
      <c r="T31" s="28"/>
    </row>
    <row r="32" spans="1:20" s="123" customFormat="1" x14ac:dyDescent="0.25">
      <c r="A32" s="107"/>
      <c r="B32" s="127" t="s">
        <v>429</v>
      </c>
      <c r="C32" s="109">
        <f>IFERROR(VLOOKUP($B32,MMWR_TRAD_AGG_STATE_COMP[],C$1,0),"ERROR")</f>
        <v>242</v>
      </c>
      <c r="D32" s="110">
        <f>IFERROR(VLOOKUP($B32,MMWR_TRAD_AGG_STATE_COMP[],D$1,0),"ERROR")</f>
        <v>222.07851239670001</v>
      </c>
      <c r="E32" s="111">
        <f>IFERROR(VLOOKUP($B32,MMWR_TRAD_AGG_STATE_COMP[],E$1,0),"ERROR")</f>
        <v>655</v>
      </c>
      <c r="F32" s="112">
        <f>IFERROR(VLOOKUP($B32,MMWR_TRAD_AGG_STATE_COMP[],F$1,0),"ERROR")</f>
        <v>135</v>
      </c>
      <c r="G32" s="113">
        <f t="shared" si="0"/>
        <v>0.20610687022900764</v>
      </c>
      <c r="H32" s="111">
        <f>IFERROR(VLOOKUP($B32,MMWR_TRAD_AGG_STATE_COMP[],H$1,0),"ERROR")</f>
        <v>563</v>
      </c>
      <c r="I32" s="112">
        <f>IFERROR(VLOOKUP($B32,MMWR_TRAD_AGG_STATE_COMP[],I$1,0),"ERROR")</f>
        <v>148</v>
      </c>
      <c r="J32" s="114">
        <f t="shared" si="1"/>
        <v>0.26287744227353466</v>
      </c>
      <c r="K32" s="111">
        <f>IFERROR(VLOOKUP($B32,MMWR_TRAD_AGG_STATE_COMP[],K$1,0),"ERROR")</f>
        <v>80</v>
      </c>
      <c r="L32" s="112">
        <f>IFERROR(VLOOKUP($B32,MMWR_TRAD_AGG_STATE_COMP[],L$1,0),"ERROR")</f>
        <v>42</v>
      </c>
      <c r="M32" s="114">
        <f t="shared" si="2"/>
        <v>0.52500000000000002</v>
      </c>
      <c r="N32" s="111">
        <f>IFERROR(VLOOKUP($B32,MMWR_TRAD_AGG_STATE_COMP[],N$1,0),"ERROR")</f>
        <v>113</v>
      </c>
      <c r="O32" s="112">
        <f>IFERROR(VLOOKUP($B32,MMWR_TRAD_AGG_STATE_COMP[],O$1,0),"ERROR")</f>
        <v>43</v>
      </c>
      <c r="P32" s="114">
        <f t="shared" si="3"/>
        <v>0.38053097345132741</v>
      </c>
      <c r="Q32" s="115">
        <f>IFERROR(VLOOKUP($B32,MMWR_TRAD_AGG_STATE_COMP[],Q$1,0),"ERROR")</f>
        <v>0</v>
      </c>
      <c r="R32" s="115">
        <f>IFERROR(VLOOKUP($B32,MMWR_TRAD_AGG_STATE_COMP[],R$1,0),"ERROR")</f>
        <v>0</v>
      </c>
      <c r="S32" s="115">
        <f>IFERROR(VLOOKUP($B32,MMWR_APP_STATE_COMP[],S$1,0),"ERROR")</f>
        <v>400</v>
      </c>
      <c r="T32" s="28"/>
    </row>
    <row r="33" spans="1:20" s="123" customFormat="1" x14ac:dyDescent="0.25">
      <c r="A33" s="107"/>
      <c r="B33" s="127" t="s">
        <v>401</v>
      </c>
      <c r="C33" s="109">
        <f>IFERROR(VLOOKUP($B33,MMWR_TRAD_AGG_STATE_COMP[],C$1,0),"ERROR")</f>
        <v>9129</v>
      </c>
      <c r="D33" s="110">
        <f>IFERROR(VLOOKUP($B33,MMWR_TRAD_AGG_STATE_COMP[],D$1,0),"ERROR")</f>
        <v>484.27790557560002</v>
      </c>
      <c r="E33" s="111">
        <f>IFERROR(VLOOKUP($B33,MMWR_TRAD_AGG_STATE_COMP[],E$1,0),"ERROR")</f>
        <v>8457</v>
      </c>
      <c r="F33" s="112">
        <f>IFERROR(VLOOKUP($B33,MMWR_TRAD_AGG_STATE_COMP[],F$1,0),"ERROR")</f>
        <v>2154</v>
      </c>
      <c r="G33" s="113">
        <f t="shared" si="0"/>
        <v>0.25470024831500532</v>
      </c>
      <c r="H33" s="111">
        <f>IFERROR(VLOOKUP($B33,MMWR_TRAD_AGG_STATE_COMP[],H$1,0),"ERROR")</f>
        <v>12669</v>
      </c>
      <c r="I33" s="112">
        <f>IFERROR(VLOOKUP($B33,MMWR_TRAD_AGG_STATE_COMP[],I$1,0),"ERROR")</f>
        <v>9281</v>
      </c>
      <c r="J33" s="114">
        <f t="shared" si="1"/>
        <v>0.73257557818296626</v>
      </c>
      <c r="K33" s="111">
        <f>IFERROR(VLOOKUP($B33,MMWR_TRAD_AGG_STATE_COMP[],K$1,0),"ERROR")</f>
        <v>1597</v>
      </c>
      <c r="L33" s="112">
        <f>IFERROR(VLOOKUP($B33,MMWR_TRAD_AGG_STATE_COMP[],L$1,0),"ERROR")</f>
        <v>1501</v>
      </c>
      <c r="M33" s="114">
        <f t="shared" si="2"/>
        <v>0.93988728866624927</v>
      </c>
      <c r="N33" s="111">
        <f>IFERROR(VLOOKUP($B33,MMWR_TRAD_AGG_STATE_COMP[],N$1,0),"ERROR")</f>
        <v>5904</v>
      </c>
      <c r="O33" s="112">
        <f>IFERROR(VLOOKUP($B33,MMWR_TRAD_AGG_STATE_COMP[],O$1,0),"ERROR")</f>
        <v>3463</v>
      </c>
      <c r="P33" s="114">
        <f t="shared" si="3"/>
        <v>0.58655149051490518</v>
      </c>
      <c r="Q33" s="115">
        <f>IFERROR(VLOOKUP($B33,MMWR_TRAD_AGG_STATE_COMP[],Q$1,0),"ERROR")</f>
        <v>43</v>
      </c>
      <c r="R33" s="115">
        <f>IFERROR(VLOOKUP($B33,MMWR_TRAD_AGG_STATE_COMP[],R$1,0),"ERROR")</f>
        <v>341</v>
      </c>
      <c r="S33" s="115">
        <f>IFERROR(VLOOKUP($B33,MMWR_APP_STATE_COMP[],S$1,0),"ERROR")</f>
        <v>13971</v>
      </c>
      <c r="T33" s="28"/>
    </row>
    <row r="34" spans="1:20" s="123" customFormat="1" x14ac:dyDescent="0.25">
      <c r="A34" s="107"/>
      <c r="B34" s="127" t="s">
        <v>430</v>
      </c>
      <c r="C34" s="109">
        <f>IFERROR(VLOOKUP($B34,MMWR_TRAD_AGG_STATE_COMP[],C$1,0),"ERROR")</f>
        <v>533</v>
      </c>
      <c r="D34" s="110">
        <f>IFERROR(VLOOKUP($B34,MMWR_TRAD_AGG_STATE_COMP[],D$1,0),"ERROR")</f>
        <v>197.05440900560001</v>
      </c>
      <c r="E34" s="111">
        <f>IFERROR(VLOOKUP($B34,MMWR_TRAD_AGG_STATE_COMP[],E$1,0),"ERROR")</f>
        <v>909</v>
      </c>
      <c r="F34" s="112">
        <f>IFERROR(VLOOKUP($B34,MMWR_TRAD_AGG_STATE_COMP[],F$1,0),"ERROR")</f>
        <v>225</v>
      </c>
      <c r="G34" s="113">
        <f t="shared" si="0"/>
        <v>0.24752475247524752</v>
      </c>
      <c r="H34" s="111">
        <f>IFERROR(VLOOKUP($B34,MMWR_TRAD_AGG_STATE_COMP[],H$1,0),"ERROR")</f>
        <v>1130</v>
      </c>
      <c r="I34" s="112">
        <f>IFERROR(VLOOKUP($B34,MMWR_TRAD_AGG_STATE_COMP[],I$1,0),"ERROR")</f>
        <v>251</v>
      </c>
      <c r="J34" s="114">
        <f t="shared" si="1"/>
        <v>0.22212389380530972</v>
      </c>
      <c r="K34" s="111">
        <f>IFERROR(VLOOKUP($B34,MMWR_TRAD_AGG_STATE_COMP[],K$1,0),"ERROR")</f>
        <v>384</v>
      </c>
      <c r="L34" s="112">
        <f>IFERROR(VLOOKUP($B34,MMWR_TRAD_AGG_STATE_COMP[],L$1,0),"ERROR")</f>
        <v>99</v>
      </c>
      <c r="M34" s="114">
        <f t="shared" si="2"/>
        <v>0.2578125</v>
      </c>
      <c r="N34" s="111">
        <f>IFERROR(VLOOKUP($B34,MMWR_TRAD_AGG_STATE_COMP[],N$1,0),"ERROR")</f>
        <v>119</v>
      </c>
      <c r="O34" s="112">
        <f>IFERROR(VLOOKUP($B34,MMWR_TRAD_AGG_STATE_COMP[],O$1,0),"ERROR")</f>
        <v>51</v>
      </c>
      <c r="P34" s="114">
        <f t="shared" si="3"/>
        <v>0.42857142857142855</v>
      </c>
      <c r="Q34" s="115">
        <f>IFERROR(VLOOKUP($B34,MMWR_TRAD_AGG_STATE_COMP[],Q$1,0),"ERROR")</f>
        <v>1</v>
      </c>
      <c r="R34" s="115">
        <f>IFERROR(VLOOKUP($B34,MMWR_TRAD_AGG_STATE_COMP[],R$1,0),"ERROR")</f>
        <v>2</v>
      </c>
      <c r="S34" s="115">
        <f>IFERROR(VLOOKUP($B34,MMWR_APP_STATE_COMP[],S$1,0),"ERROR")</f>
        <v>194</v>
      </c>
      <c r="T34" s="28"/>
    </row>
    <row r="35" spans="1:20" s="123" customFormat="1" x14ac:dyDescent="0.25">
      <c r="A35" s="107"/>
      <c r="B35" s="127" t="s">
        <v>406</v>
      </c>
      <c r="C35" s="109">
        <f>IFERROR(VLOOKUP($B35,MMWR_TRAD_AGG_STATE_COMP[],C$1,0),"ERROR")</f>
        <v>5040</v>
      </c>
      <c r="D35" s="110">
        <f>IFERROR(VLOOKUP($B35,MMWR_TRAD_AGG_STATE_COMP[],D$1,0),"ERROR")</f>
        <v>234.4751984127</v>
      </c>
      <c r="E35" s="111">
        <f>IFERROR(VLOOKUP($B35,MMWR_TRAD_AGG_STATE_COMP[],E$1,0),"ERROR")</f>
        <v>3843</v>
      </c>
      <c r="F35" s="112">
        <f>IFERROR(VLOOKUP($B35,MMWR_TRAD_AGG_STATE_COMP[],F$1,0),"ERROR")</f>
        <v>949</v>
      </c>
      <c r="G35" s="113">
        <f t="shared" si="0"/>
        <v>0.24694249284413219</v>
      </c>
      <c r="H35" s="111">
        <f>IFERROR(VLOOKUP($B35,MMWR_TRAD_AGG_STATE_COMP[],H$1,0),"ERROR")</f>
        <v>6851</v>
      </c>
      <c r="I35" s="112">
        <f>IFERROR(VLOOKUP($B35,MMWR_TRAD_AGG_STATE_COMP[],I$1,0),"ERROR")</f>
        <v>3517</v>
      </c>
      <c r="J35" s="114">
        <f t="shared" si="1"/>
        <v>0.51335571449423445</v>
      </c>
      <c r="K35" s="111">
        <f>IFERROR(VLOOKUP($B35,MMWR_TRAD_AGG_STATE_COMP[],K$1,0),"ERROR")</f>
        <v>330</v>
      </c>
      <c r="L35" s="112">
        <f>IFERROR(VLOOKUP($B35,MMWR_TRAD_AGG_STATE_COMP[],L$1,0),"ERROR")</f>
        <v>260</v>
      </c>
      <c r="M35" s="114">
        <f t="shared" si="2"/>
        <v>0.78787878787878785</v>
      </c>
      <c r="N35" s="111">
        <f>IFERROR(VLOOKUP($B35,MMWR_TRAD_AGG_STATE_COMP[],N$1,0),"ERROR")</f>
        <v>751</v>
      </c>
      <c r="O35" s="112">
        <f>IFERROR(VLOOKUP($B35,MMWR_TRAD_AGG_STATE_COMP[],O$1,0),"ERROR")</f>
        <v>374</v>
      </c>
      <c r="P35" s="114">
        <f t="shared" si="3"/>
        <v>0.49800266311584551</v>
      </c>
      <c r="Q35" s="115">
        <f>IFERROR(VLOOKUP($B35,MMWR_TRAD_AGG_STATE_COMP[],Q$1,0),"ERROR")</f>
        <v>7</v>
      </c>
      <c r="R35" s="115">
        <f>IFERROR(VLOOKUP($B35,MMWR_TRAD_AGG_STATE_COMP[],R$1,0),"ERROR")</f>
        <v>9</v>
      </c>
      <c r="S35" s="115">
        <f>IFERROR(VLOOKUP($B35,MMWR_APP_STATE_COMP[],S$1,0),"ERROR")</f>
        <v>3200</v>
      </c>
      <c r="T35" s="28"/>
    </row>
    <row r="36" spans="1:20" s="123" customFormat="1" x14ac:dyDescent="0.25">
      <c r="A36" s="28"/>
      <c r="B36" s="126" t="s">
        <v>395</v>
      </c>
      <c r="C36" s="102">
        <f>IF(SUM(C37:C45)&lt;&gt;VLOOKUP($B36,MMWR_TRAD_AGG_ST_DISTRICT_COMP[],C$1,0),"ERROR",
VLOOKUP($B36,MMWR_TRAD_AGG_ST_DISTRICT_COMP[],C$1,0))</f>
        <v>66115</v>
      </c>
      <c r="D36" s="103">
        <f>IFERROR(VLOOKUP($B36,MMWR_TRAD_AGG_ST_DISTRICT_COMP[],D$1,0),"ERROR")</f>
        <v>344.35004159419998</v>
      </c>
      <c r="E36" s="102">
        <f>IFERROR(VLOOKUP($B36,MMWR_TRAD_AGG_ST_DISTRICT_COMP[],E$1,0),"ERROR")</f>
        <v>67893</v>
      </c>
      <c r="F36" s="102">
        <f>IFERROR(VLOOKUP($B36,MMWR_TRAD_AGG_ST_DISTRICT_COMP[],F$1,0),"ERROR")</f>
        <v>18426</v>
      </c>
      <c r="G36" s="104">
        <f t="shared" si="0"/>
        <v>0.27139764040475456</v>
      </c>
      <c r="H36" s="102">
        <f>IFERROR(VLOOKUP($B36,MMWR_TRAD_AGG_ST_DISTRICT_COMP[],H$1,0),"ERROR")</f>
        <v>94506</v>
      </c>
      <c r="I36" s="102">
        <f>IFERROR(VLOOKUP($B36,MMWR_TRAD_AGG_ST_DISTRICT_COMP[],I$1,0),"ERROR")</f>
        <v>54032</v>
      </c>
      <c r="J36" s="105">
        <f t="shared" si="1"/>
        <v>0.57173089539288513</v>
      </c>
      <c r="K36" s="102">
        <f>IFERROR(VLOOKUP($B36,MMWR_TRAD_AGG_ST_DISTRICT_COMP[],K$1,0),"ERROR")</f>
        <v>13544</v>
      </c>
      <c r="L36" s="102">
        <f>IFERROR(VLOOKUP($B36,MMWR_TRAD_AGG_ST_DISTRICT_COMP[],L$1,0),"ERROR")</f>
        <v>9564</v>
      </c>
      <c r="M36" s="105">
        <f t="shared" si="2"/>
        <v>0.70614294152392199</v>
      </c>
      <c r="N36" s="102">
        <f>IFERROR(VLOOKUP($B36,MMWR_TRAD_AGG_ST_DISTRICT_COMP[],N$1,0),"ERROR")</f>
        <v>23551</v>
      </c>
      <c r="O36" s="102">
        <f>IFERROR(VLOOKUP($B36,MMWR_TRAD_AGG_ST_DISTRICT_COMP[],O$1,0),"ERROR")</f>
        <v>14185</v>
      </c>
      <c r="P36" s="105">
        <f t="shared" si="3"/>
        <v>0.602309880684472</v>
      </c>
      <c r="Q36" s="102">
        <f>IFERROR(VLOOKUP($B36,MMWR_TRAD_AGG_ST_DISTRICT_COMP[],Q$1,0),"ERROR")</f>
        <v>99</v>
      </c>
      <c r="R36" s="106">
        <f>IFERROR(VLOOKUP($B36,MMWR_TRAD_AGG_ST_DISTRICT_COMP[],R$1,0),"ERROR")</f>
        <v>1192</v>
      </c>
      <c r="S36" s="106">
        <f>SUM(S37:S45)</f>
        <v>66898</v>
      </c>
      <c r="T36" s="28"/>
    </row>
    <row r="37" spans="1:20" s="123" customFormat="1" x14ac:dyDescent="0.25">
      <c r="A37" s="28"/>
      <c r="B37" s="127" t="s">
        <v>421</v>
      </c>
      <c r="C37" s="109">
        <f>IFERROR(VLOOKUP($B37,MMWR_TRAD_AGG_STATE_COMP[],C$1,0),"ERROR")</f>
        <v>5409</v>
      </c>
      <c r="D37" s="110">
        <f>IFERROR(VLOOKUP($B37,MMWR_TRAD_AGG_STATE_COMP[],D$1,0),"ERROR")</f>
        <v>342.60880014790001</v>
      </c>
      <c r="E37" s="111">
        <f>IFERROR(VLOOKUP($B37,MMWR_TRAD_AGG_STATE_COMP[],E$1,0),"ERROR")</f>
        <v>3622</v>
      </c>
      <c r="F37" s="112">
        <f>IFERROR(VLOOKUP($B37,MMWR_TRAD_AGG_STATE_COMP[],F$1,0),"ERROR")</f>
        <v>680</v>
      </c>
      <c r="G37" s="113">
        <f t="shared" si="0"/>
        <v>0.18774157923799006</v>
      </c>
      <c r="H37" s="111">
        <f>IFERROR(VLOOKUP($B37,MMWR_TRAD_AGG_STATE_COMP[],H$1,0),"ERROR")</f>
        <v>7671</v>
      </c>
      <c r="I37" s="112">
        <f>IFERROR(VLOOKUP($B37,MMWR_TRAD_AGG_STATE_COMP[],I$1,0),"ERROR")</f>
        <v>4361</v>
      </c>
      <c r="J37" s="114">
        <f t="shared" si="1"/>
        <v>0.568504758180159</v>
      </c>
      <c r="K37" s="111">
        <f>IFERROR(VLOOKUP($B37,MMWR_TRAD_AGG_STATE_COMP[],K$1,0),"ERROR")</f>
        <v>2320</v>
      </c>
      <c r="L37" s="112">
        <f>IFERROR(VLOOKUP($B37,MMWR_TRAD_AGG_STATE_COMP[],L$1,0),"ERROR")</f>
        <v>1496</v>
      </c>
      <c r="M37" s="114">
        <f t="shared" si="2"/>
        <v>0.64482758620689651</v>
      </c>
      <c r="N37" s="111">
        <f>IFERROR(VLOOKUP($B37,MMWR_TRAD_AGG_STATE_COMP[],N$1,0),"ERROR")</f>
        <v>3752</v>
      </c>
      <c r="O37" s="112">
        <f>IFERROR(VLOOKUP($B37,MMWR_TRAD_AGG_STATE_COMP[],O$1,0),"ERROR")</f>
        <v>2843</v>
      </c>
      <c r="P37" s="114">
        <f t="shared" si="3"/>
        <v>0.75772921108742008</v>
      </c>
      <c r="Q37" s="115">
        <f>IFERROR(VLOOKUP($B37,MMWR_TRAD_AGG_STATE_COMP[],Q$1,0),"ERROR")</f>
        <v>8</v>
      </c>
      <c r="R37" s="115">
        <f>IFERROR(VLOOKUP($B37,MMWR_TRAD_AGG_STATE_COMP[],R$1,0),"ERROR")</f>
        <v>151</v>
      </c>
      <c r="S37" s="115">
        <f>IFERROR(VLOOKUP($B37,MMWR_APP_STATE_COMP[],S$1,0),"ERROR")</f>
        <v>5323</v>
      </c>
      <c r="T37" s="28"/>
    </row>
    <row r="38" spans="1:20" s="123" customFormat="1" x14ac:dyDescent="0.25">
      <c r="A38" s="28"/>
      <c r="B38" s="127" t="s">
        <v>413</v>
      </c>
      <c r="C38" s="109">
        <f>IFERROR(VLOOKUP($B38,MMWR_TRAD_AGG_STATE_COMP[],C$1,0),"ERROR")</f>
        <v>7719</v>
      </c>
      <c r="D38" s="110">
        <f>IFERROR(VLOOKUP($B38,MMWR_TRAD_AGG_STATE_COMP[],D$1,0),"ERROR")</f>
        <v>397.09275812930002</v>
      </c>
      <c r="E38" s="111">
        <f>IFERROR(VLOOKUP($B38,MMWR_TRAD_AGG_STATE_COMP[],E$1,0),"ERROR")</f>
        <v>7217</v>
      </c>
      <c r="F38" s="112">
        <f>IFERROR(VLOOKUP($B38,MMWR_TRAD_AGG_STATE_COMP[],F$1,0),"ERROR")</f>
        <v>2353</v>
      </c>
      <c r="G38" s="113">
        <f t="shared" ref="G38:G64" si="4">IFERROR(F38/E38,"0%")</f>
        <v>0.32603574892614662</v>
      </c>
      <c r="H38" s="111">
        <f>IFERROR(VLOOKUP($B38,MMWR_TRAD_AGG_STATE_COMP[],H$1,0),"ERROR")</f>
        <v>10440</v>
      </c>
      <c r="I38" s="112">
        <f>IFERROR(VLOOKUP($B38,MMWR_TRAD_AGG_STATE_COMP[],I$1,0),"ERROR")</f>
        <v>6757</v>
      </c>
      <c r="J38" s="114">
        <f t="shared" ref="J38:J64" si="5">IFERROR(I38/H38,"0%")</f>
        <v>0.64722222222222225</v>
      </c>
      <c r="K38" s="111">
        <f>IFERROR(VLOOKUP($B38,MMWR_TRAD_AGG_STATE_COMP[],K$1,0),"ERROR")</f>
        <v>2120</v>
      </c>
      <c r="L38" s="112">
        <f>IFERROR(VLOOKUP($B38,MMWR_TRAD_AGG_STATE_COMP[],L$1,0),"ERROR")</f>
        <v>1721</v>
      </c>
      <c r="M38" s="114">
        <f t="shared" ref="M38:M64" si="6">IFERROR(L38/K38,"0%")</f>
        <v>0.81179245283018864</v>
      </c>
      <c r="N38" s="111">
        <f>IFERROR(VLOOKUP($B38,MMWR_TRAD_AGG_STATE_COMP[],N$1,0),"ERROR")</f>
        <v>4873</v>
      </c>
      <c r="O38" s="112">
        <f>IFERROR(VLOOKUP($B38,MMWR_TRAD_AGG_STATE_COMP[],O$1,0),"ERROR")</f>
        <v>3449</v>
      </c>
      <c r="P38" s="114">
        <f t="shared" ref="P38:P64" si="7">IFERROR(O38/N38,"0%")</f>
        <v>0.70777754976400575</v>
      </c>
      <c r="Q38" s="115">
        <f>IFERROR(VLOOKUP($B38,MMWR_TRAD_AGG_STATE_COMP[],Q$1,0),"ERROR")</f>
        <v>10</v>
      </c>
      <c r="R38" s="115">
        <f>IFERROR(VLOOKUP($B38,MMWR_TRAD_AGG_STATE_COMP[],R$1,0),"ERROR")</f>
        <v>69</v>
      </c>
      <c r="S38" s="115">
        <f>IFERROR(VLOOKUP($B38,MMWR_APP_STATE_COMP[],S$1,0),"ERROR")</f>
        <v>5972</v>
      </c>
      <c r="T38" s="28"/>
    </row>
    <row r="39" spans="1:20" s="123" customFormat="1" x14ac:dyDescent="0.25">
      <c r="A39" s="28"/>
      <c r="B39" s="127" t="s">
        <v>397</v>
      </c>
      <c r="C39" s="109">
        <f>IFERROR(VLOOKUP($B39,MMWR_TRAD_AGG_STATE_COMP[],C$1,0),"ERROR")</f>
        <v>6733</v>
      </c>
      <c r="D39" s="110">
        <f>IFERROR(VLOOKUP($B39,MMWR_TRAD_AGG_STATE_COMP[],D$1,0),"ERROR")</f>
        <v>398.70889648000002</v>
      </c>
      <c r="E39" s="111">
        <f>IFERROR(VLOOKUP($B39,MMWR_TRAD_AGG_STATE_COMP[],E$1,0),"ERROR")</f>
        <v>5884</v>
      </c>
      <c r="F39" s="112">
        <f>IFERROR(VLOOKUP($B39,MMWR_TRAD_AGG_STATE_COMP[],F$1,0),"ERROR")</f>
        <v>1485</v>
      </c>
      <c r="G39" s="113">
        <f t="shared" si="4"/>
        <v>0.25237933378653976</v>
      </c>
      <c r="H39" s="111">
        <f>IFERROR(VLOOKUP($B39,MMWR_TRAD_AGG_STATE_COMP[],H$1,0),"ERROR")</f>
        <v>9354</v>
      </c>
      <c r="I39" s="112">
        <f>IFERROR(VLOOKUP($B39,MMWR_TRAD_AGG_STATE_COMP[],I$1,0),"ERROR")</f>
        <v>5730</v>
      </c>
      <c r="J39" s="114">
        <f t="shared" si="5"/>
        <v>0.61257216164207828</v>
      </c>
      <c r="K39" s="111">
        <f>IFERROR(VLOOKUP($B39,MMWR_TRAD_AGG_STATE_COMP[],K$1,0),"ERROR")</f>
        <v>764</v>
      </c>
      <c r="L39" s="112">
        <f>IFERROR(VLOOKUP($B39,MMWR_TRAD_AGG_STATE_COMP[],L$1,0),"ERROR")</f>
        <v>561</v>
      </c>
      <c r="M39" s="114">
        <f t="shared" si="6"/>
        <v>0.73429319371727753</v>
      </c>
      <c r="N39" s="111">
        <f>IFERROR(VLOOKUP($B39,MMWR_TRAD_AGG_STATE_COMP[],N$1,0),"ERROR")</f>
        <v>1416</v>
      </c>
      <c r="O39" s="112">
        <f>IFERROR(VLOOKUP($B39,MMWR_TRAD_AGG_STATE_COMP[],O$1,0),"ERROR")</f>
        <v>609</v>
      </c>
      <c r="P39" s="114">
        <f t="shared" si="7"/>
        <v>0.43008474576271188</v>
      </c>
      <c r="Q39" s="115">
        <f>IFERROR(VLOOKUP($B39,MMWR_TRAD_AGG_STATE_COMP[],Q$1,0),"ERROR")</f>
        <v>6</v>
      </c>
      <c r="R39" s="115">
        <f>IFERROR(VLOOKUP($B39,MMWR_TRAD_AGG_STATE_COMP[],R$1,0),"ERROR")</f>
        <v>302</v>
      </c>
      <c r="S39" s="115">
        <f>IFERROR(VLOOKUP($B39,MMWR_APP_STATE_COMP[],S$1,0),"ERROR")</f>
        <v>5982</v>
      </c>
      <c r="T39" s="28"/>
    </row>
    <row r="40" spans="1:20" s="123" customFormat="1" x14ac:dyDescent="0.25">
      <c r="A40" s="28"/>
      <c r="B40" s="127" t="s">
        <v>399</v>
      </c>
      <c r="C40" s="109">
        <f>IFERROR(VLOOKUP($B40,MMWR_TRAD_AGG_STATE_COMP[],C$1,0),"ERROR")</f>
        <v>5074</v>
      </c>
      <c r="D40" s="110">
        <f>IFERROR(VLOOKUP($B40,MMWR_TRAD_AGG_STATE_COMP[],D$1,0),"ERROR")</f>
        <v>377.21462357109999</v>
      </c>
      <c r="E40" s="111">
        <f>IFERROR(VLOOKUP($B40,MMWR_TRAD_AGG_STATE_COMP[],E$1,0),"ERROR")</f>
        <v>3845</v>
      </c>
      <c r="F40" s="112">
        <f>IFERROR(VLOOKUP($B40,MMWR_TRAD_AGG_STATE_COMP[],F$1,0),"ERROR")</f>
        <v>1153</v>
      </c>
      <c r="G40" s="113">
        <f t="shared" si="4"/>
        <v>0.29986996098829649</v>
      </c>
      <c r="H40" s="111">
        <f>IFERROR(VLOOKUP($B40,MMWR_TRAD_AGG_STATE_COMP[],H$1,0),"ERROR")</f>
        <v>7139</v>
      </c>
      <c r="I40" s="112">
        <f>IFERROR(VLOOKUP($B40,MMWR_TRAD_AGG_STATE_COMP[],I$1,0),"ERROR")</f>
        <v>4845</v>
      </c>
      <c r="J40" s="114">
        <f t="shared" si="5"/>
        <v>0.67866647989914552</v>
      </c>
      <c r="K40" s="111">
        <f>IFERROR(VLOOKUP($B40,MMWR_TRAD_AGG_STATE_COMP[],K$1,0),"ERROR")</f>
        <v>1013</v>
      </c>
      <c r="L40" s="112">
        <f>IFERROR(VLOOKUP($B40,MMWR_TRAD_AGG_STATE_COMP[],L$1,0),"ERROR")</f>
        <v>856</v>
      </c>
      <c r="M40" s="114">
        <f t="shared" si="6"/>
        <v>0.84501480750246794</v>
      </c>
      <c r="N40" s="111">
        <f>IFERROR(VLOOKUP($B40,MMWR_TRAD_AGG_STATE_COMP[],N$1,0),"ERROR")</f>
        <v>2287</v>
      </c>
      <c r="O40" s="112">
        <f>IFERROR(VLOOKUP($B40,MMWR_TRAD_AGG_STATE_COMP[],O$1,0),"ERROR")</f>
        <v>1350</v>
      </c>
      <c r="P40" s="114">
        <f t="shared" si="7"/>
        <v>0.59029296020988198</v>
      </c>
      <c r="Q40" s="115">
        <f>IFERROR(VLOOKUP($B40,MMWR_TRAD_AGG_STATE_COMP[],Q$1,0),"ERROR")</f>
        <v>12</v>
      </c>
      <c r="R40" s="115">
        <f>IFERROR(VLOOKUP($B40,MMWR_TRAD_AGG_STATE_COMP[],R$1,0),"ERROR")</f>
        <v>145</v>
      </c>
      <c r="S40" s="115">
        <f>IFERROR(VLOOKUP($B40,MMWR_APP_STATE_COMP[],S$1,0),"ERROR")</f>
        <v>4539</v>
      </c>
      <c r="T40" s="28"/>
    </row>
    <row r="41" spans="1:20" s="123" customFormat="1" x14ac:dyDescent="0.25">
      <c r="A41" s="28"/>
      <c r="B41" s="127" t="s">
        <v>428</v>
      </c>
      <c r="C41" s="109">
        <f>IFERROR(VLOOKUP($B41,MMWR_TRAD_AGG_STATE_COMP[],C$1,0),"ERROR")</f>
        <v>1077</v>
      </c>
      <c r="D41" s="110">
        <f>IFERROR(VLOOKUP($B41,MMWR_TRAD_AGG_STATE_COMP[],D$1,0),"ERROR")</f>
        <v>244.98235840300001</v>
      </c>
      <c r="E41" s="111">
        <f>IFERROR(VLOOKUP($B41,MMWR_TRAD_AGG_STATE_COMP[],E$1,0),"ERROR")</f>
        <v>943</v>
      </c>
      <c r="F41" s="112">
        <f>IFERROR(VLOOKUP($B41,MMWR_TRAD_AGG_STATE_COMP[],F$1,0),"ERROR")</f>
        <v>118</v>
      </c>
      <c r="G41" s="113">
        <f t="shared" si="4"/>
        <v>0.12513255567338283</v>
      </c>
      <c r="H41" s="111">
        <f>IFERROR(VLOOKUP($B41,MMWR_TRAD_AGG_STATE_COMP[],H$1,0),"ERROR")</f>
        <v>1787</v>
      </c>
      <c r="I41" s="112">
        <f>IFERROR(VLOOKUP($B41,MMWR_TRAD_AGG_STATE_COMP[],I$1,0),"ERROR")</f>
        <v>737</v>
      </c>
      <c r="J41" s="114">
        <f t="shared" si="5"/>
        <v>0.41242305540011193</v>
      </c>
      <c r="K41" s="111">
        <f>IFERROR(VLOOKUP($B41,MMWR_TRAD_AGG_STATE_COMP[],K$1,0),"ERROR")</f>
        <v>433</v>
      </c>
      <c r="L41" s="112">
        <f>IFERROR(VLOOKUP($B41,MMWR_TRAD_AGG_STATE_COMP[],L$1,0),"ERROR")</f>
        <v>219</v>
      </c>
      <c r="M41" s="114">
        <f t="shared" si="6"/>
        <v>0.50577367205542723</v>
      </c>
      <c r="N41" s="111">
        <f>IFERROR(VLOOKUP($B41,MMWR_TRAD_AGG_STATE_COMP[],N$1,0),"ERROR")</f>
        <v>194</v>
      </c>
      <c r="O41" s="112">
        <f>IFERROR(VLOOKUP($B41,MMWR_TRAD_AGG_STATE_COMP[],O$1,0),"ERROR")</f>
        <v>87</v>
      </c>
      <c r="P41" s="114">
        <f t="shared" si="7"/>
        <v>0.4484536082474227</v>
      </c>
      <c r="Q41" s="115">
        <f>IFERROR(VLOOKUP($B41,MMWR_TRAD_AGG_STATE_COMP[],Q$1,0),"ERROR")</f>
        <v>2</v>
      </c>
      <c r="R41" s="115">
        <f>IFERROR(VLOOKUP($B41,MMWR_TRAD_AGG_STATE_COMP[],R$1,0),"ERROR")</f>
        <v>5</v>
      </c>
      <c r="S41" s="115">
        <f>IFERROR(VLOOKUP($B41,MMWR_APP_STATE_COMP[],S$1,0),"ERROR")</f>
        <v>316</v>
      </c>
      <c r="T41" s="28"/>
    </row>
    <row r="42" spans="1:20" s="123" customFormat="1" x14ac:dyDescent="0.25">
      <c r="A42" s="28"/>
      <c r="B42" s="127" t="s">
        <v>422</v>
      </c>
      <c r="C42" s="109">
        <f>IFERROR(VLOOKUP($B42,MMWR_TRAD_AGG_STATE_COMP[],C$1,0),"ERROR")</f>
        <v>4503</v>
      </c>
      <c r="D42" s="110">
        <f>IFERROR(VLOOKUP($B42,MMWR_TRAD_AGG_STATE_COMP[],D$1,0),"ERROR")</f>
        <v>280.5407506107</v>
      </c>
      <c r="E42" s="111">
        <f>IFERROR(VLOOKUP($B42,MMWR_TRAD_AGG_STATE_COMP[],E$1,0),"ERROR")</f>
        <v>7043</v>
      </c>
      <c r="F42" s="112">
        <f>IFERROR(VLOOKUP($B42,MMWR_TRAD_AGG_STATE_COMP[],F$1,0),"ERROR")</f>
        <v>1552</v>
      </c>
      <c r="G42" s="113">
        <f t="shared" si="4"/>
        <v>0.22036064177197218</v>
      </c>
      <c r="H42" s="111">
        <f>IFERROR(VLOOKUP($B42,MMWR_TRAD_AGG_STATE_COMP[],H$1,0),"ERROR")</f>
        <v>7258</v>
      </c>
      <c r="I42" s="112">
        <f>IFERROR(VLOOKUP($B42,MMWR_TRAD_AGG_STATE_COMP[],I$1,0),"ERROR")</f>
        <v>3008</v>
      </c>
      <c r="J42" s="114">
        <f t="shared" si="5"/>
        <v>0.41443923945990629</v>
      </c>
      <c r="K42" s="111">
        <f>IFERROR(VLOOKUP($B42,MMWR_TRAD_AGG_STATE_COMP[],K$1,0),"ERROR")</f>
        <v>1165</v>
      </c>
      <c r="L42" s="112">
        <f>IFERROR(VLOOKUP($B42,MMWR_TRAD_AGG_STATE_COMP[],L$1,0),"ERROR")</f>
        <v>594</v>
      </c>
      <c r="M42" s="114">
        <f t="shared" si="6"/>
        <v>0.50987124463519318</v>
      </c>
      <c r="N42" s="111">
        <f>IFERROR(VLOOKUP($B42,MMWR_TRAD_AGG_STATE_COMP[],N$1,0),"ERROR")</f>
        <v>1218</v>
      </c>
      <c r="O42" s="112">
        <f>IFERROR(VLOOKUP($B42,MMWR_TRAD_AGG_STATE_COMP[],O$1,0),"ERROR")</f>
        <v>450</v>
      </c>
      <c r="P42" s="114">
        <f t="shared" si="7"/>
        <v>0.36945812807881773</v>
      </c>
      <c r="Q42" s="115">
        <f>IFERROR(VLOOKUP($B42,MMWR_TRAD_AGG_STATE_COMP[],Q$1,0),"ERROR")</f>
        <v>6</v>
      </c>
      <c r="R42" s="115">
        <f>IFERROR(VLOOKUP($B42,MMWR_TRAD_AGG_STATE_COMP[],R$1,0),"ERROR")</f>
        <v>64</v>
      </c>
      <c r="S42" s="115">
        <f>IFERROR(VLOOKUP($B42,MMWR_APP_STATE_COMP[],S$1,0),"ERROR")</f>
        <v>4292</v>
      </c>
      <c r="T42" s="28"/>
    </row>
    <row r="43" spans="1:20" s="123" customFormat="1" x14ac:dyDescent="0.25">
      <c r="A43" s="28"/>
      <c r="B43" s="127" t="s">
        <v>420</v>
      </c>
      <c r="C43" s="109">
        <f>IFERROR(VLOOKUP($B43,MMWR_TRAD_AGG_STATE_COMP[],C$1,0),"ERROR")</f>
        <v>32637</v>
      </c>
      <c r="D43" s="110">
        <f>IFERROR(VLOOKUP($B43,MMWR_TRAD_AGG_STATE_COMP[],D$1,0),"ERROR")</f>
        <v>331.32873732270002</v>
      </c>
      <c r="E43" s="111">
        <f>IFERROR(VLOOKUP($B43,MMWR_TRAD_AGG_STATE_COMP[],E$1,0),"ERROR")</f>
        <v>36576</v>
      </c>
      <c r="F43" s="112">
        <f>IFERROR(VLOOKUP($B43,MMWR_TRAD_AGG_STATE_COMP[],F$1,0),"ERROR")</f>
        <v>10438</v>
      </c>
      <c r="G43" s="113">
        <f t="shared" si="4"/>
        <v>0.28537839020122485</v>
      </c>
      <c r="H43" s="111">
        <f>IFERROR(VLOOKUP($B43,MMWR_TRAD_AGG_STATE_COMP[],H$1,0),"ERROR")</f>
        <v>46033</v>
      </c>
      <c r="I43" s="112">
        <f>IFERROR(VLOOKUP($B43,MMWR_TRAD_AGG_STATE_COMP[],I$1,0),"ERROR")</f>
        <v>26214</v>
      </c>
      <c r="J43" s="114">
        <f t="shared" si="5"/>
        <v>0.56946103881997701</v>
      </c>
      <c r="K43" s="111">
        <f>IFERROR(VLOOKUP($B43,MMWR_TRAD_AGG_STATE_COMP[],K$1,0),"ERROR")</f>
        <v>4961</v>
      </c>
      <c r="L43" s="112">
        <f>IFERROR(VLOOKUP($B43,MMWR_TRAD_AGG_STATE_COMP[],L$1,0),"ERROR")</f>
        <v>3574</v>
      </c>
      <c r="M43" s="114">
        <f t="shared" si="6"/>
        <v>0.72041927030840558</v>
      </c>
      <c r="N43" s="111">
        <f>IFERROR(VLOOKUP($B43,MMWR_TRAD_AGG_STATE_COMP[],N$1,0),"ERROR")</f>
        <v>9412</v>
      </c>
      <c r="O43" s="112">
        <f>IFERROR(VLOOKUP($B43,MMWR_TRAD_AGG_STATE_COMP[],O$1,0),"ERROR")</f>
        <v>5206</v>
      </c>
      <c r="P43" s="114">
        <f t="shared" si="7"/>
        <v>0.55312367190820233</v>
      </c>
      <c r="Q43" s="115">
        <f>IFERROR(VLOOKUP($B43,MMWR_TRAD_AGG_STATE_COMP[],Q$1,0),"ERROR")</f>
        <v>29</v>
      </c>
      <c r="R43" s="115">
        <f>IFERROR(VLOOKUP($B43,MMWR_TRAD_AGG_STATE_COMP[],R$1,0),"ERROR")</f>
        <v>445</v>
      </c>
      <c r="S43" s="115">
        <f>IFERROR(VLOOKUP($B43,MMWR_APP_STATE_COMP[],S$1,0),"ERROR")</f>
        <v>39606</v>
      </c>
      <c r="T43" s="28"/>
    </row>
    <row r="44" spans="1:20" s="123" customFormat="1" x14ac:dyDescent="0.25">
      <c r="A44" s="28"/>
      <c r="B44" s="127" t="s">
        <v>416</v>
      </c>
      <c r="C44" s="109">
        <f>IFERROR(VLOOKUP($B44,MMWR_TRAD_AGG_STATE_COMP[],C$1,0),"ERROR")</f>
        <v>2227</v>
      </c>
      <c r="D44" s="110">
        <f>IFERROR(VLOOKUP($B44,MMWR_TRAD_AGG_STATE_COMP[],D$1,0),"ERROR")</f>
        <v>314.95823978449999</v>
      </c>
      <c r="E44" s="111">
        <f>IFERROR(VLOOKUP($B44,MMWR_TRAD_AGG_STATE_COMP[],E$1,0),"ERROR")</f>
        <v>1843</v>
      </c>
      <c r="F44" s="112">
        <f>IFERROR(VLOOKUP($B44,MMWR_TRAD_AGG_STATE_COMP[],F$1,0),"ERROR")</f>
        <v>431</v>
      </c>
      <c r="G44" s="113">
        <f t="shared" si="4"/>
        <v>0.23385784047748237</v>
      </c>
      <c r="H44" s="111">
        <f>IFERROR(VLOOKUP($B44,MMWR_TRAD_AGG_STATE_COMP[],H$1,0),"ERROR")</f>
        <v>3642</v>
      </c>
      <c r="I44" s="112">
        <f>IFERROR(VLOOKUP($B44,MMWR_TRAD_AGG_STATE_COMP[],I$1,0),"ERROR")</f>
        <v>1827</v>
      </c>
      <c r="J44" s="114">
        <f t="shared" si="5"/>
        <v>0.50164744645799009</v>
      </c>
      <c r="K44" s="111">
        <f>IFERROR(VLOOKUP($B44,MMWR_TRAD_AGG_STATE_COMP[],K$1,0),"ERROR")</f>
        <v>568</v>
      </c>
      <c r="L44" s="112">
        <f>IFERROR(VLOOKUP($B44,MMWR_TRAD_AGG_STATE_COMP[],L$1,0),"ERROR")</f>
        <v>423</v>
      </c>
      <c r="M44" s="114">
        <f t="shared" si="6"/>
        <v>0.74471830985915488</v>
      </c>
      <c r="N44" s="111">
        <f>IFERROR(VLOOKUP($B44,MMWR_TRAD_AGG_STATE_COMP[],N$1,0),"ERROR")</f>
        <v>223</v>
      </c>
      <c r="O44" s="112">
        <f>IFERROR(VLOOKUP($B44,MMWR_TRAD_AGG_STATE_COMP[],O$1,0),"ERROR")</f>
        <v>118</v>
      </c>
      <c r="P44" s="114">
        <f t="shared" si="7"/>
        <v>0.52914798206278024</v>
      </c>
      <c r="Q44" s="115">
        <f>IFERROR(VLOOKUP($B44,MMWR_TRAD_AGG_STATE_COMP[],Q$1,0),"ERROR")</f>
        <v>0</v>
      </c>
      <c r="R44" s="115">
        <f>IFERROR(VLOOKUP($B44,MMWR_TRAD_AGG_STATE_COMP[],R$1,0),"ERROR")</f>
        <v>5</v>
      </c>
      <c r="S44" s="115">
        <f>IFERROR(VLOOKUP($B44,MMWR_APP_STATE_COMP[],S$1,0),"ERROR")</f>
        <v>509</v>
      </c>
      <c r="T44" s="28"/>
    </row>
    <row r="45" spans="1:20" s="123" customFormat="1" x14ac:dyDescent="0.25">
      <c r="A45" s="28"/>
      <c r="B45" s="127" t="s">
        <v>431</v>
      </c>
      <c r="C45" s="109">
        <f>IFERROR(VLOOKUP($B45,MMWR_TRAD_AGG_STATE_COMP[],C$1,0),"ERROR")</f>
        <v>736</v>
      </c>
      <c r="D45" s="110">
        <f>IFERROR(VLOOKUP($B45,MMWR_TRAD_AGG_STATE_COMP[],D$1,0),"ERROR")</f>
        <v>282.29619565220003</v>
      </c>
      <c r="E45" s="111">
        <f>IFERROR(VLOOKUP($B45,MMWR_TRAD_AGG_STATE_COMP[],E$1,0),"ERROR")</f>
        <v>920</v>
      </c>
      <c r="F45" s="112">
        <f>IFERROR(VLOOKUP($B45,MMWR_TRAD_AGG_STATE_COMP[],F$1,0),"ERROR")</f>
        <v>216</v>
      </c>
      <c r="G45" s="113">
        <f t="shared" si="4"/>
        <v>0.23478260869565218</v>
      </c>
      <c r="H45" s="111">
        <f>IFERROR(VLOOKUP($B45,MMWR_TRAD_AGG_STATE_COMP[],H$1,0),"ERROR")</f>
        <v>1182</v>
      </c>
      <c r="I45" s="112">
        <f>IFERROR(VLOOKUP($B45,MMWR_TRAD_AGG_STATE_COMP[],I$1,0),"ERROR")</f>
        <v>553</v>
      </c>
      <c r="J45" s="114">
        <f t="shared" si="5"/>
        <v>0.46785109983079526</v>
      </c>
      <c r="K45" s="111">
        <f>IFERROR(VLOOKUP($B45,MMWR_TRAD_AGG_STATE_COMP[],K$1,0),"ERROR")</f>
        <v>200</v>
      </c>
      <c r="L45" s="112">
        <f>IFERROR(VLOOKUP($B45,MMWR_TRAD_AGG_STATE_COMP[],L$1,0),"ERROR")</f>
        <v>120</v>
      </c>
      <c r="M45" s="114">
        <f t="shared" si="6"/>
        <v>0.6</v>
      </c>
      <c r="N45" s="111">
        <f>IFERROR(VLOOKUP($B45,MMWR_TRAD_AGG_STATE_COMP[],N$1,0),"ERROR")</f>
        <v>176</v>
      </c>
      <c r="O45" s="112">
        <f>IFERROR(VLOOKUP($B45,MMWR_TRAD_AGG_STATE_COMP[],O$1,0),"ERROR")</f>
        <v>73</v>
      </c>
      <c r="P45" s="114">
        <f t="shared" si="7"/>
        <v>0.41477272727272729</v>
      </c>
      <c r="Q45" s="115">
        <f>IFERROR(VLOOKUP($B45,MMWR_TRAD_AGG_STATE_COMP[],Q$1,0),"ERROR")</f>
        <v>26</v>
      </c>
      <c r="R45" s="115">
        <f>IFERROR(VLOOKUP($B45,MMWR_TRAD_AGG_STATE_COMP[],R$1,0),"ERROR")</f>
        <v>6</v>
      </c>
      <c r="S45" s="115">
        <f>IFERROR(VLOOKUP($B45,MMWR_APP_STATE_COMP[],S$1,0),"ERROR")</f>
        <v>359</v>
      </c>
      <c r="T45" s="28"/>
    </row>
    <row r="46" spans="1:20" s="123" customFormat="1" x14ac:dyDescent="0.25">
      <c r="A46" s="28"/>
      <c r="B46" s="126" t="s">
        <v>414</v>
      </c>
      <c r="C46" s="102">
        <f>IFERROR(VLOOKUP($B46,MMWR_TRAD_AGG_ST_DISTRICT_COMP[],C$1,0),"ERROR")</f>
        <v>74416</v>
      </c>
      <c r="D46" s="103">
        <f>IFERROR(VLOOKUP($B46,MMWR_TRAD_AGG_ST_DISTRICT_COMP[],D$1,0),"ERROR")</f>
        <v>365.628628252</v>
      </c>
      <c r="E46" s="102">
        <f>IFERROR(VLOOKUP($B46,MMWR_TRAD_AGG_ST_DISTRICT_COMP[],E$1,0),"ERROR")</f>
        <v>61538</v>
      </c>
      <c r="F46" s="102">
        <f>IFERROR(VLOOKUP($B46,MMWR_TRAD_AGG_ST_DISTRICT_COMP[],F$1,0),"ERROR")</f>
        <v>16574</v>
      </c>
      <c r="G46" s="104">
        <f t="shared" si="4"/>
        <v>0.26932951997139981</v>
      </c>
      <c r="H46" s="102">
        <f>IFERROR(VLOOKUP($B46,MMWR_TRAD_AGG_ST_DISTRICT_COMP[],H$1,0),"ERROR")</f>
        <v>103581</v>
      </c>
      <c r="I46" s="102">
        <f>IFERROR(VLOOKUP($B46,MMWR_TRAD_AGG_ST_DISTRICT_COMP[],I$1,0),"ERROR")</f>
        <v>64333</v>
      </c>
      <c r="J46" s="105">
        <f t="shared" si="5"/>
        <v>0.62108880972379099</v>
      </c>
      <c r="K46" s="102">
        <f>IFERROR(VLOOKUP($B46,MMWR_TRAD_AGG_ST_DISTRICT_COMP[],K$1,0),"ERROR")</f>
        <v>18329</v>
      </c>
      <c r="L46" s="102">
        <f>IFERROR(VLOOKUP($B46,MMWR_TRAD_AGG_ST_DISTRICT_COMP[],L$1,0),"ERROR")</f>
        <v>14759</v>
      </c>
      <c r="M46" s="105">
        <f t="shared" si="6"/>
        <v>0.8052266899448961</v>
      </c>
      <c r="N46" s="102">
        <f>IFERROR(VLOOKUP($B46,MMWR_TRAD_AGG_ST_DISTRICT_COMP[],N$1,0),"ERROR")</f>
        <v>25012</v>
      </c>
      <c r="O46" s="102">
        <f>IFERROR(VLOOKUP($B46,MMWR_TRAD_AGG_ST_DISTRICT_COMP[],O$1,0),"ERROR")</f>
        <v>16506</v>
      </c>
      <c r="P46" s="105">
        <f t="shared" si="7"/>
        <v>0.65992323684631382</v>
      </c>
      <c r="Q46" s="102">
        <f>IFERROR(VLOOKUP($B46,MMWR_TRAD_AGG_ST_DISTRICT_COMP[],Q$1,0),"ERROR")</f>
        <v>87</v>
      </c>
      <c r="R46" s="106">
        <f>IFERROR(VLOOKUP($B46,MMWR_TRAD_AGG_ST_DISTRICT_COMP[],R$1,0),"ERROR")</f>
        <v>608</v>
      </c>
      <c r="S46" s="106">
        <f>SUM(S47:S55)</f>
        <v>42830</v>
      </c>
      <c r="T46" s="28"/>
    </row>
    <row r="47" spans="1:20" s="123" customFormat="1" x14ac:dyDescent="0.25">
      <c r="A47" s="28"/>
      <c r="B47" s="127" t="s">
        <v>434</v>
      </c>
      <c r="C47" s="109">
        <f>IFERROR(VLOOKUP($B47,MMWR_TRAD_AGG_STATE_COMP[],C$1,0),"ERROR")</f>
        <v>2171</v>
      </c>
      <c r="D47" s="110">
        <f>IFERROR(VLOOKUP($B47,MMWR_TRAD_AGG_STATE_COMP[],D$1,0),"ERROR")</f>
        <v>467.45508982040002</v>
      </c>
      <c r="E47" s="111">
        <f>IFERROR(VLOOKUP($B47,MMWR_TRAD_AGG_STATE_COMP[],E$1,0),"ERROR")</f>
        <v>963</v>
      </c>
      <c r="F47" s="112">
        <f>IFERROR(VLOOKUP($B47,MMWR_TRAD_AGG_STATE_COMP[],F$1,0),"ERROR")</f>
        <v>145</v>
      </c>
      <c r="G47" s="113">
        <f t="shared" si="4"/>
        <v>0.1505711318795431</v>
      </c>
      <c r="H47" s="111">
        <f>IFERROR(VLOOKUP($B47,MMWR_TRAD_AGG_STATE_COMP[],H$1,0),"ERROR")</f>
        <v>2933</v>
      </c>
      <c r="I47" s="112">
        <f>IFERROR(VLOOKUP($B47,MMWR_TRAD_AGG_STATE_COMP[],I$1,0),"ERROR")</f>
        <v>2016</v>
      </c>
      <c r="J47" s="114">
        <f t="shared" si="5"/>
        <v>0.68735083532219565</v>
      </c>
      <c r="K47" s="111">
        <f>IFERROR(VLOOKUP($B47,MMWR_TRAD_AGG_STATE_COMP[],K$1,0),"ERROR")</f>
        <v>1574</v>
      </c>
      <c r="L47" s="112">
        <f>IFERROR(VLOOKUP($B47,MMWR_TRAD_AGG_STATE_COMP[],L$1,0),"ERROR")</f>
        <v>1420</v>
      </c>
      <c r="M47" s="114">
        <f t="shared" si="6"/>
        <v>0.90216010165184246</v>
      </c>
      <c r="N47" s="111">
        <f>IFERROR(VLOOKUP($B47,MMWR_TRAD_AGG_STATE_COMP[],N$1,0),"ERROR")</f>
        <v>321</v>
      </c>
      <c r="O47" s="112">
        <f>IFERROR(VLOOKUP($B47,MMWR_TRAD_AGG_STATE_COMP[],O$1,0),"ERROR")</f>
        <v>191</v>
      </c>
      <c r="P47" s="114">
        <f t="shared" si="7"/>
        <v>0.59501557632398749</v>
      </c>
      <c r="Q47" s="115">
        <f>IFERROR(VLOOKUP($B47,MMWR_TRAD_AGG_STATE_COMP[],Q$1,0),"ERROR")</f>
        <v>0</v>
      </c>
      <c r="R47" s="115">
        <f>IFERROR(VLOOKUP($B47,MMWR_TRAD_AGG_STATE_COMP[],R$1,0),"ERROR")</f>
        <v>3</v>
      </c>
      <c r="S47" s="115">
        <f>IFERROR(VLOOKUP($B47,MMWR_APP_STATE_COMP[],S$1,0),"ERROR")</f>
        <v>312</v>
      </c>
      <c r="T47" s="28"/>
    </row>
    <row r="48" spans="1:20" s="123" customFormat="1" x14ac:dyDescent="0.25">
      <c r="A48" s="28"/>
      <c r="B48" s="127" t="s">
        <v>436</v>
      </c>
      <c r="C48" s="109">
        <f>IFERROR(VLOOKUP($B48,MMWR_TRAD_AGG_STATE_COMP[],C$1,0),"ERROR")</f>
        <v>7426</v>
      </c>
      <c r="D48" s="110">
        <f>IFERROR(VLOOKUP($B48,MMWR_TRAD_AGG_STATE_COMP[],D$1,0),"ERROR")</f>
        <v>297.49919202799998</v>
      </c>
      <c r="E48" s="111">
        <f>IFERROR(VLOOKUP($B48,MMWR_TRAD_AGG_STATE_COMP[],E$1,0),"ERROR")</f>
        <v>6327</v>
      </c>
      <c r="F48" s="112">
        <f>IFERROR(VLOOKUP($B48,MMWR_TRAD_AGG_STATE_COMP[],F$1,0),"ERROR")</f>
        <v>1549</v>
      </c>
      <c r="G48" s="113">
        <f t="shared" si="4"/>
        <v>0.24482377113956061</v>
      </c>
      <c r="H48" s="111">
        <f>IFERROR(VLOOKUP($B48,MMWR_TRAD_AGG_STATE_COMP[],H$1,0),"ERROR")</f>
        <v>9717</v>
      </c>
      <c r="I48" s="112">
        <f>IFERROR(VLOOKUP($B48,MMWR_TRAD_AGG_STATE_COMP[],I$1,0),"ERROR")</f>
        <v>5577</v>
      </c>
      <c r="J48" s="114">
        <f t="shared" si="5"/>
        <v>0.57394257486878664</v>
      </c>
      <c r="K48" s="111">
        <f>IFERROR(VLOOKUP($B48,MMWR_TRAD_AGG_STATE_COMP[],K$1,0),"ERROR")</f>
        <v>639</v>
      </c>
      <c r="L48" s="112">
        <f>IFERROR(VLOOKUP($B48,MMWR_TRAD_AGG_STATE_COMP[],L$1,0),"ERROR")</f>
        <v>484</v>
      </c>
      <c r="M48" s="114">
        <f t="shared" si="6"/>
        <v>0.75743348982785608</v>
      </c>
      <c r="N48" s="111">
        <f>IFERROR(VLOOKUP($B48,MMWR_TRAD_AGG_STATE_COMP[],N$1,0),"ERROR")</f>
        <v>3266</v>
      </c>
      <c r="O48" s="112">
        <f>IFERROR(VLOOKUP($B48,MMWR_TRAD_AGG_STATE_COMP[],O$1,0),"ERROR")</f>
        <v>2378</v>
      </c>
      <c r="P48" s="114">
        <f t="shared" si="7"/>
        <v>0.72810777709736685</v>
      </c>
      <c r="Q48" s="115">
        <f>IFERROR(VLOOKUP($B48,MMWR_TRAD_AGG_STATE_COMP[],Q$1,0),"ERROR")</f>
        <v>5</v>
      </c>
      <c r="R48" s="115">
        <f>IFERROR(VLOOKUP($B48,MMWR_TRAD_AGG_STATE_COMP[],R$1,0),"ERROR")</f>
        <v>78</v>
      </c>
      <c r="S48" s="115">
        <f>IFERROR(VLOOKUP($B48,MMWR_APP_STATE_COMP[],S$1,0),"ERROR")</f>
        <v>7127</v>
      </c>
      <c r="T48" s="28"/>
    </row>
    <row r="49" spans="1:20" s="123" customFormat="1" x14ac:dyDescent="0.25">
      <c r="A49" s="28"/>
      <c r="B49" s="127" t="s">
        <v>417</v>
      </c>
      <c r="C49" s="109">
        <f>IFERROR(VLOOKUP($B49,MMWR_TRAD_AGG_STATE_COMP[],C$1,0),"ERROR")</f>
        <v>32063</v>
      </c>
      <c r="D49" s="110">
        <f>IFERROR(VLOOKUP($B49,MMWR_TRAD_AGG_STATE_COMP[],D$1,0),"ERROR")</f>
        <v>359.36796307269998</v>
      </c>
      <c r="E49" s="111">
        <f>IFERROR(VLOOKUP($B49,MMWR_TRAD_AGG_STATE_COMP[],E$1,0),"ERROR")</f>
        <v>31630</v>
      </c>
      <c r="F49" s="112">
        <f>IFERROR(VLOOKUP($B49,MMWR_TRAD_AGG_STATE_COMP[],F$1,0),"ERROR")</f>
        <v>8271</v>
      </c>
      <c r="G49" s="113">
        <f t="shared" si="4"/>
        <v>0.26149225418906102</v>
      </c>
      <c r="H49" s="111">
        <f>IFERROR(VLOOKUP($B49,MMWR_TRAD_AGG_STATE_COMP[],H$1,0),"ERROR")</f>
        <v>45634</v>
      </c>
      <c r="I49" s="112">
        <f>IFERROR(VLOOKUP($B49,MMWR_TRAD_AGG_STATE_COMP[],I$1,0),"ERROR")</f>
        <v>28265</v>
      </c>
      <c r="J49" s="114">
        <f t="shared" si="5"/>
        <v>0.61938466932550296</v>
      </c>
      <c r="K49" s="111">
        <f>IFERROR(VLOOKUP($B49,MMWR_TRAD_AGG_STATE_COMP[],K$1,0),"ERROR")</f>
        <v>7492</v>
      </c>
      <c r="L49" s="112">
        <f>IFERROR(VLOOKUP($B49,MMWR_TRAD_AGG_STATE_COMP[],L$1,0),"ERROR")</f>
        <v>5623</v>
      </c>
      <c r="M49" s="114">
        <f t="shared" si="6"/>
        <v>0.75053390282968502</v>
      </c>
      <c r="N49" s="111">
        <f>IFERROR(VLOOKUP($B49,MMWR_TRAD_AGG_STATE_COMP[],N$1,0),"ERROR")</f>
        <v>11699</v>
      </c>
      <c r="O49" s="112">
        <f>IFERROR(VLOOKUP($B49,MMWR_TRAD_AGG_STATE_COMP[],O$1,0),"ERROR")</f>
        <v>7587</v>
      </c>
      <c r="P49" s="114">
        <f t="shared" si="7"/>
        <v>0.64851696726215913</v>
      </c>
      <c r="Q49" s="115">
        <f>IFERROR(VLOOKUP($B49,MMWR_TRAD_AGG_STATE_COMP[],Q$1,0),"ERROR")</f>
        <v>51</v>
      </c>
      <c r="R49" s="115">
        <f>IFERROR(VLOOKUP($B49,MMWR_TRAD_AGG_STATE_COMP[],R$1,0),"ERROR")</f>
        <v>168</v>
      </c>
      <c r="S49" s="115">
        <f>IFERROR(VLOOKUP($B49,MMWR_APP_STATE_COMP[],S$1,0),"ERROR")</f>
        <v>18113</v>
      </c>
      <c r="T49" s="28"/>
    </row>
    <row r="50" spans="1:20" s="123" customFormat="1" x14ac:dyDescent="0.25">
      <c r="A50" s="28"/>
      <c r="B50" s="127" t="s">
        <v>438</v>
      </c>
      <c r="C50" s="109">
        <f>IFERROR(VLOOKUP($B50,MMWR_TRAD_AGG_STATE_COMP[],C$1,0),"ERROR")</f>
        <v>1923</v>
      </c>
      <c r="D50" s="110">
        <f>IFERROR(VLOOKUP($B50,MMWR_TRAD_AGG_STATE_COMP[],D$1,0),"ERROR")</f>
        <v>266.97659906400003</v>
      </c>
      <c r="E50" s="111">
        <f>IFERROR(VLOOKUP($B50,MMWR_TRAD_AGG_STATE_COMP[],E$1,0),"ERROR")</f>
        <v>2051</v>
      </c>
      <c r="F50" s="112">
        <f>IFERROR(VLOOKUP($B50,MMWR_TRAD_AGG_STATE_COMP[],F$1,0),"ERROR")</f>
        <v>450</v>
      </c>
      <c r="G50" s="113">
        <f t="shared" si="4"/>
        <v>0.21940516821062897</v>
      </c>
      <c r="H50" s="111">
        <f>IFERROR(VLOOKUP($B50,MMWR_TRAD_AGG_STATE_COMP[],H$1,0),"ERROR")</f>
        <v>2678</v>
      </c>
      <c r="I50" s="112">
        <f>IFERROR(VLOOKUP($B50,MMWR_TRAD_AGG_STATE_COMP[],I$1,0),"ERROR")</f>
        <v>1470</v>
      </c>
      <c r="J50" s="114">
        <f t="shared" si="5"/>
        <v>0.54891710231516055</v>
      </c>
      <c r="K50" s="111">
        <f>IFERROR(VLOOKUP($B50,MMWR_TRAD_AGG_STATE_COMP[],K$1,0),"ERROR")</f>
        <v>397</v>
      </c>
      <c r="L50" s="112">
        <f>IFERROR(VLOOKUP($B50,MMWR_TRAD_AGG_STATE_COMP[],L$1,0),"ERROR")</f>
        <v>315</v>
      </c>
      <c r="M50" s="114">
        <f t="shared" si="6"/>
        <v>0.79345088161209065</v>
      </c>
      <c r="N50" s="111">
        <f>IFERROR(VLOOKUP($B50,MMWR_TRAD_AGG_STATE_COMP[],N$1,0),"ERROR")</f>
        <v>290</v>
      </c>
      <c r="O50" s="112">
        <f>IFERROR(VLOOKUP($B50,MMWR_TRAD_AGG_STATE_COMP[],O$1,0),"ERROR")</f>
        <v>172</v>
      </c>
      <c r="P50" s="114">
        <f t="shared" si="7"/>
        <v>0.59310344827586203</v>
      </c>
      <c r="Q50" s="115">
        <f>IFERROR(VLOOKUP($B50,MMWR_TRAD_AGG_STATE_COMP[],Q$1,0),"ERROR")</f>
        <v>6</v>
      </c>
      <c r="R50" s="115">
        <f>IFERROR(VLOOKUP($B50,MMWR_TRAD_AGG_STATE_COMP[],R$1,0),"ERROR")</f>
        <v>2</v>
      </c>
      <c r="S50" s="115">
        <f>IFERROR(VLOOKUP($B50,MMWR_APP_STATE_COMP[],S$1,0),"ERROR")</f>
        <v>1034</v>
      </c>
      <c r="T50" s="28"/>
    </row>
    <row r="51" spans="1:20" s="123" customFormat="1" x14ac:dyDescent="0.25">
      <c r="A51" s="28"/>
      <c r="B51" s="127" t="s">
        <v>418</v>
      </c>
      <c r="C51" s="109">
        <f>IFERROR(VLOOKUP($B51,MMWR_TRAD_AGG_STATE_COMP[],C$1,0),"ERROR")</f>
        <v>958</v>
      </c>
      <c r="D51" s="110">
        <f>IFERROR(VLOOKUP($B51,MMWR_TRAD_AGG_STATE_COMP[],D$1,0),"ERROR")</f>
        <v>257.90709812109998</v>
      </c>
      <c r="E51" s="111">
        <f>IFERROR(VLOOKUP($B51,MMWR_TRAD_AGG_STATE_COMP[],E$1,0),"ERROR")</f>
        <v>1609</v>
      </c>
      <c r="F51" s="112">
        <f>IFERROR(VLOOKUP($B51,MMWR_TRAD_AGG_STATE_COMP[],F$1,0),"ERROR")</f>
        <v>401</v>
      </c>
      <c r="G51" s="113">
        <f t="shared" si="4"/>
        <v>0.24922311995027968</v>
      </c>
      <c r="H51" s="111">
        <f>IFERROR(VLOOKUP($B51,MMWR_TRAD_AGG_STATE_COMP[],H$1,0),"ERROR")</f>
        <v>1653</v>
      </c>
      <c r="I51" s="112">
        <f>IFERROR(VLOOKUP($B51,MMWR_TRAD_AGG_STATE_COMP[],I$1,0),"ERROR")</f>
        <v>636</v>
      </c>
      <c r="J51" s="114">
        <f t="shared" si="5"/>
        <v>0.38475499092558985</v>
      </c>
      <c r="K51" s="111">
        <f>IFERROR(VLOOKUP($B51,MMWR_TRAD_AGG_STATE_COMP[],K$1,0),"ERROR")</f>
        <v>189</v>
      </c>
      <c r="L51" s="112">
        <f>IFERROR(VLOOKUP($B51,MMWR_TRAD_AGG_STATE_COMP[],L$1,0),"ERROR")</f>
        <v>104</v>
      </c>
      <c r="M51" s="114">
        <f t="shared" si="6"/>
        <v>0.55026455026455023</v>
      </c>
      <c r="N51" s="111">
        <f>IFERROR(VLOOKUP($B51,MMWR_TRAD_AGG_STATE_COMP[],N$1,0),"ERROR")</f>
        <v>291</v>
      </c>
      <c r="O51" s="112">
        <f>IFERROR(VLOOKUP($B51,MMWR_TRAD_AGG_STATE_COMP[],O$1,0),"ERROR")</f>
        <v>134</v>
      </c>
      <c r="P51" s="114">
        <f t="shared" si="7"/>
        <v>0.46048109965635736</v>
      </c>
      <c r="Q51" s="115">
        <f>IFERROR(VLOOKUP($B51,MMWR_TRAD_AGG_STATE_COMP[],Q$1,0),"ERROR")</f>
        <v>1</v>
      </c>
      <c r="R51" s="115">
        <f>IFERROR(VLOOKUP($B51,MMWR_TRAD_AGG_STATE_COMP[],R$1,0),"ERROR")</f>
        <v>12</v>
      </c>
      <c r="S51" s="115">
        <f>IFERROR(VLOOKUP($B51,MMWR_APP_STATE_COMP[],S$1,0),"ERROR")</f>
        <v>1010</v>
      </c>
      <c r="T51" s="28"/>
    </row>
    <row r="52" spans="1:20" s="123" customFormat="1" x14ac:dyDescent="0.25">
      <c r="A52" s="28"/>
      <c r="B52" s="127" t="s">
        <v>423</v>
      </c>
      <c r="C52" s="109">
        <f>IFERROR(VLOOKUP($B52,MMWR_TRAD_AGG_STATE_COMP[],C$1,0),"ERROR")</f>
        <v>4346</v>
      </c>
      <c r="D52" s="110">
        <f>IFERROR(VLOOKUP($B52,MMWR_TRAD_AGG_STATE_COMP[],D$1,0),"ERROR")</f>
        <v>437.84629544410001</v>
      </c>
      <c r="E52" s="111">
        <f>IFERROR(VLOOKUP($B52,MMWR_TRAD_AGG_STATE_COMP[],E$1,0),"ERROR")</f>
        <v>3937</v>
      </c>
      <c r="F52" s="112">
        <f>IFERROR(VLOOKUP($B52,MMWR_TRAD_AGG_STATE_COMP[],F$1,0),"ERROR")</f>
        <v>1214</v>
      </c>
      <c r="G52" s="113">
        <f t="shared" si="4"/>
        <v>0.30835661671323344</v>
      </c>
      <c r="H52" s="111">
        <f>IFERROR(VLOOKUP($B52,MMWR_TRAD_AGG_STATE_COMP[],H$1,0),"ERROR")</f>
        <v>5491</v>
      </c>
      <c r="I52" s="112">
        <f>IFERROR(VLOOKUP($B52,MMWR_TRAD_AGG_STATE_COMP[],I$1,0),"ERROR")</f>
        <v>3597</v>
      </c>
      <c r="J52" s="114">
        <f t="shared" si="5"/>
        <v>0.65507193589510104</v>
      </c>
      <c r="K52" s="111">
        <f>IFERROR(VLOOKUP($B52,MMWR_TRAD_AGG_STATE_COMP[],K$1,0),"ERROR")</f>
        <v>540</v>
      </c>
      <c r="L52" s="112">
        <f>IFERROR(VLOOKUP($B52,MMWR_TRAD_AGG_STATE_COMP[],L$1,0),"ERROR")</f>
        <v>465</v>
      </c>
      <c r="M52" s="114">
        <f t="shared" si="6"/>
        <v>0.86111111111111116</v>
      </c>
      <c r="N52" s="111">
        <f>IFERROR(VLOOKUP($B52,MMWR_TRAD_AGG_STATE_COMP[],N$1,0),"ERROR")</f>
        <v>1536</v>
      </c>
      <c r="O52" s="112">
        <f>IFERROR(VLOOKUP($B52,MMWR_TRAD_AGG_STATE_COMP[],O$1,0),"ERROR")</f>
        <v>887</v>
      </c>
      <c r="P52" s="114">
        <f t="shared" si="7"/>
        <v>0.57747395833333337</v>
      </c>
      <c r="Q52" s="115">
        <f>IFERROR(VLOOKUP($B52,MMWR_TRAD_AGG_STATE_COMP[],Q$1,0),"ERROR")</f>
        <v>8</v>
      </c>
      <c r="R52" s="115">
        <f>IFERROR(VLOOKUP($B52,MMWR_TRAD_AGG_STATE_COMP[],R$1,0),"ERROR")</f>
        <v>108</v>
      </c>
      <c r="S52" s="115">
        <f>IFERROR(VLOOKUP($B52,MMWR_APP_STATE_COMP[],S$1,0),"ERROR")</f>
        <v>2850</v>
      </c>
      <c r="T52" s="28"/>
    </row>
    <row r="53" spans="1:20" s="123" customFormat="1" x14ac:dyDescent="0.25">
      <c r="A53" s="28"/>
      <c r="B53" s="127" t="s">
        <v>415</v>
      </c>
      <c r="C53" s="109">
        <f>IFERROR(VLOOKUP($B53,MMWR_TRAD_AGG_STATE_COMP[],C$1,0),"ERROR")</f>
        <v>1853</v>
      </c>
      <c r="D53" s="110">
        <f>IFERROR(VLOOKUP($B53,MMWR_TRAD_AGG_STATE_COMP[],D$1,0),"ERROR")</f>
        <v>204.96492174849999</v>
      </c>
      <c r="E53" s="111">
        <f>IFERROR(VLOOKUP($B53,MMWR_TRAD_AGG_STATE_COMP[],E$1,0),"ERROR")</f>
        <v>2871</v>
      </c>
      <c r="F53" s="112">
        <f>IFERROR(VLOOKUP($B53,MMWR_TRAD_AGG_STATE_COMP[],F$1,0),"ERROR")</f>
        <v>881</v>
      </c>
      <c r="G53" s="113">
        <f t="shared" si="4"/>
        <v>0.30686172065482409</v>
      </c>
      <c r="H53" s="111">
        <f>IFERROR(VLOOKUP($B53,MMWR_TRAD_AGG_STATE_COMP[],H$1,0),"ERROR")</f>
        <v>2577</v>
      </c>
      <c r="I53" s="112">
        <f>IFERROR(VLOOKUP($B53,MMWR_TRAD_AGG_STATE_COMP[],I$1,0),"ERROR")</f>
        <v>1034</v>
      </c>
      <c r="J53" s="114">
        <f t="shared" si="5"/>
        <v>0.40124175397749323</v>
      </c>
      <c r="K53" s="111">
        <f>IFERROR(VLOOKUP($B53,MMWR_TRAD_AGG_STATE_COMP[],K$1,0),"ERROR")</f>
        <v>260</v>
      </c>
      <c r="L53" s="112">
        <f>IFERROR(VLOOKUP($B53,MMWR_TRAD_AGG_STATE_COMP[],L$1,0),"ERROR")</f>
        <v>161</v>
      </c>
      <c r="M53" s="114">
        <f t="shared" si="6"/>
        <v>0.61923076923076925</v>
      </c>
      <c r="N53" s="111">
        <f>IFERROR(VLOOKUP($B53,MMWR_TRAD_AGG_STATE_COMP[],N$1,0),"ERROR")</f>
        <v>567</v>
      </c>
      <c r="O53" s="112">
        <f>IFERROR(VLOOKUP($B53,MMWR_TRAD_AGG_STATE_COMP[],O$1,0),"ERROR")</f>
        <v>248</v>
      </c>
      <c r="P53" s="114">
        <f t="shared" si="7"/>
        <v>0.43738977072310403</v>
      </c>
      <c r="Q53" s="115">
        <f>IFERROR(VLOOKUP($B53,MMWR_TRAD_AGG_STATE_COMP[],Q$1,0),"ERROR")</f>
        <v>4</v>
      </c>
      <c r="R53" s="115">
        <f>IFERROR(VLOOKUP($B53,MMWR_TRAD_AGG_STATE_COMP[],R$1,0),"ERROR")</f>
        <v>18</v>
      </c>
      <c r="S53" s="115">
        <f>IFERROR(VLOOKUP($B53,MMWR_APP_STATE_COMP[],S$1,0),"ERROR")</f>
        <v>1982</v>
      </c>
      <c r="T53" s="28"/>
    </row>
    <row r="54" spans="1:20" s="123" customFormat="1" x14ac:dyDescent="0.25">
      <c r="A54" s="28"/>
      <c r="B54" s="127" t="s">
        <v>419</v>
      </c>
      <c r="C54" s="109">
        <f>IFERROR(VLOOKUP($B54,MMWR_TRAD_AGG_STATE_COMP[],C$1,0),"ERROR")</f>
        <v>9398</v>
      </c>
      <c r="D54" s="110">
        <f>IFERROR(VLOOKUP($B54,MMWR_TRAD_AGG_STATE_COMP[],D$1,0),"ERROR")</f>
        <v>396.5524579698</v>
      </c>
      <c r="E54" s="111">
        <f>IFERROR(VLOOKUP($B54,MMWR_TRAD_AGG_STATE_COMP[],E$1,0),"ERROR")</f>
        <v>5145</v>
      </c>
      <c r="F54" s="112">
        <f>IFERROR(VLOOKUP($B54,MMWR_TRAD_AGG_STATE_COMP[],F$1,0),"ERROR")</f>
        <v>1865</v>
      </c>
      <c r="G54" s="113">
        <f t="shared" si="4"/>
        <v>0.36248785228377067</v>
      </c>
      <c r="H54" s="111">
        <f>IFERROR(VLOOKUP($B54,MMWR_TRAD_AGG_STATE_COMP[],H$1,0),"ERROR")</f>
        <v>12428</v>
      </c>
      <c r="I54" s="112">
        <f>IFERROR(VLOOKUP($B54,MMWR_TRAD_AGG_STATE_COMP[],I$1,0),"ERROR")</f>
        <v>8213</v>
      </c>
      <c r="J54" s="114">
        <f t="shared" si="5"/>
        <v>0.66084647570003219</v>
      </c>
      <c r="K54" s="111">
        <f>IFERROR(VLOOKUP($B54,MMWR_TRAD_AGG_STATE_COMP[],K$1,0),"ERROR")</f>
        <v>3647</v>
      </c>
      <c r="L54" s="112">
        <f>IFERROR(VLOOKUP($B54,MMWR_TRAD_AGG_STATE_COMP[],L$1,0),"ERROR")</f>
        <v>2992</v>
      </c>
      <c r="M54" s="114">
        <f t="shared" si="6"/>
        <v>0.8204003290375651</v>
      </c>
      <c r="N54" s="111">
        <f>IFERROR(VLOOKUP($B54,MMWR_TRAD_AGG_STATE_COMP[],N$1,0),"ERROR")</f>
        <v>1749</v>
      </c>
      <c r="O54" s="112">
        <f>IFERROR(VLOOKUP($B54,MMWR_TRAD_AGG_STATE_COMP[],O$1,0),"ERROR")</f>
        <v>664</v>
      </c>
      <c r="P54" s="114">
        <f t="shared" si="7"/>
        <v>0.37964551172098343</v>
      </c>
      <c r="Q54" s="115">
        <f>IFERROR(VLOOKUP($B54,MMWR_TRAD_AGG_STATE_COMP[],Q$1,0),"ERROR")</f>
        <v>3</v>
      </c>
      <c r="R54" s="115">
        <f>IFERROR(VLOOKUP($B54,MMWR_TRAD_AGG_STATE_COMP[],R$1,0),"ERROR")</f>
        <v>76</v>
      </c>
      <c r="S54" s="115">
        <f>IFERROR(VLOOKUP($B54,MMWR_APP_STATE_COMP[],S$1,0),"ERROR")</f>
        <v>5491</v>
      </c>
      <c r="T54" s="28"/>
    </row>
    <row r="55" spans="1:20" s="123" customFormat="1" x14ac:dyDescent="0.25">
      <c r="A55" s="28"/>
      <c r="B55" s="127" t="s">
        <v>83</v>
      </c>
      <c r="C55" s="109">
        <f>IFERROR(VLOOKUP($B55,MMWR_TRAD_AGG_STATE_COMP[],C$1,0),"ERROR")</f>
        <v>14278</v>
      </c>
      <c r="D55" s="110">
        <f>IFERROR(VLOOKUP($B55,MMWR_TRAD_AGG_STATE_COMP[],D$1,0),"ERROR")</f>
        <v>398.66788065560002</v>
      </c>
      <c r="E55" s="111">
        <f>IFERROR(VLOOKUP($B55,MMWR_TRAD_AGG_STATE_COMP[],E$1,0),"ERROR")</f>
        <v>7005</v>
      </c>
      <c r="F55" s="112">
        <f>IFERROR(VLOOKUP($B55,MMWR_TRAD_AGG_STATE_COMP[],F$1,0),"ERROR")</f>
        <v>1798</v>
      </c>
      <c r="G55" s="113">
        <f t="shared" si="4"/>
        <v>0.25667380442541043</v>
      </c>
      <c r="H55" s="111">
        <f>IFERROR(VLOOKUP($B55,MMWR_TRAD_AGG_STATE_COMP[],H$1,0),"ERROR")</f>
        <v>20470</v>
      </c>
      <c r="I55" s="112">
        <f>IFERROR(VLOOKUP($B55,MMWR_TRAD_AGG_STATE_COMP[],I$1,0),"ERROR")</f>
        <v>13525</v>
      </c>
      <c r="J55" s="114">
        <f t="shared" si="5"/>
        <v>0.66072300928187588</v>
      </c>
      <c r="K55" s="111">
        <f>IFERROR(VLOOKUP($B55,MMWR_TRAD_AGG_STATE_COMP[],K$1,0),"ERROR")</f>
        <v>3591</v>
      </c>
      <c r="L55" s="112">
        <f>IFERROR(VLOOKUP($B55,MMWR_TRAD_AGG_STATE_COMP[],L$1,0),"ERROR")</f>
        <v>3195</v>
      </c>
      <c r="M55" s="114">
        <f t="shared" si="6"/>
        <v>0.88972431077694236</v>
      </c>
      <c r="N55" s="111">
        <f>IFERROR(VLOOKUP($B55,MMWR_TRAD_AGG_STATE_COMP[],N$1,0),"ERROR")</f>
        <v>5293</v>
      </c>
      <c r="O55" s="112">
        <f>IFERROR(VLOOKUP($B55,MMWR_TRAD_AGG_STATE_COMP[],O$1,0),"ERROR")</f>
        <v>4245</v>
      </c>
      <c r="P55" s="114">
        <f t="shared" si="7"/>
        <v>0.80200264500283391</v>
      </c>
      <c r="Q55" s="115">
        <f>IFERROR(VLOOKUP($B55,MMWR_TRAD_AGG_STATE_COMP[],Q$1,0),"ERROR")</f>
        <v>9</v>
      </c>
      <c r="R55" s="115">
        <f>IFERROR(VLOOKUP($B55,MMWR_TRAD_AGG_STATE_COMP[],R$1,0),"ERROR")</f>
        <v>143</v>
      </c>
      <c r="S55" s="115">
        <f>IFERROR(VLOOKUP($B55,MMWR_APP_STATE_COMP[],S$1,0),"ERROR")</f>
        <v>4911</v>
      </c>
      <c r="T55" s="28"/>
    </row>
    <row r="56" spans="1:20" s="123" customFormat="1" x14ac:dyDescent="0.25">
      <c r="A56" s="28"/>
      <c r="B56" s="126" t="s">
        <v>390</v>
      </c>
      <c r="C56" s="102">
        <f>IFERROR(VLOOKUP($B56,MMWR_TRAD_AGG_ST_DISTRICT_COMP[],C$1,0),"ERROR")</f>
        <v>80989</v>
      </c>
      <c r="D56" s="103">
        <f>IFERROR(VLOOKUP($B56,MMWR_TRAD_AGG_ST_DISTRICT_COMP[],D$1,0),"ERROR")</f>
        <v>352.26672758030003</v>
      </c>
      <c r="E56" s="102">
        <f>IFERROR(VLOOKUP($B56,MMWR_TRAD_AGG_ST_DISTRICT_COMP[],E$1,0),"ERROR")</f>
        <v>74802</v>
      </c>
      <c r="F56" s="102">
        <f>IFERROR(VLOOKUP($B56,MMWR_TRAD_AGG_ST_DISTRICT_COMP[],F$1,0),"ERROR")</f>
        <v>21066</v>
      </c>
      <c r="G56" s="104">
        <f t="shared" si="4"/>
        <v>0.28162348600304804</v>
      </c>
      <c r="H56" s="102">
        <f>IFERROR(VLOOKUP($B56,MMWR_TRAD_AGG_ST_DISTRICT_COMP[],H$1,0),"ERROR")</f>
        <v>112277</v>
      </c>
      <c r="I56" s="102">
        <f>IFERROR(VLOOKUP($B56,MMWR_TRAD_AGG_ST_DISTRICT_COMP[],I$1,0),"ERROR")</f>
        <v>71766</v>
      </c>
      <c r="J56" s="105">
        <f t="shared" si="5"/>
        <v>0.63918701069675887</v>
      </c>
      <c r="K56" s="102">
        <f>IFERROR(VLOOKUP($B56,MMWR_TRAD_AGG_ST_DISTRICT_COMP[],K$1,0),"ERROR")</f>
        <v>20982</v>
      </c>
      <c r="L56" s="102">
        <f>IFERROR(VLOOKUP($B56,MMWR_TRAD_AGG_ST_DISTRICT_COMP[],L$1,0),"ERROR")</f>
        <v>16230</v>
      </c>
      <c r="M56" s="105">
        <f t="shared" si="6"/>
        <v>0.77352016013726055</v>
      </c>
      <c r="N56" s="102">
        <f>IFERROR(VLOOKUP($B56,MMWR_TRAD_AGG_ST_DISTRICT_COMP[],N$1,0),"ERROR")</f>
        <v>40715</v>
      </c>
      <c r="O56" s="102">
        <f>IFERROR(VLOOKUP($B56,MMWR_TRAD_AGG_ST_DISTRICT_COMP[],O$1,0),"ERROR")</f>
        <v>21878</v>
      </c>
      <c r="P56" s="105">
        <f t="shared" si="7"/>
        <v>0.53734495886037092</v>
      </c>
      <c r="Q56" s="102">
        <f>IFERROR(VLOOKUP($B56,MMWR_TRAD_AGG_ST_DISTRICT_COMP[],Q$1,0),"ERROR")</f>
        <v>2837</v>
      </c>
      <c r="R56" s="106">
        <f>IFERROR(VLOOKUP($B56,MMWR_TRAD_AGG_ST_DISTRICT_COMP[],R$1,0),"ERROR")</f>
        <v>1107</v>
      </c>
      <c r="S56" s="106">
        <f>SUM(S57:S63)</f>
        <v>84623</v>
      </c>
      <c r="T56" s="28"/>
    </row>
    <row r="57" spans="1:20" s="123" customFormat="1" x14ac:dyDescent="0.25">
      <c r="A57" s="28"/>
      <c r="B57" s="127" t="s">
        <v>398</v>
      </c>
      <c r="C57" s="109">
        <f>IFERROR(VLOOKUP($B57,MMWR_TRAD_AGG_STATE_COMP[],C$1,0),"ERROR")</f>
        <v>14352</v>
      </c>
      <c r="D57" s="110">
        <f>IFERROR(VLOOKUP($B57,MMWR_TRAD_AGG_STATE_COMP[],D$1,0),"ERROR")</f>
        <v>364.76762820509998</v>
      </c>
      <c r="E57" s="111">
        <f>IFERROR(VLOOKUP($B57,MMWR_TRAD_AGG_STATE_COMP[],E$1,0),"ERROR")</f>
        <v>7930</v>
      </c>
      <c r="F57" s="112">
        <f>IFERROR(VLOOKUP($B57,MMWR_TRAD_AGG_STATE_COMP[],F$1,0),"ERROR")</f>
        <v>1806</v>
      </c>
      <c r="G57" s="113">
        <f t="shared" si="4"/>
        <v>0.22774274905422445</v>
      </c>
      <c r="H57" s="111">
        <f>IFERROR(VLOOKUP($B57,MMWR_TRAD_AGG_STATE_COMP[],H$1,0),"ERROR")</f>
        <v>16852</v>
      </c>
      <c r="I57" s="112">
        <f>IFERROR(VLOOKUP($B57,MMWR_TRAD_AGG_STATE_COMP[],I$1,0),"ERROR")</f>
        <v>11890</v>
      </c>
      <c r="J57" s="114">
        <f t="shared" si="5"/>
        <v>0.70555423688582952</v>
      </c>
      <c r="K57" s="111">
        <f>IFERROR(VLOOKUP($B57,MMWR_TRAD_AGG_STATE_COMP[],K$1,0),"ERROR")</f>
        <v>4351</v>
      </c>
      <c r="L57" s="112">
        <f>IFERROR(VLOOKUP($B57,MMWR_TRAD_AGG_STATE_COMP[],L$1,0),"ERROR")</f>
        <v>3933</v>
      </c>
      <c r="M57" s="114">
        <f t="shared" si="6"/>
        <v>0.90393013100436681</v>
      </c>
      <c r="N57" s="111">
        <f>IFERROR(VLOOKUP($B57,MMWR_TRAD_AGG_STATE_COMP[],N$1,0),"ERROR")</f>
        <v>3237</v>
      </c>
      <c r="O57" s="112">
        <f>IFERROR(VLOOKUP($B57,MMWR_TRAD_AGG_STATE_COMP[],O$1,0),"ERROR")</f>
        <v>2007</v>
      </c>
      <c r="P57" s="114">
        <f t="shared" si="7"/>
        <v>0.62001853568118626</v>
      </c>
      <c r="Q57" s="115">
        <f>IFERROR(VLOOKUP($B57,MMWR_TRAD_AGG_STATE_COMP[],Q$1,0),"ERROR")</f>
        <v>16</v>
      </c>
      <c r="R57" s="115">
        <f>IFERROR(VLOOKUP($B57,MMWR_TRAD_AGG_STATE_COMP[],R$1,0),"ERROR")</f>
        <v>361</v>
      </c>
      <c r="S57" s="115">
        <f>IFERROR(VLOOKUP($B57,MMWR_APP_STATE_COMP[],S$1,0),"ERROR")</f>
        <v>10725</v>
      </c>
      <c r="T57" s="28"/>
    </row>
    <row r="58" spans="1:20" s="123" customFormat="1" x14ac:dyDescent="0.25">
      <c r="A58" s="28"/>
      <c r="B58" s="127" t="s">
        <v>435</v>
      </c>
      <c r="C58" s="109">
        <f>IFERROR(VLOOKUP($B58,MMWR_TRAD_AGG_STATE_COMP[],C$1,0),"ERROR")</f>
        <v>20299</v>
      </c>
      <c r="D58" s="110">
        <f>IFERROR(VLOOKUP($B58,MMWR_TRAD_AGG_STATE_COMP[],D$1,0),"ERROR")</f>
        <v>324.86452534609998</v>
      </c>
      <c r="E58" s="111">
        <f>IFERROR(VLOOKUP($B58,MMWR_TRAD_AGG_STATE_COMP[],E$1,0),"ERROR")</f>
        <v>24014</v>
      </c>
      <c r="F58" s="112">
        <f>IFERROR(VLOOKUP($B58,MMWR_TRAD_AGG_STATE_COMP[],F$1,0),"ERROR")</f>
        <v>7763</v>
      </c>
      <c r="G58" s="113">
        <f t="shared" si="4"/>
        <v>0.32326975930707086</v>
      </c>
      <c r="H58" s="111">
        <f>IFERROR(VLOOKUP($B58,MMWR_TRAD_AGG_STATE_COMP[],H$1,0),"ERROR")</f>
        <v>28437</v>
      </c>
      <c r="I58" s="112">
        <f>IFERROR(VLOOKUP($B58,MMWR_TRAD_AGG_STATE_COMP[],I$1,0),"ERROR")</f>
        <v>17071</v>
      </c>
      <c r="J58" s="114">
        <f t="shared" si="5"/>
        <v>0.60030945599043495</v>
      </c>
      <c r="K58" s="111">
        <f>IFERROR(VLOOKUP($B58,MMWR_TRAD_AGG_STATE_COMP[],K$1,0),"ERROR")</f>
        <v>3808</v>
      </c>
      <c r="L58" s="112">
        <f>IFERROR(VLOOKUP($B58,MMWR_TRAD_AGG_STATE_COMP[],L$1,0),"ERROR")</f>
        <v>2716</v>
      </c>
      <c r="M58" s="114">
        <f t="shared" si="6"/>
        <v>0.71323529411764708</v>
      </c>
      <c r="N58" s="111">
        <f>IFERROR(VLOOKUP($B58,MMWR_TRAD_AGG_STATE_COMP[],N$1,0),"ERROR")</f>
        <v>11913</v>
      </c>
      <c r="O58" s="112">
        <f>IFERROR(VLOOKUP($B58,MMWR_TRAD_AGG_STATE_COMP[],O$1,0),"ERROR")</f>
        <v>6802</v>
      </c>
      <c r="P58" s="114">
        <f t="shared" si="7"/>
        <v>0.57097288676236047</v>
      </c>
      <c r="Q58" s="115">
        <f>IFERROR(VLOOKUP($B58,MMWR_TRAD_AGG_STATE_COMP[],Q$1,0),"ERROR")</f>
        <v>1408</v>
      </c>
      <c r="R58" s="115">
        <f>IFERROR(VLOOKUP($B58,MMWR_TRAD_AGG_STATE_COMP[],R$1,0),"ERROR")</f>
        <v>255</v>
      </c>
      <c r="S58" s="115">
        <f>IFERROR(VLOOKUP($B58,MMWR_APP_STATE_COMP[],S$1,0),"ERROR")</f>
        <v>28571</v>
      </c>
      <c r="T58" s="28"/>
    </row>
    <row r="59" spans="1:20" s="123" customFormat="1" x14ac:dyDescent="0.25">
      <c r="A59" s="28"/>
      <c r="B59" s="127" t="s">
        <v>391</v>
      </c>
      <c r="C59" s="109">
        <f>IFERROR(VLOOKUP($B59,MMWR_TRAD_AGG_STATE_COMP[],C$1,0),"ERROR")</f>
        <v>16202</v>
      </c>
      <c r="D59" s="110">
        <f>IFERROR(VLOOKUP($B59,MMWR_TRAD_AGG_STATE_COMP[],D$1,0),"ERROR")</f>
        <v>354.00425873350002</v>
      </c>
      <c r="E59" s="111">
        <f>IFERROR(VLOOKUP($B59,MMWR_TRAD_AGG_STATE_COMP[],E$1,0),"ERROR")</f>
        <v>16427</v>
      </c>
      <c r="F59" s="112">
        <f>IFERROR(VLOOKUP($B59,MMWR_TRAD_AGG_STATE_COMP[],F$1,0),"ERROR")</f>
        <v>4557</v>
      </c>
      <c r="G59" s="113">
        <f t="shared" si="4"/>
        <v>0.27740914348328971</v>
      </c>
      <c r="H59" s="111">
        <f>IFERROR(VLOOKUP($B59,MMWR_TRAD_AGG_STATE_COMP[],H$1,0),"ERROR")</f>
        <v>24193</v>
      </c>
      <c r="I59" s="112">
        <f>IFERROR(VLOOKUP($B59,MMWR_TRAD_AGG_STATE_COMP[],I$1,0),"ERROR")</f>
        <v>15139</v>
      </c>
      <c r="J59" s="114">
        <f t="shared" si="5"/>
        <v>0.62575951721572354</v>
      </c>
      <c r="K59" s="111">
        <f>IFERROR(VLOOKUP($B59,MMWR_TRAD_AGG_STATE_COMP[],K$1,0),"ERROR")</f>
        <v>5532</v>
      </c>
      <c r="L59" s="112">
        <f>IFERROR(VLOOKUP($B59,MMWR_TRAD_AGG_STATE_COMP[],L$1,0),"ERROR")</f>
        <v>4508</v>
      </c>
      <c r="M59" s="114">
        <f t="shared" si="6"/>
        <v>0.81489515545914681</v>
      </c>
      <c r="N59" s="111">
        <f>IFERROR(VLOOKUP($B59,MMWR_TRAD_AGG_STATE_COMP[],N$1,0),"ERROR")</f>
        <v>18204</v>
      </c>
      <c r="O59" s="112">
        <f>IFERROR(VLOOKUP($B59,MMWR_TRAD_AGG_STATE_COMP[],O$1,0),"ERROR")</f>
        <v>8974</v>
      </c>
      <c r="P59" s="114">
        <f t="shared" si="7"/>
        <v>0.49296857833443197</v>
      </c>
      <c r="Q59" s="115">
        <f>IFERROR(VLOOKUP($B59,MMWR_TRAD_AGG_STATE_COMP[],Q$1,0),"ERROR")</f>
        <v>697</v>
      </c>
      <c r="R59" s="115">
        <f>IFERROR(VLOOKUP($B59,MMWR_TRAD_AGG_STATE_COMP[],R$1,0),"ERROR")</f>
        <v>40</v>
      </c>
      <c r="S59" s="115">
        <f>IFERROR(VLOOKUP($B59,MMWR_APP_STATE_COMP[],S$1,0),"ERROR")</f>
        <v>16559</v>
      </c>
      <c r="T59" s="28"/>
    </row>
    <row r="60" spans="1:20" s="123" customFormat="1" x14ac:dyDescent="0.25">
      <c r="A60" s="28"/>
      <c r="B60" s="127" t="s">
        <v>403</v>
      </c>
      <c r="C60" s="109">
        <f>IFERROR(VLOOKUP($B60,MMWR_TRAD_AGG_STATE_COMP[],C$1,0),"ERROR")</f>
        <v>8012</v>
      </c>
      <c r="D60" s="110">
        <f>IFERROR(VLOOKUP($B60,MMWR_TRAD_AGG_STATE_COMP[],D$1,0),"ERROR")</f>
        <v>521.68734398399999</v>
      </c>
      <c r="E60" s="111">
        <f>IFERROR(VLOOKUP($B60,MMWR_TRAD_AGG_STATE_COMP[],E$1,0),"ERROR")</f>
        <v>4297</v>
      </c>
      <c r="F60" s="112">
        <f>IFERROR(VLOOKUP($B60,MMWR_TRAD_AGG_STATE_COMP[],F$1,0),"ERROR")</f>
        <v>1185</v>
      </c>
      <c r="G60" s="113">
        <f t="shared" si="4"/>
        <v>0.27577379567139865</v>
      </c>
      <c r="H60" s="111">
        <f>IFERROR(VLOOKUP($B60,MMWR_TRAD_AGG_STATE_COMP[],H$1,0),"ERROR")</f>
        <v>10905</v>
      </c>
      <c r="I60" s="112">
        <f>IFERROR(VLOOKUP($B60,MMWR_TRAD_AGG_STATE_COMP[],I$1,0),"ERROR")</f>
        <v>7456</v>
      </c>
      <c r="J60" s="114">
        <f t="shared" si="5"/>
        <v>0.68372306281522233</v>
      </c>
      <c r="K60" s="111">
        <f>IFERROR(VLOOKUP($B60,MMWR_TRAD_AGG_STATE_COMP[],K$1,0),"ERROR")</f>
        <v>2734</v>
      </c>
      <c r="L60" s="112">
        <f>IFERROR(VLOOKUP($B60,MMWR_TRAD_AGG_STATE_COMP[],L$1,0),"ERROR")</f>
        <v>2140</v>
      </c>
      <c r="M60" s="114">
        <f t="shared" si="6"/>
        <v>0.78273591806876375</v>
      </c>
      <c r="N60" s="111">
        <f>IFERROR(VLOOKUP($B60,MMWR_TRAD_AGG_STATE_COMP[],N$1,0),"ERROR")</f>
        <v>918</v>
      </c>
      <c r="O60" s="112">
        <f>IFERROR(VLOOKUP($B60,MMWR_TRAD_AGG_STATE_COMP[],O$1,0),"ERROR")</f>
        <v>553</v>
      </c>
      <c r="P60" s="114">
        <f t="shared" si="7"/>
        <v>0.60239651416122009</v>
      </c>
      <c r="Q60" s="115">
        <f>IFERROR(VLOOKUP($B60,MMWR_TRAD_AGG_STATE_COMP[],Q$1,0),"ERROR")</f>
        <v>42</v>
      </c>
      <c r="R60" s="115">
        <f>IFERROR(VLOOKUP($B60,MMWR_TRAD_AGG_STATE_COMP[],R$1,0),"ERROR")</f>
        <v>157</v>
      </c>
      <c r="S60" s="115">
        <f>IFERROR(VLOOKUP($B60,MMWR_APP_STATE_COMP[],S$1,0),"ERROR")</f>
        <v>3300</v>
      </c>
      <c r="T60" s="28"/>
    </row>
    <row r="61" spans="1:20" s="123" customFormat="1" x14ac:dyDescent="0.25">
      <c r="A61" s="28"/>
      <c r="B61" s="127" t="s">
        <v>437</v>
      </c>
      <c r="C61" s="109">
        <f>IFERROR(VLOOKUP($B61,MMWR_TRAD_AGG_STATE_COMP[],C$1,0),"ERROR")</f>
        <v>2792</v>
      </c>
      <c r="D61" s="110">
        <f>IFERROR(VLOOKUP($B61,MMWR_TRAD_AGG_STATE_COMP[],D$1,0),"ERROR")</f>
        <v>299.46275071629998</v>
      </c>
      <c r="E61" s="111">
        <f>IFERROR(VLOOKUP($B61,MMWR_TRAD_AGG_STATE_COMP[],E$1,0),"ERROR")</f>
        <v>2721</v>
      </c>
      <c r="F61" s="112">
        <f>IFERROR(VLOOKUP($B61,MMWR_TRAD_AGG_STATE_COMP[],F$1,0),"ERROR")</f>
        <v>913</v>
      </c>
      <c r="G61" s="113">
        <f t="shared" si="4"/>
        <v>0.33553840499816245</v>
      </c>
      <c r="H61" s="111">
        <f>IFERROR(VLOOKUP($B61,MMWR_TRAD_AGG_STATE_COMP[],H$1,0),"ERROR")</f>
        <v>4753</v>
      </c>
      <c r="I61" s="112">
        <f>IFERROR(VLOOKUP($B61,MMWR_TRAD_AGG_STATE_COMP[],I$1,0),"ERROR")</f>
        <v>3140</v>
      </c>
      <c r="J61" s="114">
        <f t="shared" si="5"/>
        <v>0.66063538817588896</v>
      </c>
      <c r="K61" s="111">
        <f>IFERROR(VLOOKUP($B61,MMWR_TRAD_AGG_STATE_COMP[],K$1,0),"ERROR")</f>
        <v>753</v>
      </c>
      <c r="L61" s="112">
        <f>IFERROR(VLOOKUP($B61,MMWR_TRAD_AGG_STATE_COMP[],L$1,0),"ERROR")</f>
        <v>628</v>
      </c>
      <c r="M61" s="114">
        <f t="shared" si="6"/>
        <v>0.83399734395750336</v>
      </c>
      <c r="N61" s="111">
        <f>IFERROR(VLOOKUP($B61,MMWR_TRAD_AGG_STATE_COMP[],N$1,0),"ERROR")</f>
        <v>1699</v>
      </c>
      <c r="O61" s="112">
        <f>IFERROR(VLOOKUP($B61,MMWR_TRAD_AGG_STATE_COMP[],O$1,0),"ERROR")</f>
        <v>870</v>
      </c>
      <c r="P61" s="114">
        <f t="shared" si="7"/>
        <v>0.51206592113007654</v>
      </c>
      <c r="Q61" s="115">
        <f>IFERROR(VLOOKUP($B61,MMWR_TRAD_AGG_STATE_COMP[],Q$1,0),"ERROR")</f>
        <v>219</v>
      </c>
      <c r="R61" s="115">
        <f>IFERROR(VLOOKUP($B61,MMWR_TRAD_AGG_STATE_COMP[],R$1,0),"ERROR")</f>
        <v>4</v>
      </c>
      <c r="S61" s="115">
        <f>IFERROR(VLOOKUP($B61,MMWR_APP_STATE_COMP[],S$1,0),"ERROR")</f>
        <v>6167</v>
      </c>
      <c r="T61" s="28"/>
    </row>
    <row r="62" spans="1:20" s="123" customFormat="1" x14ac:dyDescent="0.25">
      <c r="A62" s="28"/>
      <c r="B62" s="127" t="s">
        <v>393</v>
      </c>
      <c r="C62" s="109">
        <f>IFERROR(VLOOKUP($B62,MMWR_TRAD_AGG_STATE_COMP[],C$1,0),"ERROR")</f>
        <v>11958</v>
      </c>
      <c r="D62" s="110">
        <f>IFERROR(VLOOKUP($B62,MMWR_TRAD_AGG_STATE_COMP[],D$1,0),"ERROR")</f>
        <v>332.23256397390003</v>
      </c>
      <c r="E62" s="111">
        <f>IFERROR(VLOOKUP($B62,MMWR_TRAD_AGG_STATE_COMP[],E$1,0),"ERROR")</f>
        <v>9763</v>
      </c>
      <c r="F62" s="112">
        <f>IFERROR(VLOOKUP($B62,MMWR_TRAD_AGG_STATE_COMP[],F$1,0),"ERROR")</f>
        <v>2536</v>
      </c>
      <c r="G62" s="113">
        <f t="shared" si="4"/>
        <v>0.25975622247260066</v>
      </c>
      <c r="H62" s="111">
        <f>IFERROR(VLOOKUP($B62,MMWR_TRAD_AGG_STATE_COMP[],H$1,0),"ERROR")</f>
        <v>16844</v>
      </c>
      <c r="I62" s="112">
        <f>IFERROR(VLOOKUP($B62,MMWR_TRAD_AGG_STATE_COMP[],I$1,0),"ERROR")</f>
        <v>11334</v>
      </c>
      <c r="J62" s="114">
        <f t="shared" si="5"/>
        <v>0.67288055093801946</v>
      </c>
      <c r="K62" s="111">
        <f>IFERROR(VLOOKUP($B62,MMWR_TRAD_AGG_STATE_COMP[],K$1,0),"ERROR")</f>
        <v>2308</v>
      </c>
      <c r="L62" s="112">
        <f>IFERROR(VLOOKUP($B62,MMWR_TRAD_AGG_STATE_COMP[],L$1,0),"ERROR")</f>
        <v>1109</v>
      </c>
      <c r="M62" s="114">
        <f t="shared" si="6"/>
        <v>0.48050259965337955</v>
      </c>
      <c r="N62" s="111">
        <f>IFERROR(VLOOKUP($B62,MMWR_TRAD_AGG_STATE_COMP[],N$1,0),"ERROR")</f>
        <v>2848</v>
      </c>
      <c r="O62" s="112">
        <f>IFERROR(VLOOKUP($B62,MMWR_TRAD_AGG_STATE_COMP[],O$1,0),"ERROR")</f>
        <v>1565</v>
      </c>
      <c r="P62" s="114">
        <f t="shared" si="7"/>
        <v>0.5495084269662921</v>
      </c>
      <c r="Q62" s="115">
        <f>IFERROR(VLOOKUP($B62,MMWR_TRAD_AGG_STATE_COMP[],Q$1,0),"ERROR")</f>
        <v>423</v>
      </c>
      <c r="R62" s="115">
        <f>IFERROR(VLOOKUP($B62,MMWR_TRAD_AGG_STATE_COMP[],R$1,0),"ERROR")</f>
        <v>62</v>
      </c>
      <c r="S62" s="115">
        <f>IFERROR(VLOOKUP($B62,MMWR_APP_STATE_COMP[],S$1,0),"ERROR")</f>
        <v>12242</v>
      </c>
      <c r="T62" s="28"/>
    </row>
    <row r="63" spans="1:20" s="123" customFormat="1" x14ac:dyDescent="0.25">
      <c r="A63" s="28"/>
      <c r="B63" s="127" t="s">
        <v>394</v>
      </c>
      <c r="C63" s="109">
        <f>IFERROR(VLOOKUP($B63,MMWR_TRAD_AGG_STATE_COMP[],C$1,0),"ERROR")</f>
        <v>7374</v>
      </c>
      <c r="D63" s="110">
        <f>IFERROR(VLOOKUP($B63,MMWR_TRAD_AGG_STATE_COMP[],D$1,0),"ERROR")</f>
        <v>267.95321399509999</v>
      </c>
      <c r="E63" s="111">
        <f>IFERROR(VLOOKUP($B63,MMWR_TRAD_AGG_STATE_COMP[],E$1,0),"ERROR")</f>
        <v>9650</v>
      </c>
      <c r="F63" s="112">
        <f>IFERROR(VLOOKUP($B63,MMWR_TRAD_AGG_STATE_COMP[],F$1,0),"ERROR")</f>
        <v>2306</v>
      </c>
      <c r="G63" s="113">
        <f t="shared" si="4"/>
        <v>0.23896373056994819</v>
      </c>
      <c r="H63" s="111">
        <f>IFERROR(VLOOKUP($B63,MMWR_TRAD_AGG_STATE_COMP[],H$1,0),"ERROR")</f>
        <v>10293</v>
      </c>
      <c r="I63" s="112">
        <f>IFERROR(VLOOKUP($B63,MMWR_TRAD_AGG_STATE_COMP[],I$1,0),"ERROR")</f>
        <v>5736</v>
      </c>
      <c r="J63" s="114">
        <f t="shared" si="5"/>
        <v>0.55727193238122996</v>
      </c>
      <c r="K63" s="111">
        <f>IFERROR(VLOOKUP($B63,MMWR_TRAD_AGG_STATE_COMP[],K$1,0),"ERROR")</f>
        <v>1496</v>
      </c>
      <c r="L63" s="112">
        <f>IFERROR(VLOOKUP($B63,MMWR_TRAD_AGG_STATE_COMP[],L$1,0),"ERROR")</f>
        <v>1196</v>
      </c>
      <c r="M63" s="114">
        <f t="shared" si="6"/>
        <v>0.79946524064171121</v>
      </c>
      <c r="N63" s="111">
        <f>IFERROR(VLOOKUP($B63,MMWR_TRAD_AGG_STATE_COMP[],N$1,0),"ERROR")</f>
        <v>1896</v>
      </c>
      <c r="O63" s="112">
        <f>IFERROR(VLOOKUP($B63,MMWR_TRAD_AGG_STATE_COMP[],O$1,0),"ERROR")</f>
        <v>1107</v>
      </c>
      <c r="P63" s="114">
        <f t="shared" si="7"/>
        <v>0.58386075949367089</v>
      </c>
      <c r="Q63" s="115">
        <f>IFERROR(VLOOKUP($B63,MMWR_TRAD_AGG_STATE_COMP[],Q$1,0),"ERROR")</f>
        <v>32</v>
      </c>
      <c r="R63" s="115">
        <f>IFERROR(VLOOKUP($B63,MMWR_TRAD_AGG_STATE_COMP[],R$1,0),"ERROR")</f>
        <v>228</v>
      </c>
      <c r="S63" s="115">
        <f>IFERROR(VLOOKUP($B63,MMWR_APP_STATE_COMP[],S$1,0),"ERROR")</f>
        <v>7059</v>
      </c>
      <c r="T63" s="28"/>
    </row>
    <row r="64" spans="1:20" s="123" customFormat="1" x14ac:dyDescent="0.25">
      <c r="A64" s="28"/>
      <c r="B64" s="128" t="s">
        <v>8</v>
      </c>
      <c r="C64" s="102">
        <f>IFERROR(VLOOKUP($B64,MMWR_TRAD_AGG_ST_DISTRICT_COMP[],C$1,0),"ERROR")</f>
        <v>8759</v>
      </c>
      <c r="D64" s="103">
        <f>IFERROR(VLOOKUP($B64,MMWR_TRAD_AGG_ST_DISTRICT_COMP[],D$1,0),"ERROR")</f>
        <v>417.19020436120002</v>
      </c>
      <c r="E64" s="102">
        <f>IFERROR(VLOOKUP($B64,MMWR_TRAD_AGG_ST_DISTRICT_COMP[],E$1,0),"ERROR")</f>
        <v>4106</v>
      </c>
      <c r="F64" s="102">
        <f>IFERROR(VLOOKUP($B64,MMWR_TRAD_AGG_ST_DISTRICT_COMP[],F$1,0),"ERROR")</f>
        <v>1753</v>
      </c>
      <c r="G64" s="104">
        <f t="shared" si="4"/>
        <v>0.42693619094008767</v>
      </c>
      <c r="H64" s="102">
        <f>IFERROR(VLOOKUP($B64,MMWR_TRAD_AGG_ST_DISTRICT_COMP[],H$1,0),"ERROR")</f>
        <v>10632</v>
      </c>
      <c r="I64" s="102">
        <f>IFERROR(VLOOKUP($B64,MMWR_TRAD_AGG_ST_DISTRICT_COMP[],I$1,0),"ERROR")</f>
        <v>8156</v>
      </c>
      <c r="J64" s="105">
        <f t="shared" si="5"/>
        <v>0.76711813393528971</v>
      </c>
      <c r="K64" s="102">
        <f>IFERROR(VLOOKUP($B64,MMWR_TRAD_AGG_ST_DISTRICT_COMP[],K$1,0),"ERROR")</f>
        <v>1358</v>
      </c>
      <c r="L64" s="102">
        <f>IFERROR(VLOOKUP($B64,MMWR_TRAD_AGG_ST_DISTRICT_COMP[],L$1,0),"ERROR")</f>
        <v>1175</v>
      </c>
      <c r="M64" s="105">
        <f t="shared" si="6"/>
        <v>0.86524300441826218</v>
      </c>
      <c r="N64" s="102">
        <f>IFERROR(VLOOKUP($B64,MMWR_TRAD_AGG_ST_DISTRICT_COMP[],N$1,0),"ERROR")</f>
        <v>15579</v>
      </c>
      <c r="O64" s="102">
        <f>IFERROR(VLOOKUP($B64,MMWR_TRAD_AGG_ST_DISTRICT_COMP[],O$1,0),"ERROR")</f>
        <v>12054</v>
      </c>
      <c r="P64" s="105">
        <f t="shared" si="7"/>
        <v>0.77373387252070092</v>
      </c>
      <c r="Q64" s="102">
        <f>IFERROR(VLOOKUP($B64,MMWR_TRAD_AGG_ST_DISTRICT_COMP[],Q$1,0),"ERROR")</f>
        <v>378</v>
      </c>
      <c r="R64" s="106">
        <f>IFERROR(VLOOKUP($B64,MMWR_TRAD_AGG_ST_DISTRICT_COMP[],R$1,0),"ERROR")</f>
        <v>152</v>
      </c>
      <c r="S64" s="106">
        <f>IFERROR(VLOOKUP($B64,MMWR_APP_STATE_COMP[],S$1,0),"ERROR")</f>
        <v>389</v>
      </c>
      <c r="T64" s="28"/>
    </row>
    <row r="65" spans="1:20" s="123" customFormat="1" x14ac:dyDescent="0.25">
      <c r="A65" s="28"/>
      <c r="B65" s="28"/>
      <c r="C65" s="28"/>
      <c r="D65" s="28"/>
      <c r="E65" s="28"/>
      <c r="F65" s="28"/>
      <c r="G65" s="28"/>
      <c r="H65" s="28"/>
      <c r="I65" s="28"/>
      <c r="J65" s="28"/>
      <c r="K65" s="28"/>
      <c r="L65" s="28"/>
      <c r="M65" s="28"/>
      <c r="N65" s="28"/>
      <c r="O65" s="28"/>
      <c r="P65" s="28"/>
      <c r="Q65" s="28"/>
      <c r="R65" s="28"/>
      <c r="S65" s="28"/>
      <c r="T65" s="28"/>
    </row>
    <row r="66" spans="1:20" s="123" customFormat="1" ht="24.6" x14ac:dyDescent="0.4">
      <c r="A66" s="28"/>
      <c r="B66" s="26"/>
      <c r="C66" s="451" t="s">
        <v>497</v>
      </c>
      <c r="D66" s="452"/>
      <c r="E66" s="452"/>
      <c r="F66" s="452"/>
      <c r="G66" s="452"/>
      <c r="H66" s="452"/>
      <c r="I66" s="452"/>
      <c r="J66" s="452"/>
      <c r="K66" s="452"/>
      <c r="L66" s="452"/>
      <c r="M66" s="452"/>
      <c r="N66" s="452"/>
      <c r="O66" s="452"/>
      <c r="P66" s="452"/>
      <c r="Q66" s="452"/>
      <c r="R66" s="452"/>
      <c r="S66" s="453"/>
      <c r="T66" s="28"/>
    </row>
    <row r="67" spans="1:20" s="123" customFormat="1" x14ac:dyDescent="0.25">
      <c r="A67" s="28"/>
      <c r="B67" s="26"/>
      <c r="C67" s="459" t="s">
        <v>233</v>
      </c>
      <c r="D67" s="459"/>
      <c r="E67" s="456" t="s">
        <v>213</v>
      </c>
      <c r="F67" s="457"/>
      <c r="G67" s="458"/>
      <c r="H67" s="456" t="s">
        <v>7</v>
      </c>
      <c r="I67" s="457"/>
      <c r="J67" s="458"/>
      <c r="K67" s="456" t="s">
        <v>33</v>
      </c>
      <c r="L67" s="457"/>
      <c r="M67" s="458"/>
      <c r="N67" s="456" t="s">
        <v>8</v>
      </c>
      <c r="O67" s="457"/>
      <c r="P67" s="458"/>
      <c r="Q67" s="81" t="s">
        <v>9</v>
      </c>
      <c r="R67" s="82" t="s">
        <v>10</v>
      </c>
      <c r="S67" s="82" t="s">
        <v>11</v>
      </c>
      <c r="T67" s="28"/>
    </row>
    <row r="68" spans="1:20" s="123" customFormat="1" ht="39.6" x14ac:dyDescent="0.25">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498</v>
      </c>
      <c r="T68" s="28"/>
    </row>
    <row r="69" spans="1:20" s="123" customFormat="1" x14ac:dyDescent="0.25">
      <c r="A69" s="28"/>
      <c r="B69" s="129" t="s">
        <v>472</v>
      </c>
      <c r="C69" s="119">
        <f>IFERROR(VLOOKUP($B69,MMWR_TRAD_AGG_RO_PEN[],C$1,0),"ERROR")</f>
        <v>17840</v>
      </c>
      <c r="D69" s="120">
        <f>IFERROR(VLOOKUP($B69,MMWR_TRAD_AGG_RO_PEN[],D$1,0),"ERROR")</f>
        <v>86.940975336299999</v>
      </c>
      <c r="E69" s="119">
        <f>IFERROR(VLOOKUP($B69,MMWR_TRAD_AGG_RO_PEN[],E$1,0),"ERROR")</f>
        <v>25129</v>
      </c>
      <c r="F69" s="119">
        <f>IFERROR(VLOOKUP($B69,MMWR_TRAD_AGG_RO_PEN[],F$1,0),"ERROR")</f>
        <v>3465</v>
      </c>
      <c r="G69" s="98">
        <f t="shared" ref="G69:G100" si="8">IFERROR(F69/E69,"0%")</f>
        <v>0.13788849536392217</v>
      </c>
      <c r="H69" s="119">
        <f>IFERROR(VLOOKUP($B69,MMWR_TRAD_AGG_RO_PEN[],H$1,0),"ERROR")</f>
        <v>30171</v>
      </c>
      <c r="I69" s="119">
        <f>IFERROR(VLOOKUP($B69,MMWR_TRAD_AGG_RO_PEN[],I$1,0),"ERROR")</f>
        <v>6798</v>
      </c>
      <c r="J69" s="98">
        <f t="shared" ref="J69:J100" si="9">IFERROR(I69/H69,"0%")</f>
        <v>0.22531570050710947</v>
      </c>
      <c r="K69" s="119">
        <f>IFERROR(VLOOKUP($B69,MMWR_TRAD_AGG_RO_PEN[],K$1,0),"ERROR")</f>
        <v>889</v>
      </c>
      <c r="L69" s="119">
        <f>IFERROR(VLOOKUP($B69,MMWR_TRAD_AGG_RO_PEN[],L$1,0),"ERROR")</f>
        <v>840</v>
      </c>
      <c r="M69" s="98">
        <f t="shared" ref="M69:M100" si="10">IFERROR(L69/K69,"0%")</f>
        <v>0.94488188976377951</v>
      </c>
      <c r="N69" s="119">
        <f>IFERROR(VLOOKUP($B69,MMWR_TRAD_AGG_RO_PEN[],N$1,0),"ERROR")</f>
        <v>4661</v>
      </c>
      <c r="O69" s="119">
        <f>IFERROR(VLOOKUP($B69,MMWR_TRAD_AGG_RO_PEN[],O$1,0),"ERROR")</f>
        <v>950</v>
      </c>
      <c r="P69" s="98">
        <f t="shared" ref="P69:P100" si="11">IFERROR(O69/N69,"0%")</f>
        <v>0.20381892297790175</v>
      </c>
      <c r="Q69" s="119">
        <f>IFERROR(VLOOKUP($B69,MMWR_TRAD_AGG_RO_PEN[],Q$1,0),"ERROR")</f>
        <v>11295</v>
      </c>
      <c r="R69" s="121">
        <f>IFERROR(VLOOKUP($B69,MMWR_TRAD_AGG_RO_PEN[],R$1,0),"ERROR")</f>
        <v>5192</v>
      </c>
      <c r="S69" s="121">
        <f>S70+S86+S99+S109+S119+S127</f>
        <v>5565</v>
      </c>
      <c r="T69" s="28"/>
    </row>
    <row r="70" spans="1:20" s="123" customFormat="1" x14ac:dyDescent="0.25">
      <c r="A70" s="28"/>
      <c r="B70" s="126" t="s">
        <v>379</v>
      </c>
      <c r="C70" s="102">
        <f>IFERROR(VLOOKUP($B70,MMWR_TRAD_AGG_ST_DISTRICT_PEN[],C$1,0),"ERROR")</f>
        <v>6442</v>
      </c>
      <c r="D70" s="103">
        <f>IFERROR(VLOOKUP($B70,MMWR_TRAD_AGG_ST_DISTRICT_PEN[],D$1,0),"ERROR")</f>
        <v>97.467711890700002</v>
      </c>
      <c r="E70" s="102">
        <f>IFERROR(VLOOKUP($B70,MMWR_TRAD_AGG_ST_DISTRICT_PEN[],E$1,0),"ERROR")</f>
        <v>7127</v>
      </c>
      <c r="F70" s="102">
        <f>IFERROR(VLOOKUP($B70,MMWR_TRAD_AGG_ST_DISTRICT_PEN[],F$1,0),"ERROR")</f>
        <v>1657</v>
      </c>
      <c r="G70" s="104">
        <f t="shared" si="8"/>
        <v>0.23249614143398345</v>
      </c>
      <c r="H70" s="102">
        <f>IFERROR(VLOOKUP($B70,MMWR_TRAD_AGG_ST_DISTRICT_PEN[],H$1,0),"ERROR")</f>
        <v>10286</v>
      </c>
      <c r="I70" s="102">
        <f>IFERROR(VLOOKUP($B70,MMWR_TRAD_AGG_ST_DISTRICT_PEN[],I$1,0),"ERROR")</f>
        <v>2984</v>
      </c>
      <c r="J70" s="104">
        <f t="shared" si="9"/>
        <v>0.29010305269298076</v>
      </c>
      <c r="K70" s="102">
        <f>IFERROR(VLOOKUP($B70,MMWR_TRAD_AGG_ST_DISTRICT_PEN[],K$1,0),"ERROR")</f>
        <v>457</v>
      </c>
      <c r="L70" s="102">
        <f>IFERROR(VLOOKUP($B70,MMWR_TRAD_AGG_ST_DISTRICT_PEN[],L$1,0),"ERROR")</f>
        <v>441</v>
      </c>
      <c r="M70" s="104">
        <f t="shared" si="10"/>
        <v>0.96498905908096277</v>
      </c>
      <c r="N70" s="102">
        <f>IFERROR(VLOOKUP($B70,MMWR_TRAD_AGG_ST_DISTRICT_PEN[],N$1,0),"ERROR")</f>
        <v>2305</v>
      </c>
      <c r="O70" s="102">
        <f>IFERROR(VLOOKUP($B70,MMWR_TRAD_AGG_ST_DISTRICT_PEN[],O$1,0),"ERROR")</f>
        <v>385</v>
      </c>
      <c r="P70" s="104">
        <f t="shared" si="11"/>
        <v>0.16702819956616052</v>
      </c>
      <c r="Q70" s="102">
        <f>IFERROR(VLOOKUP($B70,MMWR_TRAD_AGG_ST_DISTRICT_PEN[],Q$1,0),"ERROR")</f>
        <v>831</v>
      </c>
      <c r="R70" s="106">
        <f>IFERROR(VLOOKUP($B70,MMWR_TRAD_AGG_ST_DISTRICT_PEN[],R$1,0),"ERROR")</f>
        <v>2104</v>
      </c>
      <c r="S70" s="106">
        <f>IFERROR(VLOOKUP($B70,MMWR_APP_STATE_PEN[],S$1,0),"ERROR")</f>
        <v>1483</v>
      </c>
      <c r="T70" s="28"/>
    </row>
    <row r="71" spans="1:20" s="123" customFormat="1" x14ac:dyDescent="0.25">
      <c r="A71" s="28"/>
      <c r="B71" s="127" t="s">
        <v>383</v>
      </c>
      <c r="C71" s="109">
        <f>IFERROR(VLOOKUP($B71,MMWR_TRAD_AGG_STATE_PEN[],C$1,0),"ERROR")</f>
        <v>163</v>
      </c>
      <c r="D71" s="110">
        <f>IFERROR(VLOOKUP($B71,MMWR_TRAD_AGG_STATE_PEN[],D$1,0),"ERROR")</f>
        <v>81.300613496899999</v>
      </c>
      <c r="E71" s="111">
        <f>IFERROR(VLOOKUP($B71,MMWR_TRAD_AGG_STATE_PEN[],E$1,0),"ERROR")</f>
        <v>251</v>
      </c>
      <c r="F71" s="112">
        <f>IFERROR(VLOOKUP($B71,MMWR_TRAD_AGG_STATE_PEN[],F$1,0),"ERROR")</f>
        <v>61</v>
      </c>
      <c r="G71" s="113">
        <f t="shared" si="8"/>
        <v>0.24302788844621515</v>
      </c>
      <c r="H71" s="111">
        <f>IFERROR(VLOOKUP($B71,MMWR_TRAD_AGG_STATE_PEN[],H$1,0),"ERROR")</f>
        <v>246</v>
      </c>
      <c r="I71" s="112">
        <f>IFERROR(VLOOKUP($B71,MMWR_TRAD_AGG_STATE_PEN[],I$1,0),"ERROR")</f>
        <v>56</v>
      </c>
      <c r="J71" s="114">
        <f t="shared" si="9"/>
        <v>0.22764227642276422</v>
      </c>
      <c r="K71" s="111">
        <f>IFERROR(VLOOKUP($B71,MMWR_TRAD_AGG_STATE_PEN[],K$1,0),"ERROR")</f>
        <v>7</v>
      </c>
      <c r="L71" s="112">
        <f>IFERROR(VLOOKUP($B71,MMWR_TRAD_AGG_STATE_PEN[],L$1,0),"ERROR")</f>
        <v>7</v>
      </c>
      <c r="M71" s="114">
        <f t="shared" si="10"/>
        <v>1</v>
      </c>
      <c r="N71" s="111">
        <f>IFERROR(VLOOKUP($B71,MMWR_TRAD_AGG_STATE_PEN[],N$1,0),"ERROR")</f>
        <v>74</v>
      </c>
      <c r="O71" s="112">
        <f>IFERROR(VLOOKUP($B71,MMWR_TRAD_AGG_STATE_PEN[],O$1,0),"ERROR")</f>
        <v>17</v>
      </c>
      <c r="P71" s="114">
        <f t="shared" si="11"/>
        <v>0.22972972972972974</v>
      </c>
      <c r="Q71" s="115">
        <f>IFERROR(VLOOKUP($B71,MMWR_TRAD_AGG_STATE_PEN[],Q$1,0),"ERROR")</f>
        <v>15</v>
      </c>
      <c r="R71" s="115">
        <f>IFERROR(VLOOKUP($B71,MMWR_TRAD_AGG_STATE_PEN[],R$1,0),"ERROR")</f>
        <v>69</v>
      </c>
      <c r="S71" s="115">
        <f>IFERROR(VLOOKUP($B71,MMWR_APP_STATE_PEN[],S$1,0),"ERROR")</f>
        <v>57</v>
      </c>
      <c r="T71" s="28"/>
    </row>
    <row r="72" spans="1:20" s="123" customFormat="1" x14ac:dyDescent="0.25">
      <c r="A72" s="28"/>
      <c r="B72" s="127" t="s">
        <v>433</v>
      </c>
      <c r="C72" s="109">
        <f>IFERROR(VLOOKUP($B72,MMWR_TRAD_AGG_STATE_PEN[],C$1,0),"ERROR")</f>
        <v>55</v>
      </c>
      <c r="D72" s="110">
        <f>IFERROR(VLOOKUP($B72,MMWR_TRAD_AGG_STATE_PEN[],D$1,0),"ERROR")</f>
        <v>100.69090909090001</v>
      </c>
      <c r="E72" s="111">
        <f>IFERROR(VLOOKUP($B72,MMWR_TRAD_AGG_STATE_PEN[],E$1,0),"ERROR")</f>
        <v>61</v>
      </c>
      <c r="F72" s="112">
        <f>IFERROR(VLOOKUP($B72,MMWR_TRAD_AGG_STATE_PEN[],F$1,0),"ERROR")</f>
        <v>17</v>
      </c>
      <c r="G72" s="113">
        <f t="shared" si="8"/>
        <v>0.27868852459016391</v>
      </c>
      <c r="H72" s="111">
        <f>IFERROR(VLOOKUP($B72,MMWR_TRAD_AGG_STATE_PEN[],H$1,0),"ERROR")</f>
        <v>81</v>
      </c>
      <c r="I72" s="112">
        <f>IFERROR(VLOOKUP($B72,MMWR_TRAD_AGG_STATE_PEN[],I$1,0),"ERROR")</f>
        <v>26</v>
      </c>
      <c r="J72" s="114">
        <f t="shared" si="9"/>
        <v>0.32098765432098764</v>
      </c>
      <c r="K72" s="111">
        <f>IFERROR(VLOOKUP($B72,MMWR_TRAD_AGG_STATE_PEN[],K$1,0),"ERROR")</f>
        <v>10</v>
      </c>
      <c r="L72" s="112">
        <f>IFERROR(VLOOKUP($B72,MMWR_TRAD_AGG_STATE_PEN[],L$1,0),"ERROR")</f>
        <v>9</v>
      </c>
      <c r="M72" s="114">
        <f t="shared" si="10"/>
        <v>0.9</v>
      </c>
      <c r="N72" s="111">
        <f>IFERROR(VLOOKUP($B72,MMWR_TRAD_AGG_STATE_PEN[],N$1,0),"ERROR")</f>
        <v>38</v>
      </c>
      <c r="O72" s="112">
        <f>IFERROR(VLOOKUP($B72,MMWR_TRAD_AGG_STATE_PEN[],O$1,0),"ERROR")</f>
        <v>6</v>
      </c>
      <c r="P72" s="114">
        <f t="shared" si="11"/>
        <v>0.15789473684210525</v>
      </c>
      <c r="Q72" s="115">
        <f>IFERROR(VLOOKUP($B72,MMWR_TRAD_AGG_STATE_PEN[],Q$1,0),"ERROR")</f>
        <v>6</v>
      </c>
      <c r="R72" s="115">
        <f>IFERROR(VLOOKUP($B72,MMWR_TRAD_AGG_STATE_PEN[],R$1,0),"ERROR")</f>
        <v>24</v>
      </c>
      <c r="S72" s="115">
        <f>IFERROR(VLOOKUP($B72,MMWR_APP_STATE_PEN[],S$1,0),"ERROR")</f>
        <v>19</v>
      </c>
      <c r="T72" s="28"/>
    </row>
    <row r="73" spans="1:20" s="123" customFormat="1" x14ac:dyDescent="0.25">
      <c r="A73" s="28"/>
      <c r="B73" s="127" t="s">
        <v>424</v>
      </c>
      <c r="C73" s="109">
        <f>IFERROR(VLOOKUP($B73,MMWR_TRAD_AGG_STATE_PEN[],C$1,0),"ERROR")</f>
        <v>36</v>
      </c>
      <c r="D73" s="110">
        <f>IFERROR(VLOOKUP($B73,MMWR_TRAD_AGG_STATE_PEN[],D$1,0),"ERROR")</f>
        <v>92.972222222200003</v>
      </c>
      <c r="E73" s="111">
        <f>IFERROR(VLOOKUP($B73,MMWR_TRAD_AGG_STATE_PEN[],E$1,0),"ERROR")</f>
        <v>52</v>
      </c>
      <c r="F73" s="112">
        <f>IFERROR(VLOOKUP($B73,MMWR_TRAD_AGG_STATE_PEN[],F$1,0),"ERROR")</f>
        <v>5</v>
      </c>
      <c r="G73" s="113">
        <f t="shared" si="8"/>
        <v>9.6153846153846159E-2</v>
      </c>
      <c r="H73" s="111">
        <f>IFERROR(VLOOKUP($B73,MMWR_TRAD_AGG_STATE_PEN[],H$1,0),"ERROR")</f>
        <v>56</v>
      </c>
      <c r="I73" s="112">
        <f>IFERROR(VLOOKUP($B73,MMWR_TRAD_AGG_STATE_PEN[],I$1,0),"ERROR")</f>
        <v>15</v>
      </c>
      <c r="J73" s="114">
        <f t="shared" si="9"/>
        <v>0.26785714285714285</v>
      </c>
      <c r="K73" s="111">
        <f>IFERROR(VLOOKUP($B73,MMWR_TRAD_AGG_STATE_PEN[],K$1,0),"ERROR")</f>
        <v>4</v>
      </c>
      <c r="L73" s="112">
        <f>IFERROR(VLOOKUP($B73,MMWR_TRAD_AGG_STATE_PEN[],L$1,0),"ERROR")</f>
        <v>4</v>
      </c>
      <c r="M73" s="114">
        <f t="shared" si="10"/>
        <v>1</v>
      </c>
      <c r="N73" s="111">
        <f>IFERROR(VLOOKUP($B73,MMWR_TRAD_AGG_STATE_PEN[],N$1,0),"ERROR")</f>
        <v>17</v>
      </c>
      <c r="O73" s="112">
        <f>IFERROR(VLOOKUP($B73,MMWR_TRAD_AGG_STATE_PEN[],O$1,0),"ERROR")</f>
        <v>3</v>
      </c>
      <c r="P73" s="114">
        <f t="shared" si="11"/>
        <v>0.17647058823529413</v>
      </c>
      <c r="Q73" s="115">
        <f>IFERROR(VLOOKUP($B73,MMWR_TRAD_AGG_STATE_PEN[],Q$1,0),"ERROR")</f>
        <v>9</v>
      </c>
      <c r="R73" s="115">
        <f>IFERROR(VLOOKUP($B73,MMWR_TRAD_AGG_STATE_PEN[],R$1,0),"ERROR")</f>
        <v>11</v>
      </c>
      <c r="S73" s="115">
        <f>IFERROR(VLOOKUP($B73,MMWR_APP_STATE_PEN[],S$1,0),"ERROR")</f>
        <v>10</v>
      </c>
      <c r="T73" s="28"/>
    </row>
    <row r="74" spans="1:20" s="123" customFormat="1" x14ac:dyDescent="0.25">
      <c r="A74" s="28"/>
      <c r="B74" s="127" t="s">
        <v>426</v>
      </c>
      <c r="C74" s="109">
        <f>IFERROR(VLOOKUP($B74,MMWR_TRAD_AGG_STATE_PEN[],C$1,0),"ERROR")</f>
        <v>113</v>
      </c>
      <c r="D74" s="110">
        <f>IFERROR(VLOOKUP($B74,MMWR_TRAD_AGG_STATE_PEN[],D$1,0),"ERROR")</f>
        <v>94.787610619500001</v>
      </c>
      <c r="E74" s="111">
        <f>IFERROR(VLOOKUP($B74,MMWR_TRAD_AGG_STATE_PEN[],E$1,0),"ERROR")</f>
        <v>79</v>
      </c>
      <c r="F74" s="112">
        <f>IFERROR(VLOOKUP($B74,MMWR_TRAD_AGG_STATE_PEN[],F$1,0),"ERROR")</f>
        <v>9</v>
      </c>
      <c r="G74" s="113">
        <f t="shared" si="8"/>
        <v>0.11392405063291139</v>
      </c>
      <c r="H74" s="111">
        <f>IFERROR(VLOOKUP($B74,MMWR_TRAD_AGG_STATE_PEN[],H$1,0),"ERROR")</f>
        <v>189</v>
      </c>
      <c r="I74" s="112">
        <f>IFERROR(VLOOKUP($B74,MMWR_TRAD_AGG_STATE_PEN[],I$1,0),"ERROR")</f>
        <v>53</v>
      </c>
      <c r="J74" s="114">
        <f t="shared" si="9"/>
        <v>0.28042328042328041</v>
      </c>
      <c r="K74" s="111">
        <f>IFERROR(VLOOKUP($B74,MMWR_TRAD_AGG_STATE_PEN[],K$1,0),"ERROR")</f>
        <v>4</v>
      </c>
      <c r="L74" s="112">
        <f>IFERROR(VLOOKUP($B74,MMWR_TRAD_AGG_STATE_PEN[],L$1,0),"ERROR")</f>
        <v>3</v>
      </c>
      <c r="M74" s="114">
        <f t="shared" si="10"/>
        <v>0.75</v>
      </c>
      <c r="N74" s="111">
        <f>IFERROR(VLOOKUP($B74,MMWR_TRAD_AGG_STATE_PEN[],N$1,0),"ERROR")</f>
        <v>41</v>
      </c>
      <c r="O74" s="112">
        <f>IFERROR(VLOOKUP($B74,MMWR_TRAD_AGG_STATE_PEN[],O$1,0),"ERROR")</f>
        <v>8</v>
      </c>
      <c r="P74" s="114">
        <f t="shared" si="11"/>
        <v>0.1951219512195122</v>
      </c>
      <c r="Q74" s="115">
        <f>IFERROR(VLOOKUP($B74,MMWR_TRAD_AGG_STATE_PEN[],Q$1,0),"ERROR")</f>
        <v>16</v>
      </c>
      <c r="R74" s="115">
        <f>IFERROR(VLOOKUP($B74,MMWR_TRAD_AGG_STATE_PEN[],R$1,0),"ERROR")</f>
        <v>26</v>
      </c>
      <c r="S74" s="115">
        <f>IFERROR(VLOOKUP($B74,MMWR_APP_STATE_PEN[],S$1,0),"ERROR")</f>
        <v>24</v>
      </c>
      <c r="T74" s="28"/>
    </row>
    <row r="75" spans="1:20" s="123" customFormat="1" x14ac:dyDescent="0.25">
      <c r="A75" s="28"/>
      <c r="B75" s="127" t="s">
        <v>386</v>
      </c>
      <c r="C75" s="109">
        <f>IFERROR(VLOOKUP($B75,MMWR_TRAD_AGG_STATE_PEN[],C$1,0),"ERROR")</f>
        <v>342</v>
      </c>
      <c r="D75" s="110">
        <f>IFERROR(VLOOKUP($B75,MMWR_TRAD_AGG_STATE_PEN[],D$1,0),"ERROR")</f>
        <v>101.16374269009999</v>
      </c>
      <c r="E75" s="111">
        <f>IFERROR(VLOOKUP($B75,MMWR_TRAD_AGG_STATE_PEN[],E$1,0),"ERROR")</f>
        <v>411</v>
      </c>
      <c r="F75" s="112">
        <f>IFERROR(VLOOKUP($B75,MMWR_TRAD_AGG_STATE_PEN[],F$1,0),"ERROR")</f>
        <v>95</v>
      </c>
      <c r="G75" s="113">
        <f t="shared" si="8"/>
        <v>0.23114355231143552</v>
      </c>
      <c r="H75" s="111">
        <f>IFERROR(VLOOKUP($B75,MMWR_TRAD_AGG_STATE_PEN[],H$1,0),"ERROR")</f>
        <v>525</v>
      </c>
      <c r="I75" s="112">
        <f>IFERROR(VLOOKUP($B75,MMWR_TRAD_AGG_STATE_PEN[],I$1,0),"ERROR")</f>
        <v>170</v>
      </c>
      <c r="J75" s="114">
        <f t="shared" si="9"/>
        <v>0.32380952380952382</v>
      </c>
      <c r="K75" s="111">
        <f>IFERROR(VLOOKUP($B75,MMWR_TRAD_AGG_STATE_PEN[],K$1,0),"ERROR")</f>
        <v>21</v>
      </c>
      <c r="L75" s="112">
        <f>IFERROR(VLOOKUP($B75,MMWR_TRAD_AGG_STATE_PEN[],L$1,0),"ERROR")</f>
        <v>18</v>
      </c>
      <c r="M75" s="114">
        <f t="shared" si="10"/>
        <v>0.8571428571428571</v>
      </c>
      <c r="N75" s="111">
        <f>IFERROR(VLOOKUP($B75,MMWR_TRAD_AGG_STATE_PEN[],N$1,0),"ERROR")</f>
        <v>140</v>
      </c>
      <c r="O75" s="112">
        <f>IFERROR(VLOOKUP($B75,MMWR_TRAD_AGG_STATE_PEN[],O$1,0),"ERROR")</f>
        <v>22</v>
      </c>
      <c r="P75" s="114">
        <f t="shared" si="11"/>
        <v>0.15714285714285714</v>
      </c>
      <c r="Q75" s="115">
        <f>IFERROR(VLOOKUP($B75,MMWR_TRAD_AGG_STATE_PEN[],Q$1,0),"ERROR")</f>
        <v>62</v>
      </c>
      <c r="R75" s="115">
        <f>IFERROR(VLOOKUP($B75,MMWR_TRAD_AGG_STATE_PEN[],R$1,0),"ERROR")</f>
        <v>151</v>
      </c>
      <c r="S75" s="115">
        <f>IFERROR(VLOOKUP($B75,MMWR_APP_STATE_PEN[],S$1,0),"ERROR")</f>
        <v>79</v>
      </c>
      <c r="T75" s="28"/>
    </row>
    <row r="76" spans="1:20" s="123" customFormat="1" x14ac:dyDescent="0.25">
      <c r="A76" s="28"/>
      <c r="B76" s="127" t="s">
        <v>381</v>
      </c>
      <c r="C76" s="109">
        <f>IFERROR(VLOOKUP($B76,MMWR_TRAD_AGG_STATE_PEN[],C$1,0),"ERROR")</f>
        <v>337</v>
      </c>
      <c r="D76" s="110">
        <f>IFERROR(VLOOKUP($B76,MMWR_TRAD_AGG_STATE_PEN[],D$1,0),"ERROR")</f>
        <v>95.474777448099999</v>
      </c>
      <c r="E76" s="111">
        <f>IFERROR(VLOOKUP($B76,MMWR_TRAD_AGG_STATE_PEN[],E$1,0),"ERROR")</f>
        <v>399</v>
      </c>
      <c r="F76" s="112">
        <f>IFERROR(VLOOKUP($B76,MMWR_TRAD_AGG_STATE_PEN[],F$1,0),"ERROR")</f>
        <v>91</v>
      </c>
      <c r="G76" s="113">
        <f t="shared" si="8"/>
        <v>0.22807017543859648</v>
      </c>
      <c r="H76" s="111">
        <f>IFERROR(VLOOKUP($B76,MMWR_TRAD_AGG_STATE_PEN[],H$1,0),"ERROR")</f>
        <v>551</v>
      </c>
      <c r="I76" s="112">
        <f>IFERROR(VLOOKUP($B76,MMWR_TRAD_AGG_STATE_PEN[],I$1,0),"ERROR")</f>
        <v>169</v>
      </c>
      <c r="J76" s="114">
        <f t="shared" si="9"/>
        <v>0.30671506352087113</v>
      </c>
      <c r="K76" s="111">
        <f>IFERROR(VLOOKUP($B76,MMWR_TRAD_AGG_STATE_PEN[],K$1,0),"ERROR")</f>
        <v>14</v>
      </c>
      <c r="L76" s="112">
        <f>IFERROR(VLOOKUP($B76,MMWR_TRAD_AGG_STATE_PEN[],L$1,0),"ERROR")</f>
        <v>12</v>
      </c>
      <c r="M76" s="114">
        <f t="shared" si="10"/>
        <v>0.8571428571428571</v>
      </c>
      <c r="N76" s="111">
        <f>IFERROR(VLOOKUP($B76,MMWR_TRAD_AGG_STATE_PEN[],N$1,0),"ERROR")</f>
        <v>147</v>
      </c>
      <c r="O76" s="112">
        <f>IFERROR(VLOOKUP($B76,MMWR_TRAD_AGG_STATE_PEN[],O$1,0),"ERROR")</f>
        <v>22</v>
      </c>
      <c r="P76" s="114">
        <f t="shared" si="11"/>
        <v>0.14965986394557823</v>
      </c>
      <c r="Q76" s="115">
        <f>IFERROR(VLOOKUP($B76,MMWR_TRAD_AGG_STATE_PEN[],Q$1,0),"ERROR")</f>
        <v>46</v>
      </c>
      <c r="R76" s="115">
        <f>IFERROR(VLOOKUP($B76,MMWR_TRAD_AGG_STATE_PEN[],R$1,0),"ERROR")</f>
        <v>139</v>
      </c>
      <c r="S76" s="115">
        <f>IFERROR(VLOOKUP($B76,MMWR_APP_STATE_PEN[],S$1,0),"ERROR")</f>
        <v>117</v>
      </c>
      <c r="T76" s="28"/>
    </row>
    <row r="77" spans="1:20" s="123" customFormat="1" x14ac:dyDescent="0.25">
      <c r="A77" s="28"/>
      <c r="B77" s="127" t="s">
        <v>425</v>
      </c>
      <c r="C77" s="109">
        <f>IFERROR(VLOOKUP($B77,MMWR_TRAD_AGG_STATE_PEN[],C$1,0),"ERROR")</f>
        <v>99</v>
      </c>
      <c r="D77" s="110">
        <f>IFERROR(VLOOKUP($B77,MMWR_TRAD_AGG_STATE_PEN[],D$1,0),"ERROR")</f>
        <v>88.252525252500007</v>
      </c>
      <c r="E77" s="111">
        <f>IFERROR(VLOOKUP($B77,MMWR_TRAD_AGG_STATE_PEN[],E$1,0),"ERROR")</f>
        <v>94</v>
      </c>
      <c r="F77" s="112">
        <f>IFERROR(VLOOKUP($B77,MMWR_TRAD_AGG_STATE_PEN[],F$1,0),"ERROR")</f>
        <v>20</v>
      </c>
      <c r="G77" s="113">
        <f t="shared" si="8"/>
        <v>0.21276595744680851</v>
      </c>
      <c r="H77" s="111">
        <f>IFERROR(VLOOKUP($B77,MMWR_TRAD_AGG_STATE_PEN[],H$1,0),"ERROR")</f>
        <v>151</v>
      </c>
      <c r="I77" s="112">
        <f>IFERROR(VLOOKUP($B77,MMWR_TRAD_AGG_STATE_PEN[],I$1,0),"ERROR")</f>
        <v>39</v>
      </c>
      <c r="J77" s="114">
        <f t="shared" si="9"/>
        <v>0.25827814569536423</v>
      </c>
      <c r="K77" s="111">
        <f>IFERROR(VLOOKUP($B77,MMWR_TRAD_AGG_STATE_PEN[],K$1,0),"ERROR")</f>
        <v>4</v>
      </c>
      <c r="L77" s="112">
        <f>IFERROR(VLOOKUP($B77,MMWR_TRAD_AGG_STATE_PEN[],L$1,0),"ERROR")</f>
        <v>4</v>
      </c>
      <c r="M77" s="114">
        <f t="shared" si="10"/>
        <v>1</v>
      </c>
      <c r="N77" s="111">
        <f>IFERROR(VLOOKUP($B77,MMWR_TRAD_AGG_STATE_PEN[],N$1,0),"ERROR")</f>
        <v>37</v>
      </c>
      <c r="O77" s="112">
        <f>IFERROR(VLOOKUP($B77,MMWR_TRAD_AGG_STATE_PEN[],O$1,0),"ERROR")</f>
        <v>6</v>
      </c>
      <c r="P77" s="114">
        <f t="shared" si="11"/>
        <v>0.16216216216216217</v>
      </c>
      <c r="Q77" s="115">
        <f>IFERROR(VLOOKUP($B77,MMWR_TRAD_AGG_STATE_PEN[],Q$1,0),"ERROR")</f>
        <v>9</v>
      </c>
      <c r="R77" s="115">
        <f>IFERROR(VLOOKUP($B77,MMWR_TRAD_AGG_STATE_PEN[],R$1,0),"ERROR")</f>
        <v>26</v>
      </c>
      <c r="S77" s="115">
        <f>IFERROR(VLOOKUP($B77,MMWR_APP_STATE_PEN[],S$1,0),"ERROR")</f>
        <v>19</v>
      </c>
      <c r="T77" s="28"/>
    </row>
    <row r="78" spans="1:20" s="123" customFormat="1" x14ac:dyDescent="0.25">
      <c r="A78" s="28"/>
      <c r="B78" s="127" t="s">
        <v>384</v>
      </c>
      <c r="C78" s="109">
        <f>IFERROR(VLOOKUP($B78,MMWR_TRAD_AGG_STATE_PEN[],C$1,0),"ERROR")</f>
        <v>417</v>
      </c>
      <c r="D78" s="110">
        <f>IFERROR(VLOOKUP($B78,MMWR_TRAD_AGG_STATE_PEN[],D$1,0),"ERROR")</f>
        <v>99.268585131899997</v>
      </c>
      <c r="E78" s="111">
        <f>IFERROR(VLOOKUP($B78,MMWR_TRAD_AGG_STATE_PEN[],E$1,0),"ERROR")</f>
        <v>517</v>
      </c>
      <c r="F78" s="112">
        <f>IFERROR(VLOOKUP($B78,MMWR_TRAD_AGG_STATE_PEN[],F$1,0),"ERROR")</f>
        <v>125</v>
      </c>
      <c r="G78" s="113">
        <f t="shared" si="8"/>
        <v>0.24177949709864605</v>
      </c>
      <c r="H78" s="111">
        <f>IFERROR(VLOOKUP($B78,MMWR_TRAD_AGG_STATE_PEN[],H$1,0),"ERROR")</f>
        <v>643</v>
      </c>
      <c r="I78" s="112">
        <f>IFERROR(VLOOKUP($B78,MMWR_TRAD_AGG_STATE_PEN[],I$1,0),"ERROR")</f>
        <v>187</v>
      </c>
      <c r="J78" s="114">
        <f t="shared" si="9"/>
        <v>0.29082426127527217</v>
      </c>
      <c r="K78" s="111">
        <f>IFERROR(VLOOKUP($B78,MMWR_TRAD_AGG_STATE_PEN[],K$1,0),"ERROR")</f>
        <v>15</v>
      </c>
      <c r="L78" s="112">
        <f>IFERROR(VLOOKUP($B78,MMWR_TRAD_AGG_STATE_PEN[],L$1,0),"ERROR")</f>
        <v>15</v>
      </c>
      <c r="M78" s="114">
        <f t="shared" si="10"/>
        <v>1</v>
      </c>
      <c r="N78" s="111">
        <f>IFERROR(VLOOKUP($B78,MMWR_TRAD_AGG_STATE_PEN[],N$1,0),"ERROR")</f>
        <v>165</v>
      </c>
      <c r="O78" s="112">
        <f>IFERROR(VLOOKUP($B78,MMWR_TRAD_AGG_STATE_PEN[],O$1,0),"ERROR")</f>
        <v>30</v>
      </c>
      <c r="P78" s="114">
        <f t="shared" si="11"/>
        <v>0.18181818181818182</v>
      </c>
      <c r="Q78" s="115">
        <f>IFERROR(VLOOKUP($B78,MMWR_TRAD_AGG_STATE_PEN[],Q$1,0),"ERROR")</f>
        <v>63</v>
      </c>
      <c r="R78" s="115">
        <f>IFERROR(VLOOKUP($B78,MMWR_TRAD_AGG_STATE_PEN[],R$1,0),"ERROR")</f>
        <v>189</v>
      </c>
      <c r="S78" s="115">
        <f>IFERROR(VLOOKUP($B78,MMWR_APP_STATE_PEN[],S$1,0),"ERROR")</f>
        <v>169</v>
      </c>
      <c r="T78" s="28"/>
    </row>
    <row r="79" spans="1:20" s="123" customFormat="1" x14ac:dyDescent="0.25">
      <c r="A79" s="28"/>
      <c r="B79" s="127" t="s">
        <v>63</v>
      </c>
      <c r="C79" s="109">
        <f>IFERROR(VLOOKUP($B79,MMWR_TRAD_AGG_STATE_PEN[],C$1,0),"ERROR")</f>
        <v>1106</v>
      </c>
      <c r="D79" s="110">
        <f>IFERROR(VLOOKUP($B79,MMWR_TRAD_AGG_STATE_PEN[],D$1,0),"ERROR")</f>
        <v>97.5542495479</v>
      </c>
      <c r="E79" s="111">
        <f>IFERROR(VLOOKUP($B79,MMWR_TRAD_AGG_STATE_PEN[],E$1,0),"ERROR")</f>
        <v>1459</v>
      </c>
      <c r="F79" s="112">
        <f>IFERROR(VLOOKUP($B79,MMWR_TRAD_AGG_STATE_PEN[],F$1,0),"ERROR")</f>
        <v>329</v>
      </c>
      <c r="G79" s="113">
        <f t="shared" si="8"/>
        <v>0.22549691569568198</v>
      </c>
      <c r="H79" s="111">
        <f>IFERROR(VLOOKUP($B79,MMWR_TRAD_AGG_STATE_PEN[],H$1,0),"ERROR")</f>
        <v>1847</v>
      </c>
      <c r="I79" s="112">
        <f>IFERROR(VLOOKUP($B79,MMWR_TRAD_AGG_STATE_PEN[],I$1,0),"ERROR")</f>
        <v>522</v>
      </c>
      <c r="J79" s="114">
        <f t="shared" si="9"/>
        <v>0.28262046561992421</v>
      </c>
      <c r="K79" s="111">
        <f>IFERROR(VLOOKUP($B79,MMWR_TRAD_AGG_STATE_PEN[],K$1,0),"ERROR")</f>
        <v>58</v>
      </c>
      <c r="L79" s="112">
        <f>IFERROR(VLOOKUP($B79,MMWR_TRAD_AGG_STATE_PEN[],L$1,0),"ERROR")</f>
        <v>56</v>
      </c>
      <c r="M79" s="114">
        <f t="shared" si="10"/>
        <v>0.96551724137931039</v>
      </c>
      <c r="N79" s="111">
        <f>IFERROR(VLOOKUP($B79,MMWR_TRAD_AGG_STATE_PEN[],N$1,0),"ERROR")</f>
        <v>351</v>
      </c>
      <c r="O79" s="112">
        <f>IFERROR(VLOOKUP($B79,MMWR_TRAD_AGG_STATE_PEN[],O$1,0),"ERROR")</f>
        <v>61</v>
      </c>
      <c r="P79" s="114">
        <f t="shared" si="11"/>
        <v>0.1737891737891738</v>
      </c>
      <c r="Q79" s="115">
        <f>IFERROR(VLOOKUP($B79,MMWR_TRAD_AGG_STATE_PEN[],Q$1,0),"ERROR")</f>
        <v>112</v>
      </c>
      <c r="R79" s="115">
        <f>IFERROR(VLOOKUP($B79,MMWR_TRAD_AGG_STATE_PEN[],R$1,0),"ERROR")</f>
        <v>329</v>
      </c>
      <c r="S79" s="115">
        <f>IFERROR(VLOOKUP($B79,MMWR_APP_STATE_PEN[],S$1,0),"ERROR")</f>
        <v>250</v>
      </c>
      <c r="T79" s="28"/>
    </row>
    <row r="80" spans="1:20" s="123" customFormat="1" x14ac:dyDescent="0.25">
      <c r="A80" s="28"/>
      <c r="B80" s="127" t="s">
        <v>392</v>
      </c>
      <c r="C80" s="109">
        <f>IFERROR(VLOOKUP($B80,MMWR_TRAD_AGG_STATE_PEN[],C$1,0),"ERROR")</f>
        <v>1236</v>
      </c>
      <c r="D80" s="110">
        <f>IFERROR(VLOOKUP($B80,MMWR_TRAD_AGG_STATE_PEN[],D$1,0),"ERROR")</f>
        <v>100.0647249191</v>
      </c>
      <c r="E80" s="111">
        <f>IFERROR(VLOOKUP($B80,MMWR_TRAD_AGG_STATE_PEN[],E$1,0),"ERROR")</f>
        <v>1045</v>
      </c>
      <c r="F80" s="112">
        <f>IFERROR(VLOOKUP($B80,MMWR_TRAD_AGG_STATE_PEN[],F$1,0),"ERROR")</f>
        <v>244</v>
      </c>
      <c r="G80" s="113">
        <f t="shared" si="8"/>
        <v>0.23349282296650717</v>
      </c>
      <c r="H80" s="111">
        <f>IFERROR(VLOOKUP($B80,MMWR_TRAD_AGG_STATE_PEN[],H$1,0),"ERROR")</f>
        <v>2011</v>
      </c>
      <c r="I80" s="112">
        <f>IFERROR(VLOOKUP($B80,MMWR_TRAD_AGG_STATE_PEN[],I$1,0),"ERROR")</f>
        <v>617</v>
      </c>
      <c r="J80" s="114">
        <f t="shared" si="9"/>
        <v>0.30681253107906514</v>
      </c>
      <c r="K80" s="111">
        <f>IFERROR(VLOOKUP($B80,MMWR_TRAD_AGG_STATE_PEN[],K$1,0),"ERROR")</f>
        <v>81</v>
      </c>
      <c r="L80" s="112">
        <f>IFERROR(VLOOKUP($B80,MMWR_TRAD_AGG_STATE_PEN[],L$1,0),"ERROR")</f>
        <v>77</v>
      </c>
      <c r="M80" s="114">
        <f t="shared" si="10"/>
        <v>0.95061728395061729</v>
      </c>
      <c r="N80" s="111">
        <f>IFERROR(VLOOKUP($B80,MMWR_TRAD_AGG_STATE_PEN[],N$1,0),"ERROR")</f>
        <v>423</v>
      </c>
      <c r="O80" s="112">
        <f>IFERROR(VLOOKUP($B80,MMWR_TRAD_AGG_STATE_PEN[],O$1,0),"ERROR")</f>
        <v>74</v>
      </c>
      <c r="P80" s="114">
        <f t="shared" si="11"/>
        <v>0.17494089834515367</v>
      </c>
      <c r="Q80" s="115">
        <f>IFERROR(VLOOKUP($B80,MMWR_TRAD_AGG_STATE_PEN[],Q$1,0),"ERROR")</f>
        <v>206</v>
      </c>
      <c r="R80" s="115">
        <f>IFERROR(VLOOKUP($B80,MMWR_TRAD_AGG_STATE_PEN[],R$1,0),"ERROR")</f>
        <v>356</v>
      </c>
      <c r="S80" s="115">
        <f>IFERROR(VLOOKUP($B80,MMWR_APP_STATE_PEN[],S$1,0),"ERROR")</f>
        <v>227</v>
      </c>
      <c r="T80" s="28"/>
    </row>
    <row r="81" spans="1:20" s="123" customFormat="1" x14ac:dyDescent="0.25">
      <c r="A81" s="28"/>
      <c r="B81" s="127" t="s">
        <v>385</v>
      </c>
      <c r="C81" s="109">
        <f>IFERROR(VLOOKUP($B81,MMWR_TRAD_AGG_STATE_PEN[],C$1,0),"ERROR")</f>
        <v>1469</v>
      </c>
      <c r="D81" s="110">
        <f>IFERROR(VLOOKUP($B81,MMWR_TRAD_AGG_STATE_PEN[],D$1,0),"ERROR")</f>
        <v>93.646698434300006</v>
      </c>
      <c r="E81" s="111">
        <f>IFERROR(VLOOKUP($B81,MMWR_TRAD_AGG_STATE_PEN[],E$1,0),"ERROR")</f>
        <v>1787</v>
      </c>
      <c r="F81" s="112">
        <f>IFERROR(VLOOKUP($B81,MMWR_TRAD_AGG_STATE_PEN[],F$1,0),"ERROR")</f>
        <v>436</v>
      </c>
      <c r="G81" s="113">
        <f t="shared" si="8"/>
        <v>0.24398433128147734</v>
      </c>
      <c r="H81" s="111">
        <f>IFERROR(VLOOKUP($B81,MMWR_TRAD_AGG_STATE_PEN[],H$1,0),"ERROR")</f>
        <v>2360</v>
      </c>
      <c r="I81" s="112">
        <f>IFERROR(VLOOKUP($B81,MMWR_TRAD_AGG_STATE_PEN[],I$1,0),"ERROR")</f>
        <v>652</v>
      </c>
      <c r="J81" s="114">
        <f t="shared" si="9"/>
        <v>0.27627118644067794</v>
      </c>
      <c r="K81" s="111">
        <f>IFERROR(VLOOKUP($B81,MMWR_TRAD_AGG_STATE_PEN[],K$1,0),"ERROR")</f>
        <v>59</v>
      </c>
      <c r="L81" s="112">
        <f>IFERROR(VLOOKUP($B81,MMWR_TRAD_AGG_STATE_PEN[],L$1,0),"ERROR")</f>
        <v>57</v>
      </c>
      <c r="M81" s="114">
        <f t="shared" si="10"/>
        <v>0.96610169491525422</v>
      </c>
      <c r="N81" s="111">
        <f>IFERROR(VLOOKUP($B81,MMWR_TRAD_AGG_STATE_PEN[],N$1,0),"ERROR")</f>
        <v>509</v>
      </c>
      <c r="O81" s="112">
        <f>IFERROR(VLOOKUP($B81,MMWR_TRAD_AGG_STATE_PEN[],O$1,0),"ERROR")</f>
        <v>74</v>
      </c>
      <c r="P81" s="114">
        <f t="shared" si="11"/>
        <v>0.14538310412573674</v>
      </c>
      <c r="Q81" s="115">
        <f>IFERROR(VLOOKUP($B81,MMWR_TRAD_AGG_STATE_PEN[],Q$1,0),"ERROR")</f>
        <v>114</v>
      </c>
      <c r="R81" s="115">
        <f>IFERROR(VLOOKUP($B81,MMWR_TRAD_AGG_STATE_PEN[],R$1,0),"ERROR")</f>
        <v>406</v>
      </c>
      <c r="S81" s="115">
        <f>IFERROR(VLOOKUP($B81,MMWR_APP_STATE_PEN[],S$1,0),"ERROR")</f>
        <v>279</v>
      </c>
      <c r="T81" s="28"/>
    </row>
    <row r="82" spans="1:20" s="123" customFormat="1" x14ac:dyDescent="0.25">
      <c r="A82" s="28"/>
      <c r="B82" s="127" t="s">
        <v>382</v>
      </c>
      <c r="C82" s="109">
        <f>IFERROR(VLOOKUP($B82,MMWR_TRAD_AGG_STATE_PEN[],C$1,0),"ERROR")</f>
        <v>64</v>
      </c>
      <c r="D82" s="110">
        <f>IFERROR(VLOOKUP($B82,MMWR_TRAD_AGG_STATE_PEN[],D$1,0),"ERROR")</f>
        <v>90.25</v>
      </c>
      <c r="E82" s="111">
        <f>IFERROR(VLOOKUP($B82,MMWR_TRAD_AGG_STATE_PEN[],E$1,0),"ERROR")</f>
        <v>117</v>
      </c>
      <c r="F82" s="112">
        <f>IFERROR(VLOOKUP($B82,MMWR_TRAD_AGG_STATE_PEN[],F$1,0),"ERROR")</f>
        <v>30</v>
      </c>
      <c r="G82" s="113">
        <f t="shared" si="8"/>
        <v>0.25641025641025639</v>
      </c>
      <c r="H82" s="111">
        <f>IFERROR(VLOOKUP($B82,MMWR_TRAD_AGG_STATE_PEN[],H$1,0),"ERROR")</f>
        <v>114</v>
      </c>
      <c r="I82" s="112">
        <f>IFERROR(VLOOKUP($B82,MMWR_TRAD_AGG_STATE_PEN[],I$1,0),"ERROR")</f>
        <v>23</v>
      </c>
      <c r="J82" s="114">
        <f t="shared" si="9"/>
        <v>0.20175438596491227</v>
      </c>
      <c r="K82" s="111">
        <f>IFERROR(VLOOKUP($B82,MMWR_TRAD_AGG_STATE_PEN[],K$1,0),"ERROR")</f>
        <v>6</v>
      </c>
      <c r="L82" s="112">
        <f>IFERROR(VLOOKUP($B82,MMWR_TRAD_AGG_STATE_PEN[],L$1,0),"ERROR")</f>
        <v>6</v>
      </c>
      <c r="M82" s="114">
        <f t="shared" si="10"/>
        <v>1</v>
      </c>
      <c r="N82" s="111">
        <f>IFERROR(VLOOKUP($B82,MMWR_TRAD_AGG_STATE_PEN[],N$1,0),"ERROR")</f>
        <v>29</v>
      </c>
      <c r="O82" s="112">
        <f>IFERROR(VLOOKUP($B82,MMWR_TRAD_AGG_STATE_PEN[],O$1,0),"ERROR")</f>
        <v>8</v>
      </c>
      <c r="P82" s="114">
        <f t="shared" si="11"/>
        <v>0.27586206896551724</v>
      </c>
      <c r="Q82" s="115">
        <f>IFERROR(VLOOKUP($B82,MMWR_TRAD_AGG_STATE_PEN[],Q$1,0),"ERROR")</f>
        <v>17</v>
      </c>
      <c r="R82" s="115">
        <f>IFERROR(VLOOKUP($B82,MMWR_TRAD_AGG_STATE_PEN[],R$1,0),"ERROR")</f>
        <v>28</v>
      </c>
      <c r="S82" s="115">
        <f>IFERROR(VLOOKUP($B82,MMWR_APP_STATE_PEN[],S$1,0),"ERROR")</f>
        <v>23</v>
      </c>
      <c r="T82" s="28"/>
    </row>
    <row r="83" spans="1:20" s="123" customFormat="1" x14ac:dyDescent="0.25">
      <c r="A83" s="28"/>
      <c r="B83" s="127" t="s">
        <v>427</v>
      </c>
      <c r="C83" s="109">
        <f>IFERROR(VLOOKUP($B83,MMWR_TRAD_AGG_STATE_PEN[],C$1,0),"ERROR")</f>
        <v>28</v>
      </c>
      <c r="D83" s="110">
        <f>IFERROR(VLOOKUP($B83,MMWR_TRAD_AGG_STATE_PEN[],D$1,0),"ERROR")</f>
        <v>105.57142857140001</v>
      </c>
      <c r="E83" s="111">
        <f>IFERROR(VLOOKUP($B83,MMWR_TRAD_AGG_STATE_PEN[],E$1,0),"ERROR")</f>
        <v>25</v>
      </c>
      <c r="F83" s="112">
        <f>IFERROR(VLOOKUP($B83,MMWR_TRAD_AGG_STATE_PEN[],F$1,0),"ERROR")</f>
        <v>4</v>
      </c>
      <c r="G83" s="113">
        <f t="shared" si="8"/>
        <v>0.16</v>
      </c>
      <c r="H83" s="111">
        <f>IFERROR(VLOOKUP($B83,MMWR_TRAD_AGG_STATE_PEN[],H$1,0),"ERROR")</f>
        <v>40</v>
      </c>
      <c r="I83" s="112">
        <f>IFERROR(VLOOKUP($B83,MMWR_TRAD_AGG_STATE_PEN[],I$1,0),"ERROR")</f>
        <v>15</v>
      </c>
      <c r="J83" s="114">
        <f t="shared" si="9"/>
        <v>0.375</v>
      </c>
      <c r="K83" s="111">
        <f>IFERROR(VLOOKUP($B83,MMWR_TRAD_AGG_STATE_PEN[],K$1,0),"ERROR")</f>
        <v>2</v>
      </c>
      <c r="L83" s="112">
        <f>IFERROR(VLOOKUP($B83,MMWR_TRAD_AGG_STATE_PEN[],L$1,0),"ERROR")</f>
        <v>2</v>
      </c>
      <c r="M83" s="114">
        <f t="shared" si="10"/>
        <v>1</v>
      </c>
      <c r="N83" s="111">
        <f>IFERROR(VLOOKUP($B83,MMWR_TRAD_AGG_STATE_PEN[],N$1,0),"ERROR")</f>
        <v>11</v>
      </c>
      <c r="O83" s="112">
        <f>IFERROR(VLOOKUP($B83,MMWR_TRAD_AGG_STATE_PEN[],O$1,0),"ERROR")</f>
        <v>1</v>
      </c>
      <c r="P83" s="114">
        <f t="shared" si="11"/>
        <v>9.0909090909090912E-2</v>
      </c>
      <c r="Q83" s="115">
        <f>IFERROR(VLOOKUP($B83,MMWR_TRAD_AGG_STATE_PEN[],Q$1,0),"ERROR")</f>
        <v>7</v>
      </c>
      <c r="R83" s="115">
        <f>IFERROR(VLOOKUP($B83,MMWR_TRAD_AGG_STATE_PEN[],R$1,0),"ERROR")</f>
        <v>6</v>
      </c>
      <c r="S83" s="115">
        <f>IFERROR(VLOOKUP($B83,MMWR_APP_STATE_PEN[],S$1,0),"ERROR")</f>
        <v>6</v>
      </c>
      <c r="T83" s="28"/>
    </row>
    <row r="84" spans="1:20" s="123" customFormat="1" x14ac:dyDescent="0.25">
      <c r="A84" s="28"/>
      <c r="B84" s="127" t="s">
        <v>388</v>
      </c>
      <c r="C84" s="109">
        <f>IFERROR(VLOOKUP($B84,MMWR_TRAD_AGG_STATE_PEN[],C$1,0),"ERROR")</f>
        <v>732</v>
      </c>
      <c r="D84" s="110">
        <f>IFERROR(VLOOKUP($B84,MMWR_TRAD_AGG_STATE_PEN[],D$1,0),"ERROR")</f>
        <v>101.9986338798</v>
      </c>
      <c r="E84" s="111">
        <f>IFERROR(VLOOKUP($B84,MMWR_TRAD_AGG_STATE_PEN[],E$1,0),"ERROR")</f>
        <v>642</v>
      </c>
      <c r="F84" s="112">
        <f>IFERROR(VLOOKUP($B84,MMWR_TRAD_AGG_STATE_PEN[],F$1,0),"ERROR")</f>
        <v>152</v>
      </c>
      <c r="G84" s="113">
        <f t="shared" si="8"/>
        <v>0.2367601246105919</v>
      </c>
      <c r="H84" s="111">
        <f>IFERROR(VLOOKUP($B84,MMWR_TRAD_AGG_STATE_PEN[],H$1,0),"ERROR")</f>
        <v>1120</v>
      </c>
      <c r="I84" s="112">
        <f>IFERROR(VLOOKUP($B84,MMWR_TRAD_AGG_STATE_PEN[],I$1,0),"ERROR")</f>
        <v>331</v>
      </c>
      <c r="J84" s="114">
        <f t="shared" si="9"/>
        <v>0.29553571428571429</v>
      </c>
      <c r="K84" s="111">
        <f>IFERROR(VLOOKUP($B84,MMWR_TRAD_AGG_STATE_PEN[],K$1,0),"ERROR")</f>
        <v>161</v>
      </c>
      <c r="L84" s="112">
        <f>IFERROR(VLOOKUP($B84,MMWR_TRAD_AGG_STATE_PEN[],L$1,0),"ERROR")</f>
        <v>160</v>
      </c>
      <c r="M84" s="114">
        <f t="shared" si="10"/>
        <v>0.99378881987577639</v>
      </c>
      <c r="N84" s="111">
        <f>IFERROR(VLOOKUP($B84,MMWR_TRAD_AGG_STATE_PEN[],N$1,0),"ERROR")</f>
        <v>238</v>
      </c>
      <c r="O84" s="112">
        <f>IFERROR(VLOOKUP($B84,MMWR_TRAD_AGG_STATE_PEN[],O$1,0),"ERROR")</f>
        <v>43</v>
      </c>
      <c r="P84" s="114">
        <f t="shared" si="11"/>
        <v>0.18067226890756302</v>
      </c>
      <c r="Q84" s="115">
        <f>IFERROR(VLOOKUP($B84,MMWR_TRAD_AGG_STATE_PEN[],Q$1,0),"ERROR")</f>
        <v>110</v>
      </c>
      <c r="R84" s="115">
        <f>IFERROR(VLOOKUP($B84,MMWR_TRAD_AGG_STATE_PEN[],R$1,0),"ERROR")</f>
        <v>275</v>
      </c>
      <c r="S84" s="115">
        <f>IFERROR(VLOOKUP($B84,MMWR_APP_STATE_PEN[],S$1,0),"ERROR")</f>
        <v>163</v>
      </c>
      <c r="T84" s="28"/>
    </row>
    <row r="85" spans="1:20" s="123" customFormat="1" x14ac:dyDescent="0.25">
      <c r="A85" s="28"/>
      <c r="B85" s="127" t="s">
        <v>389</v>
      </c>
      <c r="C85" s="109">
        <f>IFERROR(VLOOKUP($B85,MMWR_TRAD_AGG_STATE_PEN[],C$1,0),"ERROR")</f>
        <v>245</v>
      </c>
      <c r="D85" s="110">
        <f>IFERROR(VLOOKUP($B85,MMWR_TRAD_AGG_STATE_PEN[],D$1,0),"ERROR")</f>
        <v>104.4775510204</v>
      </c>
      <c r="E85" s="111">
        <f>IFERROR(VLOOKUP($B85,MMWR_TRAD_AGG_STATE_PEN[],E$1,0),"ERROR")</f>
        <v>188</v>
      </c>
      <c r="F85" s="112">
        <f>IFERROR(VLOOKUP($B85,MMWR_TRAD_AGG_STATE_PEN[],F$1,0),"ERROR")</f>
        <v>39</v>
      </c>
      <c r="G85" s="113">
        <f t="shared" si="8"/>
        <v>0.20744680851063829</v>
      </c>
      <c r="H85" s="111">
        <f>IFERROR(VLOOKUP($B85,MMWR_TRAD_AGG_STATE_PEN[],H$1,0),"ERROR")</f>
        <v>352</v>
      </c>
      <c r="I85" s="112">
        <f>IFERROR(VLOOKUP($B85,MMWR_TRAD_AGG_STATE_PEN[],I$1,0),"ERROR")</f>
        <v>109</v>
      </c>
      <c r="J85" s="114">
        <f t="shared" si="9"/>
        <v>0.30965909090909088</v>
      </c>
      <c r="K85" s="111">
        <f>IFERROR(VLOOKUP($B85,MMWR_TRAD_AGG_STATE_PEN[],K$1,0),"ERROR")</f>
        <v>11</v>
      </c>
      <c r="L85" s="112">
        <f>IFERROR(VLOOKUP($B85,MMWR_TRAD_AGG_STATE_PEN[],L$1,0),"ERROR")</f>
        <v>11</v>
      </c>
      <c r="M85" s="114">
        <f t="shared" si="10"/>
        <v>1</v>
      </c>
      <c r="N85" s="111">
        <f>IFERROR(VLOOKUP($B85,MMWR_TRAD_AGG_STATE_PEN[],N$1,0),"ERROR")</f>
        <v>85</v>
      </c>
      <c r="O85" s="112">
        <f>IFERROR(VLOOKUP($B85,MMWR_TRAD_AGG_STATE_PEN[],O$1,0),"ERROR")</f>
        <v>10</v>
      </c>
      <c r="P85" s="114">
        <f t="shared" si="11"/>
        <v>0.11764705882352941</v>
      </c>
      <c r="Q85" s="115">
        <f>IFERROR(VLOOKUP($B85,MMWR_TRAD_AGG_STATE_PEN[],Q$1,0),"ERROR")</f>
        <v>39</v>
      </c>
      <c r="R85" s="115">
        <f>IFERROR(VLOOKUP($B85,MMWR_TRAD_AGG_STATE_PEN[],R$1,0),"ERROR")</f>
        <v>69</v>
      </c>
      <c r="S85" s="115">
        <f>IFERROR(VLOOKUP($B85,MMWR_APP_STATE_PEN[],S$1,0),"ERROR")</f>
        <v>41</v>
      </c>
      <c r="T85" s="28"/>
    </row>
    <row r="86" spans="1:20" s="123" customFormat="1" x14ac:dyDescent="0.25">
      <c r="A86" s="28"/>
      <c r="B86" s="126" t="s">
        <v>400</v>
      </c>
      <c r="C86" s="102">
        <f>IFERROR(VLOOKUP($B86,MMWR_TRAD_AGG_ST_DISTRICT_PEN[],C$1,0),"ERROR")</f>
        <v>2375</v>
      </c>
      <c r="D86" s="103">
        <f>IFERROR(VLOOKUP($B86,MMWR_TRAD_AGG_ST_DISTRICT_PEN[],D$1,0),"ERROR")</f>
        <v>66.816842105299997</v>
      </c>
      <c r="E86" s="102">
        <f>IFERROR(VLOOKUP($B86,MMWR_TRAD_AGG_ST_DISTRICT_PEN[],E$1,0),"ERROR")</f>
        <v>4990</v>
      </c>
      <c r="F86" s="102">
        <f>IFERROR(VLOOKUP($B86,MMWR_TRAD_AGG_ST_DISTRICT_PEN[],F$1,0),"ERROR")</f>
        <v>386</v>
      </c>
      <c r="G86" s="104">
        <f t="shared" si="8"/>
        <v>7.735470941883768E-2</v>
      </c>
      <c r="H86" s="102">
        <f>IFERROR(VLOOKUP($B86,MMWR_TRAD_AGG_ST_DISTRICT_PEN[],H$1,0),"ERROR")</f>
        <v>4307</v>
      </c>
      <c r="I86" s="102">
        <f>IFERROR(VLOOKUP($B86,MMWR_TRAD_AGG_ST_DISTRICT_PEN[],I$1,0),"ERROR")</f>
        <v>443</v>
      </c>
      <c r="J86" s="104">
        <f t="shared" si="9"/>
        <v>0.10285581611330392</v>
      </c>
      <c r="K86" s="102">
        <f>IFERROR(VLOOKUP($B86,MMWR_TRAD_AGG_ST_DISTRICT_PEN[],K$1,0),"ERROR")</f>
        <v>61</v>
      </c>
      <c r="L86" s="102">
        <f>IFERROR(VLOOKUP($B86,MMWR_TRAD_AGG_ST_DISTRICT_PEN[],L$1,0),"ERROR")</f>
        <v>56</v>
      </c>
      <c r="M86" s="104">
        <f t="shared" si="10"/>
        <v>0.91803278688524592</v>
      </c>
      <c r="N86" s="102">
        <f>IFERROR(VLOOKUP($B86,MMWR_TRAD_AGG_ST_DISTRICT_PEN[],N$1,0),"ERROR")</f>
        <v>312</v>
      </c>
      <c r="O86" s="102">
        <f>IFERROR(VLOOKUP($B86,MMWR_TRAD_AGG_ST_DISTRICT_PEN[],O$1,0),"ERROR")</f>
        <v>97</v>
      </c>
      <c r="P86" s="104">
        <f t="shared" si="11"/>
        <v>0.3108974358974359</v>
      </c>
      <c r="Q86" s="102">
        <f>IFERROR(VLOOKUP($B86,MMWR_TRAD_AGG_ST_DISTRICT_PEN[],Q$1,0),"ERROR")</f>
        <v>4034</v>
      </c>
      <c r="R86" s="106">
        <f>IFERROR(VLOOKUP($B86,MMWR_TRAD_AGG_ST_DISTRICT_PEN[],R$1,0),"ERROR")</f>
        <v>468</v>
      </c>
      <c r="S86" s="106">
        <f>IFERROR(VLOOKUP($B86,MMWR_APP_STATE_PEN[],S$1,0),"ERROR")</f>
        <v>1200</v>
      </c>
      <c r="T86" s="28"/>
    </row>
    <row r="87" spans="1:20" s="123" customFormat="1" x14ac:dyDescent="0.25">
      <c r="A87" s="28"/>
      <c r="B87" s="127" t="s">
        <v>404</v>
      </c>
      <c r="C87" s="109">
        <f>IFERROR(VLOOKUP($B87,MMWR_TRAD_AGG_STATE_PEN[],C$1,0),"ERROR")</f>
        <v>322</v>
      </c>
      <c r="D87" s="110">
        <f>IFERROR(VLOOKUP($B87,MMWR_TRAD_AGG_STATE_PEN[],D$1,0),"ERROR")</f>
        <v>69.1614906832</v>
      </c>
      <c r="E87" s="111">
        <f>IFERROR(VLOOKUP($B87,MMWR_TRAD_AGG_STATE_PEN[],E$1,0),"ERROR")</f>
        <v>672</v>
      </c>
      <c r="F87" s="112">
        <f>IFERROR(VLOOKUP($B87,MMWR_TRAD_AGG_STATE_PEN[],F$1,0),"ERROR")</f>
        <v>65</v>
      </c>
      <c r="G87" s="113">
        <f t="shared" si="8"/>
        <v>9.6726190476190479E-2</v>
      </c>
      <c r="H87" s="111">
        <f>IFERROR(VLOOKUP($B87,MMWR_TRAD_AGG_STATE_PEN[],H$1,0),"ERROR")</f>
        <v>545</v>
      </c>
      <c r="I87" s="112">
        <f>IFERROR(VLOOKUP($B87,MMWR_TRAD_AGG_STATE_PEN[],I$1,0),"ERROR")</f>
        <v>61</v>
      </c>
      <c r="J87" s="114">
        <f t="shared" si="9"/>
        <v>0.11192660550458716</v>
      </c>
      <c r="K87" s="111">
        <f>IFERROR(VLOOKUP($B87,MMWR_TRAD_AGG_STATE_PEN[],K$1,0),"ERROR")</f>
        <v>7</v>
      </c>
      <c r="L87" s="112">
        <f>IFERROR(VLOOKUP($B87,MMWR_TRAD_AGG_STATE_PEN[],L$1,0),"ERROR")</f>
        <v>6</v>
      </c>
      <c r="M87" s="114">
        <f t="shared" si="10"/>
        <v>0.8571428571428571</v>
      </c>
      <c r="N87" s="111">
        <f>IFERROR(VLOOKUP($B87,MMWR_TRAD_AGG_STATE_PEN[],N$1,0),"ERROR")</f>
        <v>56</v>
      </c>
      <c r="O87" s="112">
        <f>IFERROR(VLOOKUP($B87,MMWR_TRAD_AGG_STATE_PEN[],O$1,0),"ERROR")</f>
        <v>15</v>
      </c>
      <c r="P87" s="114">
        <f t="shared" si="11"/>
        <v>0.26785714285714285</v>
      </c>
      <c r="Q87" s="115">
        <f>IFERROR(VLOOKUP($B87,MMWR_TRAD_AGG_STATE_PEN[],Q$1,0),"ERROR")</f>
        <v>570</v>
      </c>
      <c r="R87" s="115">
        <f>IFERROR(VLOOKUP($B87,MMWR_TRAD_AGG_STATE_PEN[],R$1,0),"ERROR")</f>
        <v>49</v>
      </c>
      <c r="S87" s="115">
        <f>IFERROR(VLOOKUP($B87,MMWR_APP_STATE_PEN[],S$1,0),"ERROR")</f>
        <v>301</v>
      </c>
      <c r="T87" s="28"/>
    </row>
    <row r="88" spans="1:20" s="123" customFormat="1" x14ac:dyDescent="0.25">
      <c r="A88" s="28"/>
      <c r="B88" s="127" t="s">
        <v>402</v>
      </c>
      <c r="C88" s="109">
        <f>IFERROR(VLOOKUP($B88,MMWR_TRAD_AGG_STATE_PEN[],C$1,0),"ERROR")</f>
        <v>243</v>
      </c>
      <c r="D88" s="110">
        <f>IFERROR(VLOOKUP($B88,MMWR_TRAD_AGG_STATE_PEN[],D$1,0),"ERROR")</f>
        <v>68.9176954733</v>
      </c>
      <c r="E88" s="111">
        <f>IFERROR(VLOOKUP($B88,MMWR_TRAD_AGG_STATE_PEN[],E$1,0),"ERROR")</f>
        <v>520</v>
      </c>
      <c r="F88" s="112">
        <f>IFERROR(VLOOKUP($B88,MMWR_TRAD_AGG_STATE_PEN[],F$1,0),"ERROR")</f>
        <v>45</v>
      </c>
      <c r="G88" s="113">
        <f t="shared" si="8"/>
        <v>8.6538461538461536E-2</v>
      </c>
      <c r="H88" s="111">
        <f>IFERROR(VLOOKUP($B88,MMWR_TRAD_AGG_STATE_PEN[],H$1,0),"ERROR")</f>
        <v>455</v>
      </c>
      <c r="I88" s="112">
        <f>IFERROR(VLOOKUP($B88,MMWR_TRAD_AGG_STATE_PEN[],I$1,0),"ERROR")</f>
        <v>53</v>
      </c>
      <c r="J88" s="114">
        <f t="shared" si="9"/>
        <v>0.11648351648351649</v>
      </c>
      <c r="K88" s="111">
        <f>IFERROR(VLOOKUP($B88,MMWR_TRAD_AGG_STATE_PEN[],K$1,0),"ERROR")</f>
        <v>5</v>
      </c>
      <c r="L88" s="112">
        <f>IFERROR(VLOOKUP($B88,MMWR_TRAD_AGG_STATE_PEN[],L$1,0),"ERROR")</f>
        <v>5</v>
      </c>
      <c r="M88" s="114">
        <f t="shared" si="10"/>
        <v>1</v>
      </c>
      <c r="N88" s="111">
        <f>IFERROR(VLOOKUP($B88,MMWR_TRAD_AGG_STATE_PEN[],N$1,0),"ERROR")</f>
        <v>42</v>
      </c>
      <c r="O88" s="112">
        <f>IFERROR(VLOOKUP($B88,MMWR_TRAD_AGG_STATE_PEN[],O$1,0),"ERROR")</f>
        <v>21</v>
      </c>
      <c r="P88" s="114">
        <f t="shared" si="11"/>
        <v>0.5</v>
      </c>
      <c r="Q88" s="115">
        <f>IFERROR(VLOOKUP($B88,MMWR_TRAD_AGG_STATE_PEN[],Q$1,0),"ERROR")</f>
        <v>370</v>
      </c>
      <c r="R88" s="115">
        <f>IFERROR(VLOOKUP($B88,MMWR_TRAD_AGG_STATE_PEN[],R$1,0),"ERROR")</f>
        <v>40</v>
      </c>
      <c r="S88" s="115">
        <f>IFERROR(VLOOKUP($B88,MMWR_APP_STATE_PEN[],S$1,0),"ERROR")</f>
        <v>116</v>
      </c>
      <c r="T88" s="28"/>
    </row>
    <row r="89" spans="1:20" s="123" customFormat="1" x14ac:dyDescent="0.25">
      <c r="A89" s="28"/>
      <c r="B89" s="127" t="s">
        <v>409</v>
      </c>
      <c r="C89" s="109">
        <f>IFERROR(VLOOKUP($B89,MMWR_TRAD_AGG_STATE_PEN[],C$1,0),"ERROR")</f>
        <v>75</v>
      </c>
      <c r="D89" s="110">
        <f>IFERROR(VLOOKUP($B89,MMWR_TRAD_AGG_STATE_PEN[],D$1,0),"ERROR")</f>
        <v>37.24</v>
      </c>
      <c r="E89" s="111">
        <f>IFERROR(VLOOKUP($B89,MMWR_TRAD_AGG_STATE_PEN[],E$1,0),"ERROR")</f>
        <v>283</v>
      </c>
      <c r="F89" s="112">
        <f>IFERROR(VLOOKUP($B89,MMWR_TRAD_AGG_STATE_PEN[],F$1,0),"ERROR")</f>
        <v>9</v>
      </c>
      <c r="G89" s="113">
        <f t="shared" si="8"/>
        <v>3.1802120141342753E-2</v>
      </c>
      <c r="H89" s="111">
        <f>IFERROR(VLOOKUP($B89,MMWR_TRAD_AGG_STATE_PEN[],H$1,0),"ERROR")</f>
        <v>148</v>
      </c>
      <c r="I89" s="112">
        <f>IFERROR(VLOOKUP($B89,MMWR_TRAD_AGG_STATE_PEN[],I$1,0),"ERROR")</f>
        <v>6</v>
      </c>
      <c r="J89" s="114">
        <f t="shared" si="9"/>
        <v>4.0540540540540543E-2</v>
      </c>
      <c r="K89" s="111">
        <f>IFERROR(VLOOKUP($B89,MMWR_TRAD_AGG_STATE_PEN[],K$1,0),"ERROR")</f>
        <v>0</v>
      </c>
      <c r="L89" s="112">
        <f>IFERROR(VLOOKUP($B89,MMWR_TRAD_AGG_STATE_PEN[],L$1,0),"ERROR")</f>
        <v>0</v>
      </c>
      <c r="M89" s="114" t="str">
        <f t="shared" si="10"/>
        <v>0%</v>
      </c>
      <c r="N89" s="111">
        <f>IFERROR(VLOOKUP($B89,MMWR_TRAD_AGG_STATE_PEN[],N$1,0),"ERROR")</f>
        <v>1</v>
      </c>
      <c r="O89" s="112">
        <f>IFERROR(VLOOKUP($B89,MMWR_TRAD_AGG_STATE_PEN[],O$1,0),"ERROR")</f>
        <v>0</v>
      </c>
      <c r="P89" s="114">
        <f t="shared" si="11"/>
        <v>0</v>
      </c>
      <c r="Q89" s="115">
        <f>IFERROR(VLOOKUP($B89,MMWR_TRAD_AGG_STATE_PEN[],Q$1,0),"ERROR")</f>
        <v>162</v>
      </c>
      <c r="R89" s="115">
        <f>IFERROR(VLOOKUP($B89,MMWR_TRAD_AGG_STATE_PEN[],R$1,0),"ERROR")</f>
        <v>32</v>
      </c>
      <c r="S89" s="115">
        <f>IFERROR(VLOOKUP($B89,MMWR_APP_STATE_PEN[],S$1,0),"ERROR")</f>
        <v>32</v>
      </c>
      <c r="T89" s="28"/>
    </row>
    <row r="90" spans="1:20" s="123" customFormat="1" x14ac:dyDescent="0.25">
      <c r="A90" s="28"/>
      <c r="B90" s="127" t="s">
        <v>432</v>
      </c>
      <c r="C90" s="109">
        <f>IFERROR(VLOOKUP($B90,MMWR_TRAD_AGG_STATE_PEN[],C$1,0),"ERROR")</f>
        <v>54</v>
      </c>
      <c r="D90" s="110">
        <f>IFERROR(VLOOKUP($B90,MMWR_TRAD_AGG_STATE_PEN[],D$1,0),"ERROR")</f>
        <v>39.962962963000003</v>
      </c>
      <c r="E90" s="111">
        <f>IFERROR(VLOOKUP($B90,MMWR_TRAD_AGG_STATE_PEN[],E$1,0),"ERROR")</f>
        <v>253</v>
      </c>
      <c r="F90" s="112">
        <f>IFERROR(VLOOKUP($B90,MMWR_TRAD_AGG_STATE_PEN[],F$1,0),"ERROR")</f>
        <v>14</v>
      </c>
      <c r="G90" s="113">
        <f t="shared" si="8"/>
        <v>5.533596837944664E-2</v>
      </c>
      <c r="H90" s="111">
        <f>IFERROR(VLOOKUP($B90,MMWR_TRAD_AGG_STATE_PEN[],H$1,0),"ERROR")</f>
        <v>121</v>
      </c>
      <c r="I90" s="112">
        <f>IFERROR(VLOOKUP($B90,MMWR_TRAD_AGG_STATE_PEN[],I$1,0),"ERROR")</f>
        <v>6</v>
      </c>
      <c r="J90" s="114">
        <f t="shared" si="9"/>
        <v>4.9586776859504134E-2</v>
      </c>
      <c r="K90" s="111">
        <f>IFERROR(VLOOKUP($B90,MMWR_TRAD_AGG_STATE_PEN[],K$1,0),"ERROR")</f>
        <v>2</v>
      </c>
      <c r="L90" s="112">
        <f>IFERROR(VLOOKUP($B90,MMWR_TRAD_AGG_STATE_PEN[],L$1,0),"ERROR")</f>
        <v>2</v>
      </c>
      <c r="M90" s="114">
        <f t="shared" si="10"/>
        <v>1</v>
      </c>
      <c r="N90" s="111">
        <f>IFERROR(VLOOKUP($B90,MMWR_TRAD_AGG_STATE_PEN[],N$1,0),"ERROR")</f>
        <v>12</v>
      </c>
      <c r="O90" s="112">
        <f>IFERROR(VLOOKUP($B90,MMWR_TRAD_AGG_STATE_PEN[],O$1,0),"ERROR")</f>
        <v>2</v>
      </c>
      <c r="P90" s="114">
        <f t="shared" si="11"/>
        <v>0.16666666666666666</v>
      </c>
      <c r="Q90" s="115">
        <f>IFERROR(VLOOKUP($B90,MMWR_TRAD_AGG_STATE_PEN[],Q$1,0),"ERROR")</f>
        <v>118</v>
      </c>
      <c r="R90" s="115">
        <f>IFERROR(VLOOKUP($B90,MMWR_TRAD_AGG_STATE_PEN[],R$1,0),"ERROR")</f>
        <v>42</v>
      </c>
      <c r="S90" s="115">
        <f>IFERROR(VLOOKUP($B90,MMWR_APP_STATE_PEN[],S$1,0),"ERROR")</f>
        <v>18</v>
      </c>
      <c r="T90" s="28"/>
    </row>
    <row r="91" spans="1:20" s="123" customFormat="1" x14ac:dyDescent="0.25">
      <c r="A91" s="28"/>
      <c r="B91" s="127" t="s">
        <v>405</v>
      </c>
      <c r="C91" s="109">
        <f>IFERROR(VLOOKUP($B91,MMWR_TRAD_AGG_STATE_PEN[],C$1,0),"ERROR")</f>
        <v>403</v>
      </c>
      <c r="D91" s="110">
        <f>IFERROR(VLOOKUP($B91,MMWR_TRAD_AGG_STATE_PEN[],D$1,0),"ERROR")</f>
        <v>71.320099255599999</v>
      </c>
      <c r="E91" s="111">
        <f>IFERROR(VLOOKUP($B91,MMWR_TRAD_AGG_STATE_PEN[],E$1,0),"ERROR")</f>
        <v>920</v>
      </c>
      <c r="F91" s="112">
        <f>IFERROR(VLOOKUP($B91,MMWR_TRAD_AGG_STATE_PEN[],F$1,0),"ERROR")</f>
        <v>73</v>
      </c>
      <c r="G91" s="113">
        <f t="shared" si="8"/>
        <v>7.9347826086956522E-2</v>
      </c>
      <c r="H91" s="111">
        <f>IFERROR(VLOOKUP($B91,MMWR_TRAD_AGG_STATE_PEN[],H$1,0),"ERROR")</f>
        <v>782</v>
      </c>
      <c r="I91" s="112">
        <f>IFERROR(VLOOKUP($B91,MMWR_TRAD_AGG_STATE_PEN[],I$1,0),"ERROR")</f>
        <v>93</v>
      </c>
      <c r="J91" s="114">
        <f t="shared" si="9"/>
        <v>0.11892583120204604</v>
      </c>
      <c r="K91" s="111">
        <f>IFERROR(VLOOKUP($B91,MMWR_TRAD_AGG_STATE_PEN[],K$1,0),"ERROR")</f>
        <v>10</v>
      </c>
      <c r="L91" s="112">
        <f>IFERROR(VLOOKUP($B91,MMWR_TRAD_AGG_STATE_PEN[],L$1,0),"ERROR")</f>
        <v>10</v>
      </c>
      <c r="M91" s="114">
        <f t="shared" si="10"/>
        <v>1</v>
      </c>
      <c r="N91" s="111">
        <f>IFERROR(VLOOKUP($B91,MMWR_TRAD_AGG_STATE_PEN[],N$1,0),"ERROR")</f>
        <v>66</v>
      </c>
      <c r="O91" s="112">
        <f>IFERROR(VLOOKUP($B91,MMWR_TRAD_AGG_STATE_PEN[],O$1,0),"ERROR")</f>
        <v>14</v>
      </c>
      <c r="P91" s="114">
        <f t="shared" si="11"/>
        <v>0.21212121212121213</v>
      </c>
      <c r="Q91" s="115">
        <f>IFERROR(VLOOKUP($B91,MMWR_TRAD_AGG_STATE_PEN[],Q$1,0),"ERROR")</f>
        <v>646</v>
      </c>
      <c r="R91" s="115">
        <f>IFERROR(VLOOKUP($B91,MMWR_TRAD_AGG_STATE_PEN[],R$1,0),"ERROR")</f>
        <v>84</v>
      </c>
      <c r="S91" s="115">
        <f>IFERROR(VLOOKUP($B91,MMWR_APP_STATE_PEN[],S$1,0),"ERROR")</f>
        <v>209</v>
      </c>
      <c r="T91" s="28"/>
    </row>
    <row r="92" spans="1:20" s="123" customFormat="1" x14ac:dyDescent="0.25">
      <c r="A92" s="28"/>
      <c r="B92" s="127" t="s">
        <v>411</v>
      </c>
      <c r="C92" s="109">
        <f>IFERROR(VLOOKUP($B92,MMWR_TRAD_AGG_STATE_PEN[],C$1,0),"ERROR")</f>
        <v>102</v>
      </c>
      <c r="D92" s="110">
        <f>IFERROR(VLOOKUP($B92,MMWR_TRAD_AGG_STATE_PEN[],D$1,0),"ERROR")</f>
        <v>32.245098039200002</v>
      </c>
      <c r="E92" s="111">
        <f>IFERROR(VLOOKUP($B92,MMWR_TRAD_AGG_STATE_PEN[],E$1,0),"ERROR")</f>
        <v>297</v>
      </c>
      <c r="F92" s="112">
        <f>IFERROR(VLOOKUP($B92,MMWR_TRAD_AGG_STATE_PEN[],F$1,0),"ERROR")</f>
        <v>9</v>
      </c>
      <c r="G92" s="113">
        <f t="shared" si="8"/>
        <v>3.0303030303030304E-2</v>
      </c>
      <c r="H92" s="111">
        <f>IFERROR(VLOOKUP($B92,MMWR_TRAD_AGG_STATE_PEN[],H$1,0),"ERROR")</f>
        <v>171</v>
      </c>
      <c r="I92" s="112">
        <f>IFERROR(VLOOKUP($B92,MMWR_TRAD_AGG_STATE_PEN[],I$1,0),"ERROR")</f>
        <v>2</v>
      </c>
      <c r="J92" s="114">
        <f t="shared" si="9"/>
        <v>1.1695906432748537E-2</v>
      </c>
      <c r="K92" s="111">
        <f>IFERROR(VLOOKUP($B92,MMWR_TRAD_AGG_STATE_PEN[],K$1,0),"ERROR")</f>
        <v>1</v>
      </c>
      <c r="L92" s="112">
        <f>IFERROR(VLOOKUP($B92,MMWR_TRAD_AGG_STATE_PEN[],L$1,0),"ERROR")</f>
        <v>1</v>
      </c>
      <c r="M92" s="114">
        <f t="shared" si="10"/>
        <v>1</v>
      </c>
      <c r="N92" s="111">
        <f>IFERROR(VLOOKUP($B92,MMWR_TRAD_AGG_STATE_PEN[],N$1,0),"ERROR")</f>
        <v>4</v>
      </c>
      <c r="O92" s="112">
        <f>IFERROR(VLOOKUP($B92,MMWR_TRAD_AGG_STATE_PEN[],O$1,0),"ERROR")</f>
        <v>1</v>
      </c>
      <c r="P92" s="114">
        <f t="shared" si="11"/>
        <v>0.25</v>
      </c>
      <c r="Q92" s="115">
        <f>IFERROR(VLOOKUP($B92,MMWR_TRAD_AGG_STATE_PEN[],Q$1,0),"ERROR")</f>
        <v>391</v>
      </c>
      <c r="R92" s="115">
        <f>IFERROR(VLOOKUP($B92,MMWR_TRAD_AGG_STATE_PEN[],R$1,0),"ERROR")</f>
        <v>46</v>
      </c>
      <c r="S92" s="115">
        <f>IFERROR(VLOOKUP($B92,MMWR_APP_STATE_PEN[],S$1,0),"ERROR")</f>
        <v>32</v>
      </c>
      <c r="T92" s="28"/>
    </row>
    <row r="93" spans="1:20" s="123" customFormat="1" x14ac:dyDescent="0.25">
      <c r="A93" s="28"/>
      <c r="B93" s="127" t="s">
        <v>407</v>
      </c>
      <c r="C93" s="109">
        <f>IFERROR(VLOOKUP($B93,MMWR_TRAD_AGG_STATE_PEN[],C$1,0),"ERROR")</f>
        <v>369</v>
      </c>
      <c r="D93" s="110">
        <f>IFERROR(VLOOKUP($B93,MMWR_TRAD_AGG_STATE_PEN[],D$1,0),"ERROR")</f>
        <v>73.216802168000001</v>
      </c>
      <c r="E93" s="111">
        <f>IFERROR(VLOOKUP($B93,MMWR_TRAD_AGG_STATE_PEN[],E$1,0),"ERROR")</f>
        <v>541</v>
      </c>
      <c r="F93" s="112">
        <f>IFERROR(VLOOKUP($B93,MMWR_TRAD_AGG_STATE_PEN[],F$1,0),"ERROR")</f>
        <v>46</v>
      </c>
      <c r="G93" s="113">
        <f t="shared" si="8"/>
        <v>8.5027726432532341E-2</v>
      </c>
      <c r="H93" s="111">
        <f>IFERROR(VLOOKUP($B93,MMWR_TRAD_AGG_STATE_PEN[],H$1,0),"ERROR")</f>
        <v>660</v>
      </c>
      <c r="I93" s="112">
        <f>IFERROR(VLOOKUP($B93,MMWR_TRAD_AGG_STATE_PEN[],I$1,0),"ERROR")</f>
        <v>69</v>
      </c>
      <c r="J93" s="114">
        <f t="shared" si="9"/>
        <v>0.10454545454545454</v>
      </c>
      <c r="K93" s="111">
        <f>IFERROR(VLOOKUP($B93,MMWR_TRAD_AGG_STATE_PEN[],K$1,0),"ERROR")</f>
        <v>14</v>
      </c>
      <c r="L93" s="112">
        <f>IFERROR(VLOOKUP($B93,MMWR_TRAD_AGG_STATE_PEN[],L$1,0),"ERROR")</f>
        <v>14</v>
      </c>
      <c r="M93" s="114">
        <f t="shared" si="10"/>
        <v>1</v>
      </c>
      <c r="N93" s="111">
        <f>IFERROR(VLOOKUP($B93,MMWR_TRAD_AGG_STATE_PEN[],N$1,0),"ERROR")</f>
        <v>47</v>
      </c>
      <c r="O93" s="112">
        <f>IFERROR(VLOOKUP($B93,MMWR_TRAD_AGG_STATE_PEN[],O$1,0),"ERROR")</f>
        <v>18</v>
      </c>
      <c r="P93" s="114">
        <f t="shared" si="11"/>
        <v>0.38297872340425532</v>
      </c>
      <c r="Q93" s="115">
        <f>IFERROR(VLOOKUP($B93,MMWR_TRAD_AGG_STATE_PEN[],Q$1,0),"ERROR")</f>
        <v>529</v>
      </c>
      <c r="R93" s="115">
        <f>IFERROR(VLOOKUP($B93,MMWR_TRAD_AGG_STATE_PEN[],R$1,0),"ERROR")</f>
        <v>44</v>
      </c>
      <c r="S93" s="115">
        <f>IFERROR(VLOOKUP($B93,MMWR_APP_STATE_PEN[],S$1,0),"ERROR")</f>
        <v>166</v>
      </c>
      <c r="T93" s="28"/>
    </row>
    <row r="94" spans="1:20" s="123" customFormat="1" x14ac:dyDescent="0.25">
      <c r="A94" s="28"/>
      <c r="B94" s="127" t="s">
        <v>410</v>
      </c>
      <c r="C94" s="109">
        <f>IFERROR(VLOOKUP($B94,MMWR_TRAD_AGG_STATE_PEN[],C$1,0),"ERROR")</f>
        <v>27</v>
      </c>
      <c r="D94" s="110">
        <f>IFERROR(VLOOKUP($B94,MMWR_TRAD_AGG_STATE_PEN[],D$1,0),"ERROR")</f>
        <v>43.814814814800002</v>
      </c>
      <c r="E94" s="111">
        <f>IFERROR(VLOOKUP($B94,MMWR_TRAD_AGG_STATE_PEN[],E$1,0),"ERROR")</f>
        <v>88</v>
      </c>
      <c r="F94" s="112">
        <f>IFERROR(VLOOKUP($B94,MMWR_TRAD_AGG_STATE_PEN[],F$1,0),"ERROR")</f>
        <v>3</v>
      </c>
      <c r="G94" s="113">
        <f t="shared" si="8"/>
        <v>3.4090909090909088E-2</v>
      </c>
      <c r="H94" s="111">
        <f>IFERROR(VLOOKUP($B94,MMWR_TRAD_AGG_STATE_PEN[],H$1,0),"ERROR")</f>
        <v>44</v>
      </c>
      <c r="I94" s="112">
        <f>IFERROR(VLOOKUP($B94,MMWR_TRAD_AGG_STATE_PEN[],I$1,0),"ERROR")</f>
        <v>0</v>
      </c>
      <c r="J94" s="114">
        <f t="shared" si="9"/>
        <v>0</v>
      </c>
      <c r="K94" s="111">
        <f>IFERROR(VLOOKUP($B94,MMWR_TRAD_AGG_STATE_PEN[],K$1,0),"ERROR")</f>
        <v>0</v>
      </c>
      <c r="L94" s="112">
        <f>IFERROR(VLOOKUP($B94,MMWR_TRAD_AGG_STATE_PEN[],L$1,0),"ERROR")</f>
        <v>0</v>
      </c>
      <c r="M94" s="114" t="str">
        <f t="shared" si="10"/>
        <v>0%</v>
      </c>
      <c r="N94" s="111">
        <f>IFERROR(VLOOKUP($B94,MMWR_TRAD_AGG_STATE_PEN[],N$1,0),"ERROR")</f>
        <v>4</v>
      </c>
      <c r="O94" s="112">
        <f>IFERROR(VLOOKUP($B94,MMWR_TRAD_AGG_STATE_PEN[],O$1,0),"ERROR")</f>
        <v>2</v>
      </c>
      <c r="P94" s="114">
        <f t="shared" si="11"/>
        <v>0.5</v>
      </c>
      <c r="Q94" s="115">
        <f>IFERROR(VLOOKUP($B94,MMWR_TRAD_AGG_STATE_PEN[],Q$1,0),"ERROR")</f>
        <v>144</v>
      </c>
      <c r="R94" s="115">
        <f>IFERROR(VLOOKUP($B94,MMWR_TRAD_AGG_STATE_PEN[],R$1,0),"ERROR")</f>
        <v>19</v>
      </c>
      <c r="S94" s="115">
        <f>IFERROR(VLOOKUP($B94,MMWR_APP_STATE_PEN[],S$1,0),"ERROR")</f>
        <v>24</v>
      </c>
      <c r="T94" s="28"/>
    </row>
    <row r="95" spans="1:20" s="123" customFormat="1" x14ac:dyDescent="0.25">
      <c r="A95" s="28"/>
      <c r="B95" s="127" t="s">
        <v>429</v>
      </c>
      <c r="C95" s="109">
        <f>IFERROR(VLOOKUP($B95,MMWR_TRAD_AGG_STATE_PEN[],C$1,0),"ERROR")</f>
        <v>14</v>
      </c>
      <c r="D95" s="110">
        <f>IFERROR(VLOOKUP($B95,MMWR_TRAD_AGG_STATE_PEN[],D$1,0),"ERROR")</f>
        <v>42.571428571399998</v>
      </c>
      <c r="E95" s="111">
        <f>IFERROR(VLOOKUP($B95,MMWR_TRAD_AGG_STATE_PEN[],E$1,0),"ERROR")</f>
        <v>32</v>
      </c>
      <c r="F95" s="112">
        <f>IFERROR(VLOOKUP($B95,MMWR_TRAD_AGG_STATE_PEN[],F$1,0),"ERROR")</f>
        <v>1</v>
      </c>
      <c r="G95" s="113">
        <f t="shared" si="8"/>
        <v>3.125E-2</v>
      </c>
      <c r="H95" s="111">
        <f>IFERROR(VLOOKUP($B95,MMWR_TRAD_AGG_STATE_PEN[],H$1,0),"ERROR")</f>
        <v>22</v>
      </c>
      <c r="I95" s="112">
        <f>IFERROR(VLOOKUP($B95,MMWR_TRAD_AGG_STATE_PEN[],I$1,0),"ERROR")</f>
        <v>0</v>
      </c>
      <c r="J95" s="114">
        <f t="shared" si="9"/>
        <v>0</v>
      </c>
      <c r="K95" s="111">
        <f>IFERROR(VLOOKUP($B95,MMWR_TRAD_AGG_STATE_PEN[],K$1,0),"ERROR")</f>
        <v>1</v>
      </c>
      <c r="L95" s="112">
        <f>IFERROR(VLOOKUP($B95,MMWR_TRAD_AGG_STATE_PEN[],L$1,0),"ERROR")</f>
        <v>1</v>
      </c>
      <c r="M95" s="114">
        <f t="shared" si="10"/>
        <v>1</v>
      </c>
      <c r="N95" s="111">
        <f>IFERROR(VLOOKUP($B95,MMWR_TRAD_AGG_STATE_PEN[],N$1,0),"ERROR")</f>
        <v>0</v>
      </c>
      <c r="O95" s="112">
        <f>IFERROR(VLOOKUP($B95,MMWR_TRAD_AGG_STATE_PEN[],O$1,0),"ERROR")</f>
        <v>0</v>
      </c>
      <c r="P95" s="114" t="str">
        <f t="shared" si="11"/>
        <v>0%</v>
      </c>
      <c r="Q95" s="115">
        <f>IFERROR(VLOOKUP($B95,MMWR_TRAD_AGG_STATE_PEN[],Q$1,0),"ERROR")</f>
        <v>39</v>
      </c>
      <c r="R95" s="115">
        <f>IFERROR(VLOOKUP($B95,MMWR_TRAD_AGG_STATE_PEN[],R$1,0),"ERROR")</f>
        <v>6</v>
      </c>
      <c r="S95" s="115">
        <f>IFERROR(VLOOKUP($B95,MMWR_APP_STATE_PEN[],S$1,0),"ERROR")</f>
        <v>5</v>
      </c>
      <c r="T95" s="28"/>
    </row>
    <row r="96" spans="1:20" s="123" customFormat="1" x14ac:dyDescent="0.25">
      <c r="A96" s="28"/>
      <c r="B96" s="127" t="s">
        <v>401</v>
      </c>
      <c r="C96" s="109">
        <f>IFERROR(VLOOKUP($B96,MMWR_TRAD_AGG_STATE_PEN[],C$1,0),"ERROR")</f>
        <v>516</v>
      </c>
      <c r="D96" s="110">
        <f>IFERROR(VLOOKUP($B96,MMWR_TRAD_AGG_STATE_PEN[],D$1,0),"ERROR")</f>
        <v>76.645348837200004</v>
      </c>
      <c r="E96" s="111">
        <f>IFERROR(VLOOKUP($B96,MMWR_TRAD_AGG_STATE_PEN[],E$1,0),"ERROR")</f>
        <v>1006</v>
      </c>
      <c r="F96" s="112">
        <f>IFERROR(VLOOKUP($B96,MMWR_TRAD_AGG_STATE_PEN[],F$1,0),"ERROR")</f>
        <v>103</v>
      </c>
      <c r="G96" s="113">
        <f t="shared" si="8"/>
        <v>0.10238568588469185</v>
      </c>
      <c r="H96" s="111">
        <f>IFERROR(VLOOKUP($B96,MMWR_TRAD_AGG_STATE_PEN[],H$1,0),"ERROR")</f>
        <v>930</v>
      </c>
      <c r="I96" s="112">
        <f>IFERROR(VLOOKUP($B96,MMWR_TRAD_AGG_STATE_PEN[],I$1,0),"ERROR")</f>
        <v>125</v>
      </c>
      <c r="J96" s="114">
        <f t="shared" si="9"/>
        <v>0.13440860215053763</v>
      </c>
      <c r="K96" s="111">
        <f>IFERROR(VLOOKUP($B96,MMWR_TRAD_AGG_STATE_PEN[],K$1,0),"ERROR")</f>
        <v>18</v>
      </c>
      <c r="L96" s="112">
        <f>IFERROR(VLOOKUP($B96,MMWR_TRAD_AGG_STATE_PEN[],L$1,0),"ERROR")</f>
        <v>14</v>
      </c>
      <c r="M96" s="114">
        <f t="shared" si="10"/>
        <v>0.77777777777777779</v>
      </c>
      <c r="N96" s="111">
        <f>IFERROR(VLOOKUP($B96,MMWR_TRAD_AGG_STATE_PEN[],N$1,0),"ERROR")</f>
        <v>59</v>
      </c>
      <c r="O96" s="112">
        <f>IFERROR(VLOOKUP($B96,MMWR_TRAD_AGG_STATE_PEN[],O$1,0),"ERROR")</f>
        <v>19</v>
      </c>
      <c r="P96" s="114">
        <f t="shared" si="11"/>
        <v>0.32203389830508472</v>
      </c>
      <c r="Q96" s="115">
        <f>IFERROR(VLOOKUP($B96,MMWR_TRAD_AGG_STATE_PEN[],Q$1,0),"ERROR")</f>
        <v>616</v>
      </c>
      <c r="R96" s="115">
        <f>IFERROR(VLOOKUP($B96,MMWR_TRAD_AGG_STATE_PEN[],R$1,0),"ERROR")</f>
        <v>70</v>
      </c>
      <c r="S96" s="115">
        <f>IFERROR(VLOOKUP($B96,MMWR_APP_STATE_PEN[],S$1,0),"ERROR")</f>
        <v>211</v>
      </c>
      <c r="T96" s="28"/>
    </row>
    <row r="97" spans="1:20" s="123" customFormat="1" x14ac:dyDescent="0.25">
      <c r="A97" s="28"/>
      <c r="B97" s="127" t="s">
        <v>430</v>
      </c>
      <c r="C97" s="109">
        <f>IFERROR(VLOOKUP($B97,MMWR_TRAD_AGG_STATE_PEN[],C$1,0),"ERROR")</f>
        <v>19</v>
      </c>
      <c r="D97" s="110">
        <f>IFERROR(VLOOKUP($B97,MMWR_TRAD_AGG_STATE_PEN[],D$1,0),"ERROR")</f>
        <v>27.631578947400001</v>
      </c>
      <c r="E97" s="111">
        <f>IFERROR(VLOOKUP($B97,MMWR_TRAD_AGG_STATE_PEN[],E$1,0),"ERROR")</f>
        <v>57</v>
      </c>
      <c r="F97" s="112">
        <f>IFERROR(VLOOKUP($B97,MMWR_TRAD_AGG_STATE_PEN[],F$1,0),"ERROR")</f>
        <v>2</v>
      </c>
      <c r="G97" s="113">
        <f t="shared" si="8"/>
        <v>3.5087719298245612E-2</v>
      </c>
      <c r="H97" s="111">
        <f>IFERROR(VLOOKUP($B97,MMWR_TRAD_AGG_STATE_PEN[],H$1,0),"ERROR")</f>
        <v>31</v>
      </c>
      <c r="I97" s="112">
        <f>IFERROR(VLOOKUP($B97,MMWR_TRAD_AGG_STATE_PEN[],I$1,0),"ERROR")</f>
        <v>1</v>
      </c>
      <c r="J97" s="114">
        <f t="shared" si="9"/>
        <v>3.2258064516129031E-2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1</v>
      </c>
      <c r="P97" s="114">
        <f t="shared" si="11"/>
        <v>1</v>
      </c>
      <c r="Q97" s="115">
        <f>IFERROR(VLOOKUP($B97,MMWR_TRAD_AGG_STATE_PEN[],Q$1,0),"ERROR")</f>
        <v>86</v>
      </c>
      <c r="R97" s="115">
        <f>IFERROR(VLOOKUP($B97,MMWR_TRAD_AGG_STATE_PEN[],R$1,0),"ERROR")</f>
        <v>7</v>
      </c>
      <c r="S97" s="115">
        <f>IFERROR(VLOOKUP($B97,MMWR_APP_STATE_PEN[],S$1,0),"ERROR")</f>
        <v>7</v>
      </c>
      <c r="T97" s="28"/>
    </row>
    <row r="98" spans="1:20" s="123" customFormat="1" x14ac:dyDescent="0.25">
      <c r="A98" s="28"/>
      <c r="B98" s="127" t="s">
        <v>406</v>
      </c>
      <c r="C98" s="109">
        <f>IFERROR(VLOOKUP($B98,MMWR_TRAD_AGG_STATE_PEN[],C$1,0),"ERROR")</f>
        <v>231</v>
      </c>
      <c r="D98" s="110">
        <f>IFERROR(VLOOKUP($B98,MMWR_TRAD_AGG_STATE_PEN[],D$1,0),"ERROR")</f>
        <v>59.831168831200003</v>
      </c>
      <c r="E98" s="111">
        <f>IFERROR(VLOOKUP($B98,MMWR_TRAD_AGG_STATE_PEN[],E$1,0),"ERROR")</f>
        <v>321</v>
      </c>
      <c r="F98" s="112">
        <f>IFERROR(VLOOKUP($B98,MMWR_TRAD_AGG_STATE_PEN[],F$1,0),"ERROR")</f>
        <v>16</v>
      </c>
      <c r="G98" s="113">
        <f t="shared" si="8"/>
        <v>4.9844236760124609E-2</v>
      </c>
      <c r="H98" s="111">
        <f>IFERROR(VLOOKUP($B98,MMWR_TRAD_AGG_STATE_PEN[],H$1,0),"ERROR")</f>
        <v>398</v>
      </c>
      <c r="I98" s="112">
        <f>IFERROR(VLOOKUP($B98,MMWR_TRAD_AGG_STATE_PEN[],I$1,0),"ERROR")</f>
        <v>27</v>
      </c>
      <c r="J98" s="114">
        <f t="shared" si="9"/>
        <v>6.78391959798995E-2</v>
      </c>
      <c r="K98" s="111">
        <f>IFERROR(VLOOKUP($B98,MMWR_TRAD_AGG_STATE_PEN[],K$1,0),"ERROR")</f>
        <v>3</v>
      </c>
      <c r="L98" s="112">
        <f>IFERROR(VLOOKUP($B98,MMWR_TRAD_AGG_STATE_PEN[],L$1,0),"ERROR")</f>
        <v>3</v>
      </c>
      <c r="M98" s="114">
        <f t="shared" si="10"/>
        <v>1</v>
      </c>
      <c r="N98" s="111">
        <f>IFERROR(VLOOKUP($B98,MMWR_TRAD_AGG_STATE_PEN[],N$1,0),"ERROR")</f>
        <v>20</v>
      </c>
      <c r="O98" s="112">
        <f>IFERROR(VLOOKUP($B98,MMWR_TRAD_AGG_STATE_PEN[],O$1,0),"ERROR")</f>
        <v>4</v>
      </c>
      <c r="P98" s="114">
        <f t="shared" si="11"/>
        <v>0.2</v>
      </c>
      <c r="Q98" s="115">
        <f>IFERROR(VLOOKUP($B98,MMWR_TRAD_AGG_STATE_PEN[],Q$1,0),"ERROR")</f>
        <v>363</v>
      </c>
      <c r="R98" s="115">
        <f>IFERROR(VLOOKUP($B98,MMWR_TRAD_AGG_STATE_PEN[],R$1,0),"ERROR")</f>
        <v>29</v>
      </c>
      <c r="S98" s="115">
        <f>IFERROR(VLOOKUP($B98,MMWR_APP_STATE_PEN[],S$1,0),"ERROR")</f>
        <v>79</v>
      </c>
      <c r="T98" s="28"/>
    </row>
    <row r="99" spans="1:20" s="123" customFormat="1" x14ac:dyDescent="0.25">
      <c r="A99" s="28"/>
      <c r="B99" s="126" t="s">
        <v>395</v>
      </c>
      <c r="C99" s="102">
        <f>IFERROR(VLOOKUP($B99,MMWR_TRAD_AGG_ST_DISTRICT_PEN[],C$1,0),"ERROR")</f>
        <v>1314</v>
      </c>
      <c r="D99" s="103">
        <f>IFERROR(VLOOKUP($B99,MMWR_TRAD_AGG_ST_DISTRICT_PEN[],D$1,0),"ERROR")</f>
        <v>59.681126331800002</v>
      </c>
      <c r="E99" s="102">
        <f>IFERROR(VLOOKUP($B99,MMWR_TRAD_AGG_ST_DISTRICT_PEN[],E$1,0),"ERROR")</f>
        <v>2894</v>
      </c>
      <c r="F99" s="102">
        <f>IFERROR(VLOOKUP($B99,MMWR_TRAD_AGG_ST_DISTRICT_PEN[],F$1,0),"ERROR")</f>
        <v>116</v>
      </c>
      <c r="G99" s="104">
        <f t="shared" si="8"/>
        <v>4.0082930200414653E-2</v>
      </c>
      <c r="H99" s="102">
        <f>IFERROR(VLOOKUP($B99,MMWR_TRAD_AGG_ST_DISTRICT_PEN[],H$1,0),"ERROR")</f>
        <v>2499</v>
      </c>
      <c r="I99" s="102">
        <f>IFERROR(VLOOKUP($B99,MMWR_TRAD_AGG_ST_DISTRICT_PEN[],I$1,0),"ERROR")</f>
        <v>261</v>
      </c>
      <c r="J99" s="104">
        <f t="shared" si="9"/>
        <v>0.10444177671068428</v>
      </c>
      <c r="K99" s="102">
        <f>IFERROR(VLOOKUP($B99,MMWR_TRAD_AGG_ST_DISTRICT_PEN[],K$1,0),"ERROR")</f>
        <v>36</v>
      </c>
      <c r="L99" s="102">
        <f>IFERROR(VLOOKUP($B99,MMWR_TRAD_AGG_ST_DISTRICT_PEN[],L$1,0),"ERROR")</f>
        <v>35</v>
      </c>
      <c r="M99" s="104">
        <f t="shared" si="10"/>
        <v>0.97222222222222221</v>
      </c>
      <c r="N99" s="102">
        <f>IFERROR(VLOOKUP($B99,MMWR_TRAD_AGG_ST_DISTRICT_PEN[],N$1,0),"ERROR")</f>
        <v>179</v>
      </c>
      <c r="O99" s="102">
        <f>IFERROR(VLOOKUP($B99,MMWR_TRAD_AGG_ST_DISTRICT_PEN[],O$1,0),"ERROR")</f>
        <v>76</v>
      </c>
      <c r="P99" s="104">
        <f t="shared" si="11"/>
        <v>0.42458100558659218</v>
      </c>
      <c r="Q99" s="102">
        <f>IFERROR(VLOOKUP($B99,MMWR_TRAD_AGG_ST_DISTRICT_PEN[],Q$1,0),"ERROR")</f>
        <v>2503</v>
      </c>
      <c r="R99" s="106">
        <f>IFERROR(VLOOKUP($B99,MMWR_TRAD_AGG_ST_DISTRICT_PEN[],R$1,0),"ERROR")</f>
        <v>485</v>
      </c>
      <c r="S99" s="106">
        <f>IFERROR(VLOOKUP($B99,MMWR_APP_STATE_PEN[],S$1,0),"ERROR")</f>
        <v>803</v>
      </c>
      <c r="T99" s="28"/>
    </row>
    <row r="100" spans="1:20" s="123" customFormat="1" x14ac:dyDescent="0.25">
      <c r="A100" s="28"/>
      <c r="B100" s="127" t="s">
        <v>421</v>
      </c>
      <c r="C100" s="109">
        <f>IFERROR(VLOOKUP($B100,MMWR_TRAD_AGG_STATE_PEN[],C$1,0),"ERROR")</f>
        <v>162</v>
      </c>
      <c r="D100" s="110">
        <f>IFERROR(VLOOKUP($B100,MMWR_TRAD_AGG_STATE_PEN[],D$1,0),"ERROR")</f>
        <v>77.074074074099997</v>
      </c>
      <c r="E100" s="111">
        <f>IFERROR(VLOOKUP($B100,MMWR_TRAD_AGG_STATE_PEN[],E$1,0),"ERROR")</f>
        <v>198</v>
      </c>
      <c r="F100" s="112">
        <f>IFERROR(VLOOKUP($B100,MMWR_TRAD_AGG_STATE_PEN[],F$1,0),"ERROR")</f>
        <v>9</v>
      </c>
      <c r="G100" s="113">
        <f t="shared" si="8"/>
        <v>4.5454545454545456E-2</v>
      </c>
      <c r="H100" s="111">
        <f>IFERROR(VLOOKUP($B100,MMWR_TRAD_AGG_STATE_PEN[],H$1,0),"ERROR")</f>
        <v>279</v>
      </c>
      <c r="I100" s="112">
        <f>IFERROR(VLOOKUP($B100,MMWR_TRAD_AGG_STATE_PEN[],I$1,0),"ERROR")</f>
        <v>36</v>
      </c>
      <c r="J100" s="114">
        <f t="shared" si="9"/>
        <v>0.12903225806451613</v>
      </c>
      <c r="K100" s="111">
        <f>IFERROR(VLOOKUP($B100,MMWR_TRAD_AGG_STATE_PEN[],K$1,0),"ERROR")</f>
        <v>5</v>
      </c>
      <c r="L100" s="112">
        <f>IFERROR(VLOOKUP($B100,MMWR_TRAD_AGG_STATE_PEN[],L$1,0),"ERROR")</f>
        <v>5</v>
      </c>
      <c r="M100" s="114">
        <f t="shared" si="10"/>
        <v>1</v>
      </c>
      <c r="N100" s="111">
        <f>IFERROR(VLOOKUP($B100,MMWR_TRAD_AGG_STATE_PEN[],N$1,0),"ERROR")</f>
        <v>19</v>
      </c>
      <c r="O100" s="112">
        <f>IFERROR(VLOOKUP($B100,MMWR_TRAD_AGG_STATE_PEN[],O$1,0),"ERROR")</f>
        <v>4</v>
      </c>
      <c r="P100" s="114">
        <f t="shared" si="11"/>
        <v>0.21052631578947367</v>
      </c>
      <c r="Q100" s="115">
        <f>IFERROR(VLOOKUP($B100,MMWR_TRAD_AGG_STATE_PEN[],Q$1,0),"ERROR")</f>
        <v>273</v>
      </c>
      <c r="R100" s="115">
        <f>IFERROR(VLOOKUP($B100,MMWR_TRAD_AGG_STATE_PEN[],R$1,0),"ERROR")</f>
        <v>19</v>
      </c>
      <c r="S100" s="115">
        <f>IFERROR(VLOOKUP($B100,MMWR_APP_STATE_PEN[],S$1,0),"ERROR")</f>
        <v>116</v>
      </c>
      <c r="T100" s="28"/>
    </row>
    <row r="101" spans="1:20" s="123" customFormat="1" x14ac:dyDescent="0.25">
      <c r="A101" s="28"/>
      <c r="B101" s="127" t="s">
        <v>413</v>
      </c>
      <c r="C101" s="109">
        <f>IFERROR(VLOOKUP($B101,MMWR_TRAD_AGG_STATE_PEN[],C$1,0),"ERROR")</f>
        <v>66</v>
      </c>
      <c r="D101" s="110">
        <f>IFERROR(VLOOKUP($B101,MMWR_TRAD_AGG_STATE_PEN[],D$1,0),"ERROR")</f>
        <v>41.484848484799997</v>
      </c>
      <c r="E101" s="111">
        <f>IFERROR(VLOOKUP($B101,MMWR_TRAD_AGG_STATE_PEN[],E$1,0),"ERROR")</f>
        <v>239</v>
      </c>
      <c r="F101" s="112">
        <f>IFERROR(VLOOKUP($B101,MMWR_TRAD_AGG_STATE_PEN[],F$1,0),"ERROR")</f>
        <v>7</v>
      </c>
      <c r="G101" s="113">
        <f t="shared" ref="G101:G127" si="12">IFERROR(F101/E101,"0%")</f>
        <v>2.9288702928870293E-2</v>
      </c>
      <c r="H101" s="111">
        <f>IFERROR(VLOOKUP($B101,MMWR_TRAD_AGG_STATE_PEN[],H$1,0),"ERROR")</f>
        <v>160</v>
      </c>
      <c r="I101" s="112">
        <f>IFERROR(VLOOKUP($B101,MMWR_TRAD_AGG_STATE_PEN[],I$1,0),"ERROR")</f>
        <v>16</v>
      </c>
      <c r="J101" s="114">
        <f t="shared" ref="J101:J127" si="13">IFERROR(I101/H101,"0%")</f>
        <v>0.1</v>
      </c>
      <c r="K101" s="111">
        <f>IFERROR(VLOOKUP($B101,MMWR_TRAD_AGG_STATE_PEN[],K$1,0),"ERROR")</f>
        <v>3</v>
      </c>
      <c r="L101" s="112">
        <f>IFERROR(VLOOKUP($B101,MMWR_TRAD_AGG_STATE_PEN[],L$1,0),"ERROR")</f>
        <v>3</v>
      </c>
      <c r="M101" s="114">
        <f t="shared" ref="M101:M127" si="14">IFERROR(L101/K101,"0%")</f>
        <v>1</v>
      </c>
      <c r="N101" s="111">
        <f>IFERROR(VLOOKUP($B101,MMWR_TRAD_AGG_STATE_PEN[],N$1,0),"ERROR")</f>
        <v>15</v>
      </c>
      <c r="O101" s="112">
        <f>IFERROR(VLOOKUP($B101,MMWR_TRAD_AGG_STATE_PEN[],O$1,0),"ERROR")</f>
        <v>8</v>
      </c>
      <c r="P101" s="114">
        <f t="shared" ref="P101:P127" si="15">IFERROR(O101/N101,"0%")</f>
        <v>0.53333333333333333</v>
      </c>
      <c r="Q101" s="115">
        <f>IFERROR(VLOOKUP($B101,MMWR_TRAD_AGG_STATE_PEN[],Q$1,0),"ERROR")</f>
        <v>225</v>
      </c>
      <c r="R101" s="115">
        <f>IFERROR(VLOOKUP($B101,MMWR_TRAD_AGG_STATE_PEN[],R$1,0),"ERROR")</f>
        <v>43</v>
      </c>
      <c r="S101" s="115">
        <f>IFERROR(VLOOKUP($B101,MMWR_APP_STATE_PEN[],S$1,0),"ERROR")</f>
        <v>47</v>
      </c>
      <c r="T101" s="28"/>
    </row>
    <row r="102" spans="1:20" s="123" customFormat="1" x14ac:dyDescent="0.25">
      <c r="A102" s="28"/>
      <c r="B102" s="127" t="s">
        <v>397</v>
      </c>
      <c r="C102" s="109">
        <f>IFERROR(VLOOKUP($B102,MMWR_TRAD_AGG_STATE_PEN[],C$1,0),"ERROR")</f>
        <v>289</v>
      </c>
      <c r="D102" s="110">
        <f>IFERROR(VLOOKUP($B102,MMWR_TRAD_AGG_STATE_PEN[],D$1,0),"ERROR")</f>
        <v>73.128027681700004</v>
      </c>
      <c r="E102" s="111">
        <f>IFERROR(VLOOKUP($B102,MMWR_TRAD_AGG_STATE_PEN[],E$1,0),"ERROR")</f>
        <v>347</v>
      </c>
      <c r="F102" s="112">
        <f>IFERROR(VLOOKUP($B102,MMWR_TRAD_AGG_STATE_PEN[],F$1,0),"ERROR")</f>
        <v>25</v>
      </c>
      <c r="G102" s="113">
        <f t="shared" si="12"/>
        <v>7.2046109510086456E-2</v>
      </c>
      <c r="H102" s="111">
        <f>IFERROR(VLOOKUP($B102,MMWR_TRAD_AGG_STATE_PEN[],H$1,0),"ERROR")</f>
        <v>471</v>
      </c>
      <c r="I102" s="112">
        <f>IFERROR(VLOOKUP($B102,MMWR_TRAD_AGG_STATE_PEN[],I$1,0),"ERROR")</f>
        <v>52</v>
      </c>
      <c r="J102" s="114">
        <f t="shared" si="13"/>
        <v>0.11040339702760085</v>
      </c>
      <c r="K102" s="111">
        <f>IFERROR(VLOOKUP($B102,MMWR_TRAD_AGG_STATE_PEN[],K$1,0),"ERROR")</f>
        <v>4</v>
      </c>
      <c r="L102" s="112">
        <f>IFERROR(VLOOKUP($B102,MMWR_TRAD_AGG_STATE_PEN[],L$1,0),"ERROR")</f>
        <v>4</v>
      </c>
      <c r="M102" s="114">
        <f t="shared" si="14"/>
        <v>1</v>
      </c>
      <c r="N102" s="111">
        <f>IFERROR(VLOOKUP($B102,MMWR_TRAD_AGG_STATE_PEN[],N$1,0),"ERROR")</f>
        <v>26</v>
      </c>
      <c r="O102" s="112">
        <f>IFERROR(VLOOKUP($B102,MMWR_TRAD_AGG_STATE_PEN[],O$1,0),"ERROR")</f>
        <v>9</v>
      </c>
      <c r="P102" s="114">
        <f t="shared" si="15"/>
        <v>0.34615384615384615</v>
      </c>
      <c r="Q102" s="115">
        <f>IFERROR(VLOOKUP($B102,MMWR_TRAD_AGG_STATE_PEN[],Q$1,0),"ERROR")</f>
        <v>225</v>
      </c>
      <c r="R102" s="115">
        <f>IFERROR(VLOOKUP($B102,MMWR_TRAD_AGG_STATE_PEN[],R$1,0),"ERROR")</f>
        <v>35</v>
      </c>
      <c r="S102" s="115">
        <f>IFERROR(VLOOKUP($B102,MMWR_APP_STATE_PEN[],S$1,0),"ERROR")</f>
        <v>138</v>
      </c>
      <c r="T102" s="28"/>
    </row>
    <row r="103" spans="1:20" s="123" customFormat="1" x14ac:dyDescent="0.25">
      <c r="A103" s="28"/>
      <c r="B103" s="127" t="s">
        <v>399</v>
      </c>
      <c r="C103" s="109">
        <f>IFERROR(VLOOKUP($B103,MMWR_TRAD_AGG_STATE_PEN[],C$1,0),"ERROR")</f>
        <v>177</v>
      </c>
      <c r="D103" s="110">
        <f>IFERROR(VLOOKUP($B103,MMWR_TRAD_AGG_STATE_PEN[],D$1,0),"ERROR")</f>
        <v>87.858757062099997</v>
      </c>
      <c r="E103" s="111">
        <f>IFERROR(VLOOKUP($B103,MMWR_TRAD_AGG_STATE_PEN[],E$1,0),"ERROR")</f>
        <v>217</v>
      </c>
      <c r="F103" s="112">
        <f>IFERROR(VLOOKUP($B103,MMWR_TRAD_AGG_STATE_PEN[],F$1,0),"ERROR")</f>
        <v>21</v>
      </c>
      <c r="G103" s="113">
        <f t="shared" si="12"/>
        <v>9.6774193548387094E-2</v>
      </c>
      <c r="H103" s="111">
        <f>IFERROR(VLOOKUP($B103,MMWR_TRAD_AGG_STATE_PEN[],H$1,0),"ERROR")</f>
        <v>309</v>
      </c>
      <c r="I103" s="112">
        <f>IFERROR(VLOOKUP($B103,MMWR_TRAD_AGG_STATE_PEN[],I$1,0),"ERROR")</f>
        <v>50</v>
      </c>
      <c r="J103" s="114">
        <f t="shared" si="13"/>
        <v>0.16181229773462782</v>
      </c>
      <c r="K103" s="111">
        <f>IFERROR(VLOOKUP($B103,MMWR_TRAD_AGG_STATE_PEN[],K$1,0),"ERROR")</f>
        <v>10</v>
      </c>
      <c r="L103" s="112">
        <f>IFERROR(VLOOKUP($B103,MMWR_TRAD_AGG_STATE_PEN[],L$1,0),"ERROR")</f>
        <v>10</v>
      </c>
      <c r="M103" s="114">
        <f t="shared" si="14"/>
        <v>1</v>
      </c>
      <c r="N103" s="111">
        <f>IFERROR(VLOOKUP($B103,MMWR_TRAD_AGG_STATE_PEN[],N$1,0),"ERROR")</f>
        <v>38</v>
      </c>
      <c r="O103" s="112">
        <f>IFERROR(VLOOKUP($B103,MMWR_TRAD_AGG_STATE_PEN[],O$1,0),"ERROR")</f>
        <v>10</v>
      </c>
      <c r="P103" s="114">
        <f t="shared" si="15"/>
        <v>0.26315789473684209</v>
      </c>
      <c r="Q103" s="115">
        <f>IFERROR(VLOOKUP($B103,MMWR_TRAD_AGG_STATE_PEN[],Q$1,0),"ERROR")</f>
        <v>262</v>
      </c>
      <c r="R103" s="115">
        <f>IFERROR(VLOOKUP($B103,MMWR_TRAD_AGG_STATE_PEN[],R$1,0),"ERROR")</f>
        <v>29</v>
      </c>
      <c r="S103" s="115">
        <f>IFERROR(VLOOKUP($B103,MMWR_APP_STATE_PEN[],S$1,0),"ERROR")</f>
        <v>113</v>
      </c>
      <c r="T103" s="28"/>
    </row>
    <row r="104" spans="1:20" s="123" customFormat="1" x14ac:dyDescent="0.25">
      <c r="A104" s="28"/>
      <c r="B104" s="127" t="s">
        <v>428</v>
      </c>
      <c r="C104" s="109">
        <f>IFERROR(VLOOKUP($B104,MMWR_TRAD_AGG_STATE_PEN[],C$1,0),"ERROR")</f>
        <v>22</v>
      </c>
      <c r="D104" s="110">
        <f>IFERROR(VLOOKUP($B104,MMWR_TRAD_AGG_STATE_PEN[],D$1,0),"ERROR")</f>
        <v>19.9545454545</v>
      </c>
      <c r="E104" s="111">
        <f>IFERROR(VLOOKUP($B104,MMWR_TRAD_AGG_STATE_PEN[],E$1,0),"ERROR")</f>
        <v>72</v>
      </c>
      <c r="F104" s="112">
        <f>IFERROR(VLOOKUP($B104,MMWR_TRAD_AGG_STATE_PEN[],F$1,0),"ERROR")</f>
        <v>1</v>
      </c>
      <c r="G104" s="113">
        <f t="shared" si="12"/>
        <v>1.3888888888888888E-2</v>
      </c>
      <c r="H104" s="111">
        <f>IFERROR(VLOOKUP($B104,MMWR_TRAD_AGG_STATE_PEN[],H$1,0),"ERROR")</f>
        <v>44</v>
      </c>
      <c r="I104" s="112">
        <f>IFERROR(VLOOKUP($B104,MMWR_TRAD_AGG_STATE_PEN[],I$1,0),"ERROR")</f>
        <v>2</v>
      </c>
      <c r="J104" s="114">
        <f t="shared" si="13"/>
        <v>4.5454545454545456E-2</v>
      </c>
      <c r="K104" s="111">
        <f>IFERROR(VLOOKUP($B104,MMWR_TRAD_AGG_STATE_PEN[],K$1,0),"ERROR")</f>
        <v>0</v>
      </c>
      <c r="L104" s="112">
        <f>IFERROR(VLOOKUP($B104,MMWR_TRAD_AGG_STATE_PEN[],L$1,0),"ERROR")</f>
        <v>0</v>
      </c>
      <c r="M104" s="114" t="str">
        <f t="shared" si="14"/>
        <v>0%</v>
      </c>
      <c r="N104" s="111">
        <f>IFERROR(VLOOKUP($B104,MMWR_TRAD_AGG_STATE_PEN[],N$1,0),"ERROR")</f>
        <v>3</v>
      </c>
      <c r="O104" s="112">
        <f>IFERROR(VLOOKUP($B104,MMWR_TRAD_AGG_STATE_PEN[],O$1,0),"ERROR")</f>
        <v>0</v>
      </c>
      <c r="P104" s="114">
        <f t="shared" si="15"/>
        <v>0</v>
      </c>
      <c r="Q104" s="115">
        <f>IFERROR(VLOOKUP($B104,MMWR_TRAD_AGG_STATE_PEN[],Q$1,0),"ERROR")</f>
        <v>73</v>
      </c>
      <c r="R104" s="115">
        <f>IFERROR(VLOOKUP($B104,MMWR_TRAD_AGG_STATE_PEN[],R$1,0),"ERROR")</f>
        <v>5</v>
      </c>
      <c r="S104" s="115">
        <f>IFERROR(VLOOKUP($B104,MMWR_APP_STATE_PEN[],S$1,0),"ERROR")</f>
        <v>3</v>
      </c>
      <c r="T104" s="28"/>
    </row>
    <row r="105" spans="1:20" s="123" customFormat="1" x14ac:dyDescent="0.25">
      <c r="A105" s="28"/>
      <c r="B105" s="127" t="s">
        <v>422</v>
      </c>
      <c r="C105" s="109">
        <f>IFERROR(VLOOKUP($B105,MMWR_TRAD_AGG_STATE_PEN[],C$1,0),"ERROR")</f>
        <v>90</v>
      </c>
      <c r="D105" s="110">
        <f>IFERROR(VLOOKUP($B105,MMWR_TRAD_AGG_STATE_PEN[],D$1,0),"ERROR")</f>
        <v>37.944444444399998</v>
      </c>
      <c r="E105" s="111">
        <f>IFERROR(VLOOKUP($B105,MMWR_TRAD_AGG_STATE_PEN[],E$1,0),"ERROR")</f>
        <v>249</v>
      </c>
      <c r="F105" s="112">
        <f>IFERROR(VLOOKUP($B105,MMWR_TRAD_AGG_STATE_PEN[],F$1,0),"ERROR")</f>
        <v>9</v>
      </c>
      <c r="G105" s="113">
        <f t="shared" si="12"/>
        <v>3.614457831325301E-2</v>
      </c>
      <c r="H105" s="111">
        <f>IFERROR(VLOOKUP($B105,MMWR_TRAD_AGG_STATE_PEN[],H$1,0),"ERROR")</f>
        <v>170</v>
      </c>
      <c r="I105" s="112">
        <f>IFERROR(VLOOKUP($B105,MMWR_TRAD_AGG_STATE_PEN[],I$1,0),"ERROR")</f>
        <v>8</v>
      </c>
      <c r="J105" s="114">
        <f t="shared" si="13"/>
        <v>4.7058823529411764E-2</v>
      </c>
      <c r="K105" s="111">
        <f>IFERROR(VLOOKUP($B105,MMWR_TRAD_AGG_STATE_PEN[],K$1,0),"ERROR")</f>
        <v>2</v>
      </c>
      <c r="L105" s="112">
        <f>IFERROR(VLOOKUP($B105,MMWR_TRAD_AGG_STATE_PEN[],L$1,0),"ERROR")</f>
        <v>2</v>
      </c>
      <c r="M105" s="114">
        <f t="shared" si="14"/>
        <v>1</v>
      </c>
      <c r="N105" s="111">
        <f>IFERROR(VLOOKUP($B105,MMWR_TRAD_AGG_STATE_PEN[],N$1,0),"ERROR")</f>
        <v>14</v>
      </c>
      <c r="O105" s="112">
        <f>IFERROR(VLOOKUP($B105,MMWR_TRAD_AGG_STATE_PEN[],O$1,0),"ERROR")</f>
        <v>6</v>
      </c>
      <c r="P105" s="114">
        <f t="shared" si="15"/>
        <v>0.42857142857142855</v>
      </c>
      <c r="Q105" s="115">
        <f>IFERROR(VLOOKUP($B105,MMWR_TRAD_AGG_STATE_PEN[],Q$1,0),"ERROR")</f>
        <v>359</v>
      </c>
      <c r="R105" s="115">
        <f>IFERROR(VLOOKUP($B105,MMWR_TRAD_AGG_STATE_PEN[],R$1,0),"ERROR")</f>
        <v>61</v>
      </c>
      <c r="S105" s="115">
        <f>IFERROR(VLOOKUP($B105,MMWR_APP_STATE_PEN[],S$1,0),"ERROR")</f>
        <v>79</v>
      </c>
      <c r="T105" s="28"/>
    </row>
    <row r="106" spans="1:20" s="123" customFormat="1" x14ac:dyDescent="0.25">
      <c r="A106" s="28"/>
      <c r="B106" s="127" t="s">
        <v>420</v>
      </c>
      <c r="C106" s="109">
        <f>IFERROR(VLOOKUP($B106,MMWR_TRAD_AGG_STATE_PEN[],C$1,0),"ERROR")</f>
        <v>466</v>
      </c>
      <c r="D106" s="110">
        <f>IFERROR(VLOOKUP($B106,MMWR_TRAD_AGG_STATE_PEN[],D$1,0),"ERROR")</f>
        <v>44.828326180300003</v>
      </c>
      <c r="E106" s="111">
        <f>IFERROR(VLOOKUP($B106,MMWR_TRAD_AGG_STATE_PEN[],E$1,0),"ERROR")</f>
        <v>1384</v>
      </c>
      <c r="F106" s="112">
        <f>IFERROR(VLOOKUP($B106,MMWR_TRAD_AGG_STATE_PEN[],F$1,0),"ERROR")</f>
        <v>39</v>
      </c>
      <c r="G106" s="113">
        <f t="shared" si="12"/>
        <v>2.8179190751445087E-2</v>
      </c>
      <c r="H106" s="111">
        <f>IFERROR(VLOOKUP($B106,MMWR_TRAD_AGG_STATE_PEN[],H$1,0),"ERROR")</f>
        <v>972</v>
      </c>
      <c r="I106" s="112">
        <f>IFERROR(VLOOKUP($B106,MMWR_TRAD_AGG_STATE_PEN[],I$1,0),"ERROR")</f>
        <v>88</v>
      </c>
      <c r="J106" s="114">
        <f t="shared" si="13"/>
        <v>9.0534979423868317E-2</v>
      </c>
      <c r="K106" s="111">
        <f>IFERROR(VLOOKUP($B106,MMWR_TRAD_AGG_STATE_PEN[],K$1,0),"ERROR")</f>
        <v>12</v>
      </c>
      <c r="L106" s="112">
        <f>IFERROR(VLOOKUP($B106,MMWR_TRAD_AGG_STATE_PEN[],L$1,0),"ERROR")</f>
        <v>11</v>
      </c>
      <c r="M106" s="114">
        <f t="shared" si="14"/>
        <v>0.91666666666666663</v>
      </c>
      <c r="N106" s="111">
        <f>IFERROR(VLOOKUP($B106,MMWR_TRAD_AGG_STATE_PEN[],N$1,0),"ERROR")</f>
        <v>58</v>
      </c>
      <c r="O106" s="112">
        <f>IFERROR(VLOOKUP($B106,MMWR_TRAD_AGG_STATE_PEN[],O$1,0),"ERROR")</f>
        <v>33</v>
      </c>
      <c r="P106" s="114">
        <f t="shared" si="15"/>
        <v>0.56896551724137934</v>
      </c>
      <c r="Q106" s="115">
        <f>IFERROR(VLOOKUP($B106,MMWR_TRAD_AGG_STATE_PEN[],Q$1,0),"ERROR")</f>
        <v>941</v>
      </c>
      <c r="R106" s="115">
        <f>IFERROR(VLOOKUP($B106,MMWR_TRAD_AGG_STATE_PEN[],R$1,0),"ERROR")</f>
        <v>271</v>
      </c>
      <c r="S106" s="115">
        <f>IFERROR(VLOOKUP($B106,MMWR_APP_STATE_PEN[],S$1,0),"ERROR")</f>
        <v>284</v>
      </c>
      <c r="T106" s="28"/>
    </row>
    <row r="107" spans="1:20" s="123" customFormat="1" x14ac:dyDescent="0.25">
      <c r="A107" s="28"/>
      <c r="B107" s="127" t="s">
        <v>416</v>
      </c>
      <c r="C107" s="109">
        <f>IFERROR(VLOOKUP($B107,MMWR_TRAD_AGG_STATE_PEN[],C$1,0),"ERROR")</f>
        <v>36</v>
      </c>
      <c r="D107" s="110">
        <f>IFERROR(VLOOKUP($B107,MMWR_TRAD_AGG_STATE_PEN[],D$1,0),"ERROR")</f>
        <v>44.138888888899999</v>
      </c>
      <c r="E107" s="111">
        <f>IFERROR(VLOOKUP($B107,MMWR_TRAD_AGG_STATE_PEN[],E$1,0),"ERROR")</f>
        <v>159</v>
      </c>
      <c r="F107" s="112">
        <f>IFERROR(VLOOKUP($B107,MMWR_TRAD_AGG_STATE_PEN[],F$1,0),"ERROR")</f>
        <v>5</v>
      </c>
      <c r="G107" s="113">
        <f t="shared" si="12"/>
        <v>3.1446540880503145E-2</v>
      </c>
      <c r="H107" s="111">
        <f>IFERROR(VLOOKUP($B107,MMWR_TRAD_AGG_STATE_PEN[],H$1,0),"ERROR")</f>
        <v>75</v>
      </c>
      <c r="I107" s="112">
        <f>IFERROR(VLOOKUP($B107,MMWR_TRAD_AGG_STATE_PEN[],I$1,0),"ERROR")</f>
        <v>6</v>
      </c>
      <c r="J107" s="114">
        <f t="shared" si="13"/>
        <v>0.08</v>
      </c>
      <c r="K107" s="111">
        <f>IFERROR(VLOOKUP($B107,MMWR_TRAD_AGG_STATE_PEN[],K$1,0),"ERROR")</f>
        <v>0</v>
      </c>
      <c r="L107" s="112">
        <f>IFERROR(VLOOKUP($B107,MMWR_TRAD_AGG_STATE_PEN[],L$1,0),"ERROR")</f>
        <v>0</v>
      </c>
      <c r="M107" s="114" t="str">
        <f t="shared" si="14"/>
        <v>0%</v>
      </c>
      <c r="N107" s="111">
        <f>IFERROR(VLOOKUP($B107,MMWR_TRAD_AGG_STATE_PEN[],N$1,0),"ERROR")</f>
        <v>5</v>
      </c>
      <c r="O107" s="112">
        <f>IFERROR(VLOOKUP($B107,MMWR_TRAD_AGG_STATE_PEN[],O$1,0),"ERROR")</f>
        <v>5</v>
      </c>
      <c r="P107" s="114">
        <f t="shared" si="15"/>
        <v>1</v>
      </c>
      <c r="Q107" s="115">
        <f>IFERROR(VLOOKUP($B107,MMWR_TRAD_AGG_STATE_PEN[],Q$1,0),"ERROR")</f>
        <v>106</v>
      </c>
      <c r="R107" s="115">
        <f>IFERROR(VLOOKUP($B107,MMWR_TRAD_AGG_STATE_PEN[],R$1,0),"ERROR")</f>
        <v>18</v>
      </c>
      <c r="S107" s="115">
        <f>IFERROR(VLOOKUP($B107,MMWR_APP_STATE_PEN[],S$1,0),"ERROR")</f>
        <v>18</v>
      </c>
      <c r="T107" s="28"/>
    </row>
    <row r="108" spans="1:20" s="123" customFormat="1" x14ac:dyDescent="0.25">
      <c r="A108" s="28"/>
      <c r="B108" s="127" t="s">
        <v>431</v>
      </c>
      <c r="C108" s="109">
        <f>IFERROR(VLOOKUP($B108,MMWR_TRAD_AGG_STATE_PEN[],C$1,0),"ERROR")</f>
        <v>6</v>
      </c>
      <c r="D108" s="110">
        <f>IFERROR(VLOOKUP($B108,MMWR_TRAD_AGG_STATE_PEN[],D$1,0),"ERROR")</f>
        <v>29.833333333300001</v>
      </c>
      <c r="E108" s="111">
        <f>IFERROR(VLOOKUP($B108,MMWR_TRAD_AGG_STATE_PEN[],E$1,0),"ERROR")</f>
        <v>29</v>
      </c>
      <c r="F108" s="112">
        <f>IFERROR(VLOOKUP($B108,MMWR_TRAD_AGG_STATE_PEN[],F$1,0),"ERROR")</f>
        <v>0</v>
      </c>
      <c r="G108" s="113">
        <f t="shared" si="12"/>
        <v>0</v>
      </c>
      <c r="H108" s="111">
        <f>IFERROR(VLOOKUP($B108,MMWR_TRAD_AGG_STATE_PEN[],H$1,0),"ERROR")</f>
        <v>19</v>
      </c>
      <c r="I108" s="112">
        <f>IFERROR(VLOOKUP($B108,MMWR_TRAD_AGG_STATE_PEN[],I$1,0),"ERROR")</f>
        <v>3</v>
      </c>
      <c r="J108" s="114">
        <f t="shared" si="13"/>
        <v>0.15789473684210525</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1</v>
      </c>
      <c r="P108" s="114">
        <f t="shared" si="15"/>
        <v>1</v>
      </c>
      <c r="Q108" s="115">
        <f>IFERROR(VLOOKUP($B108,MMWR_TRAD_AGG_STATE_PEN[],Q$1,0),"ERROR")</f>
        <v>39</v>
      </c>
      <c r="R108" s="115">
        <f>IFERROR(VLOOKUP($B108,MMWR_TRAD_AGG_STATE_PEN[],R$1,0),"ERROR")</f>
        <v>4</v>
      </c>
      <c r="S108" s="115">
        <f>IFERROR(VLOOKUP($B108,MMWR_APP_STATE_PEN[],S$1,0),"ERROR")</f>
        <v>5</v>
      </c>
      <c r="T108" s="28"/>
    </row>
    <row r="109" spans="1:20" s="123" customFormat="1" x14ac:dyDescent="0.25">
      <c r="A109" s="28"/>
      <c r="B109" s="126" t="s">
        <v>414</v>
      </c>
      <c r="C109" s="102">
        <f>IFERROR(VLOOKUP($B109,MMWR_TRAD_AGG_ST_DISTRICT_PEN[],C$1,0),"ERROR")</f>
        <v>975</v>
      </c>
      <c r="D109" s="103">
        <f>IFERROR(VLOOKUP($B109,MMWR_TRAD_AGG_ST_DISTRICT_PEN[],D$1,0),"ERROR")</f>
        <v>42.965128205100001</v>
      </c>
      <c r="E109" s="102">
        <f>IFERROR(VLOOKUP($B109,MMWR_TRAD_AGG_ST_DISTRICT_PEN[],E$1,0),"ERROR")</f>
        <v>3803</v>
      </c>
      <c r="F109" s="102">
        <f>IFERROR(VLOOKUP($B109,MMWR_TRAD_AGG_ST_DISTRICT_PEN[],F$1,0),"ERROR")</f>
        <v>131</v>
      </c>
      <c r="G109" s="104">
        <f t="shared" si="12"/>
        <v>3.4446489613463055E-2</v>
      </c>
      <c r="H109" s="102">
        <f>IFERROR(VLOOKUP($B109,MMWR_TRAD_AGG_ST_DISTRICT_PEN[],H$1,0),"ERROR")</f>
        <v>1868</v>
      </c>
      <c r="I109" s="102">
        <f>IFERROR(VLOOKUP($B109,MMWR_TRAD_AGG_ST_DISTRICT_PEN[],I$1,0),"ERROR")</f>
        <v>146</v>
      </c>
      <c r="J109" s="104">
        <f t="shared" si="13"/>
        <v>7.8158458244111342E-2</v>
      </c>
      <c r="K109" s="102">
        <f>IFERROR(VLOOKUP($B109,MMWR_TRAD_AGG_ST_DISTRICT_PEN[],K$1,0),"ERROR")</f>
        <v>21</v>
      </c>
      <c r="L109" s="102">
        <f>IFERROR(VLOOKUP($B109,MMWR_TRAD_AGG_ST_DISTRICT_PEN[],L$1,0),"ERROR")</f>
        <v>19</v>
      </c>
      <c r="M109" s="104">
        <f t="shared" si="14"/>
        <v>0.90476190476190477</v>
      </c>
      <c r="N109" s="102">
        <f>IFERROR(VLOOKUP($B109,MMWR_TRAD_AGG_ST_DISTRICT_PEN[],N$1,0),"ERROR")</f>
        <v>135</v>
      </c>
      <c r="O109" s="102">
        <f>IFERROR(VLOOKUP($B109,MMWR_TRAD_AGG_ST_DISTRICT_PEN[],O$1,0),"ERROR")</f>
        <v>71</v>
      </c>
      <c r="P109" s="104">
        <f t="shared" si="15"/>
        <v>0.52592592592592591</v>
      </c>
      <c r="Q109" s="102">
        <f>IFERROR(VLOOKUP($B109,MMWR_TRAD_AGG_ST_DISTRICT_PEN[],Q$1,0),"ERROR")</f>
        <v>2037</v>
      </c>
      <c r="R109" s="106">
        <f>IFERROR(VLOOKUP($B109,MMWR_TRAD_AGG_ST_DISTRICT_PEN[],R$1,0),"ERROR")</f>
        <v>570</v>
      </c>
      <c r="S109" s="106">
        <f>IFERROR(VLOOKUP($B109,MMWR_APP_STATE_PEN[],S$1,0),"ERROR")</f>
        <v>520</v>
      </c>
      <c r="T109" s="28"/>
    </row>
    <row r="110" spans="1:20" s="123" customFormat="1" x14ac:dyDescent="0.25">
      <c r="A110" s="28"/>
      <c r="B110" s="127" t="s">
        <v>434</v>
      </c>
      <c r="C110" s="109">
        <f>IFERROR(VLOOKUP($B110,MMWR_TRAD_AGG_STATE_PEN[],C$1,0),"ERROR")</f>
        <v>5</v>
      </c>
      <c r="D110" s="110">
        <f>IFERROR(VLOOKUP($B110,MMWR_TRAD_AGG_STATE_PEN[],D$1,0),"ERROR")</f>
        <v>18.399999999999999</v>
      </c>
      <c r="E110" s="111">
        <f>IFERROR(VLOOKUP($B110,MMWR_TRAD_AGG_STATE_PEN[],E$1,0),"ERROR")</f>
        <v>9</v>
      </c>
      <c r="F110" s="112">
        <f>IFERROR(VLOOKUP($B110,MMWR_TRAD_AGG_STATE_PEN[],F$1,0),"ERROR")</f>
        <v>0</v>
      </c>
      <c r="G110" s="113">
        <f t="shared" si="12"/>
        <v>0</v>
      </c>
      <c r="H110" s="111">
        <f>IFERROR(VLOOKUP($B110,MMWR_TRAD_AGG_STATE_PEN[],H$1,0),"ERROR")</f>
        <v>16</v>
      </c>
      <c r="I110" s="112">
        <f>IFERROR(VLOOKUP($B110,MMWR_TRAD_AGG_STATE_PEN[],I$1,0),"ERROR")</f>
        <v>1</v>
      </c>
      <c r="J110" s="114">
        <f t="shared" si="13"/>
        <v>6.25E-2</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30</v>
      </c>
      <c r="R110" s="115">
        <f>IFERROR(VLOOKUP($B110,MMWR_TRAD_AGG_STATE_PEN[],R$1,0),"ERROR")</f>
        <v>7</v>
      </c>
      <c r="S110" s="115">
        <f>IFERROR(VLOOKUP($B110,MMWR_APP_STATE_PEN[],S$1,0),"ERROR")</f>
        <v>5</v>
      </c>
      <c r="T110" s="28"/>
    </row>
    <row r="111" spans="1:20" s="123" customFormat="1" x14ac:dyDescent="0.25">
      <c r="A111" s="28"/>
      <c r="B111" s="127" t="s">
        <v>436</v>
      </c>
      <c r="C111" s="109">
        <f>IFERROR(VLOOKUP($B111,MMWR_TRAD_AGG_STATE_PEN[],C$1,0),"ERROR")</f>
        <v>129</v>
      </c>
      <c r="D111" s="110">
        <f>IFERROR(VLOOKUP($B111,MMWR_TRAD_AGG_STATE_PEN[],D$1,0),"ERROR")</f>
        <v>40.945736434099999</v>
      </c>
      <c r="E111" s="111">
        <f>IFERROR(VLOOKUP($B111,MMWR_TRAD_AGG_STATE_PEN[],E$1,0),"ERROR")</f>
        <v>494</v>
      </c>
      <c r="F111" s="112">
        <f>IFERROR(VLOOKUP($B111,MMWR_TRAD_AGG_STATE_PEN[],F$1,0),"ERROR")</f>
        <v>22</v>
      </c>
      <c r="G111" s="113">
        <f t="shared" si="12"/>
        <v>4.4534412955465584E-2</v>
      </c>
      <c r="H111" s="111">
        <f>IFERROR(VLOOKUP($B111,MMWR_TRAD_AGG_STATE_PEN[],H$1,0),"ERROR")</f>
        <v>220</v>
      </c>
      <c r="I111" s="112">
        <f>IFERROR(VLOOKUP($B111,MMWR_TRAD_AGG_STATE_PEN[],I$1,0),"ERROR")</f>
        <v>15</v>
      </c>
      <c r="J111" s="114">
        <f t="shared" si="13"/>
        <v>6.8181818181818177E-2</v>
      </c>
      <c r="K111" s="111">
        <f>IFERROR(VLOOKUP($B111,MMWR_TRAD_AGG_STATE_PEN[],K$1,0),"ERROR")</f>
        <v>4</v>
      </c>
      <c r="L111" s="112">
        <f>IFERROR(VLOOKUP($B111,MMWR_TRAD_AGG_STATE_PEN[],L$1,0),"ERROR")</f>
        <v>4</v>
      </c>
      <c r="M111" s="114">
        <f t="shared" si="14"/>
        <v>1</v>
      </c>
      <c r="N111" s="111">
        <f>IFERROR(VLOOKUP($B111,MMWR_TRAD_AGG_STATE_PEN[],N$1,0),"ERROR")</f>
        <v>14</v>
      </c>
      <c r="O111" s="112">
        <f>IFERROR(VLOOKUP($B111,MMWR_TRAD_AGG_STATE_PEN[],O$1,0),"ERROR")</f>
        <v>4</v>
      </c>
      <c r="P111" s="114">
        <f t="shared" si="15"/>
        <v>0.2857142857142857</v>
      </c>
      <c r="Q111" s="115">
        <f>IFERROR(VLOOKUP($B111,MMWR_TRAD_AGG_STATE_PEN[],Q$1,0),"ERROR")</f>
        <v>262</v>
      </c>
      <c r="R111" s="115">
        <f>IFERROR(VLOOKUP($B111,MMWR_TRAD_AGG_STATE_PEN[],R$1,0),"ERROR")</f>
        <v>69</v>
      </c>
      <c r="S111" s="115">
        <f>IFERROR(VLOOKUP($B111,MMWR_APP_STATE_PEN[],S$1,0),"ERROR")</f>
        <v>58</v>
      </c>
      <c r="T111" s="28"/>
    </row>
    <row r="112" spans="1:20" s="123" customFormat="1" x14ac:dyDescent="0.25">
      <c r="A112" s="28"/>
      <c r="B112" s="127" t="s">
        <v>417</v>
      </c>
      <c r="C112" s="109">
        <f>IFERROR(VLOOKUP($B112,MMWR_TRAD_AGG_STATE_PEN[],C$1,0),"ERROR")</f>
        <v>526</v>
      </c>
      <c r="D112" s="110">
        <f>IFERROR(VLOOKUP($B112,MMWR_TRAD_AGG_STATE_PEN[],D$1,0),"ERROR")</f>
        <v>40.878326996200002</v>
      </c>
      <c r="E112" s="111">
        <f>IFERROR(VLOOKUP($B112,MMWR_TRAD_AGG_STATE_PEN[],E$1,0),"ERROR")</f>
        <v>2106</v>
      </c>
      <c r="F112" s="112">
        <f>IFERROR(VLOOKUP($B112,MMWR_TRAD_AGG_STATE_PEN[],F$1,0),"ERROR")</f>
        <v>59</v>
      </c>
      <c r="G112" s="113">
        <f t="shared" si="12"/>
        <v>2.8015194681861349E-2</v>
      </c>
      <c r="H112" s="111">
        <f>IFERROR(VLOOKUP($B112,MMWR_TRAD_AGG_STATE_PEN[],H$1,0),"ERROR")</f>
        <v>966</v>
      </c>
      <c r="I112" s="112">
        <f>IFERROR(VLOOKUP($B112,MMWR_TRAD_AGG_STATE_PEN[],I$1,0),"ERROR")</f>
        <v>66</v>
      </c>
      <c r="J112" s="114">
        <f t="shared" si="13"/>
        <v>6.8322981366459631E-2</v>
      </c>
      <c r="K112" s="111">
        <f>IFERROR(VLOOKUP($B112,MMWR_TRAD_AGG_STATE_PEN[],K$1,0),"ERROR")</f>
        <v>11</v>
      </c>
      <c r="L112" s="112">
        <f>IFERROR(VLOOKUP($B112,MMWR_TRAD_AGG_STATE_PEN[],L$1,0),"ERROR")</f>
        <v>10</v>
      </c>
      <c r="M112" s="114">
        <f t="shared" si="14"/>
        <v>0.90909090909090906</v>
      </c>
      <c r="N112" s="111">
        <f>IFERROR(VLOOKUP($B112,MMWR_TRAD_AGG_STATE_PEN[],N$1,0),"ERROR")</f>
        <v>80</v>
      </c>
      <c r="O112" s="112">
        <f>IFERROR(VLOOKUP($B112,MMWR_TRAD_AGG_STATE_PEN[],O$1,0),"ERROR")</f>
        <v>43</v>
      </c>
      <c r="P112" s="114">
        <f t="shared" si="15"/>
        <v>0.53749999999999998</v>
      </c>
      <c r="Q112" s="115">
        <f>IFERROR(VLOOKUP($B112,MMWR_TRAD_AGG_STATE_PEN[],Q$1,0),"ERROR")</f>
        <v>909</v>
      </c>
      <c r="R112" s="115">
        <f>IFERROR(VLOOKUP($B112,MMWR_TRAD_AGG_STATE_PEN[],R$1,0),"ERROR")</f>
        <v>302</v>
      </c>
      <c r="S112" s="115">
        <f>IFERROR(VLOOKUP($B112,MMWR_APP_STATE_PEN[],S$1,0),"ERROR")</f>
        <v>258</v>
      </c>
      <c r="T112" s="28"/>
    </row>
    <row r="113" spans="1:20" s="123" customFormat="1" x14ac:dyDescent="0.25">
      <c r="A113" s="28"/>
      <c r="B113" s="127" t="s">
        <v>438</v>
      </c>
      <c r="C113" s="109">
        <f>IFERROR(VLOOKUP($B113,MMWR_TRAD_AGG_STATE_PEN[],C$1,0),"ERROR")</f>
        <v>15</v>
      </c>
      <c r="D113" s="110">
        <f>IFERROR(VLOOKUP($B113,MMWR_TRAD_AGG_STATE_PEN[],D$1,0),"ERROR")</f>
        <v>78.866666666699999</v>
      </c>
      <c r="E113" s="111">
        <f>IFERROR(VLOOKUP($B113,MMWR_TRAD_AGG_STATE_PEN[],E$1,0),"ERROR")</f>
        <v>25</v>
      </c>
      <c r="F113" s="112">
        <f>IFERROR(VLOOKUP($B113,MMWR_TRAD_AGG_STATE_PEN[],F$1,0),"ERROR")</f>
        <v>0</v>
      </c>
      <c r="G113" s="113">
        <f t="shared" si="12"/>
        <v>0</v>
      </c>
      <c r="H113" s="111">
        <f>IFERROR(VLOOKUP($B113,MMWR_TRAD_AGG_STATE_PEN[],H$1,0),"ERROR")</f>
        <v>25</v>
      </c>
      <c r="I113" s="112">
        <f>IFERROR(VLOOKUP($B113,MMWR_TRAD_AGG_STATE_PEN[],I$1,0),"ERROR")</f>
        <v>5</v>
      </c>
      <c r="J113" s="114">
        <f t="shared" si="13"/>
        <v>0.2</v>
      </c>
      <c r="K113" s="111">
        <f>IFERROR(VLOOKUP($B113,MMWR_TRAD_AGG_STATE_PEN[],K$1,0),"ERROR")</f>
        <v>3</v>
      </c>
      <c r="L113" s="112">
        <f>IFERROR(VLOOKUP($B113,MMWR_TRAD_AGG_STATE_PEN[],L$1,0),"ERROR")</f>
        <v>2</v>
      </c>
      <c r="M113" s="114">
        <f t="shared" si="14"/>
        <v>0.66666666666666663</v>
      </c>
      <c r="N113" s="111">
        <f>IFERROR(VLOOKUP($B113,MMWR_TRAD_AGG_STATE_PEN[],N$1,0),"ERROR")</f>
        <v>0</v>
      </c>
      <c r="O113" s="112">
        <f>IFERROR(VLOOKUP($B113,MMWR_TRAD_AGG_STATE_PEN[],O$1,0),"ERROR")</f>
        <v>0</v>
      </c>
      <c r="P113" s="114" t="str">
        <f t="shared" si="15"/>
        <v>0%</v>
      </c>
      <c r="Q113" s="115">
        <f>IFERROR(VLOOKUP($B113,MMWR_TRAD_AGG_STATE_PEN[],Q$1,0),"ERROR")</f>
        <v>39</v>
      </c>
      <c r="R113" s="115">
        <f>IFERROR(VLOOKUP($B113,MMWR_TRAD_AGG_STATE_PEN[],R$1,0),"ERROR")</f>
        <v>6</v>
      </c>
      <c r="S113" s="115">
        <f>IFERROR(VLOOKUP($B113,MMWR_APP_STATE_PEN[],S$1,0),"ERROR")</f>
        <v>12</v>
      </c>
      <c r="T113" s="28"/>
    </row>
    <row r="114" spans="1:20" s="123" customFormat="1" x14ac:dyDescent="0.25">
      <c r="A114" s="28"/>
      <c r="B114" s="127" t="s">
        <v>418</v>
      </c>
      <c r="C114" s="109">
        <f>IFERROR(VLOOKUP($B114,MMWR_TRAD_AGG_STATE_PEN[],C$1,0),"ERROR")</f>
        <v>33</v>
      </c>
      <c r="D114" s="110">
        <f>IFERROR(VLOOKUP($B114,MMWR_TRAD_AGG_STATE_PEN[],D$1,0),"ERROR")</f>
        <v>28.909090909100001</v>
      </c>
      <c r="E114" s="111">
        <f>IFERROR(VLOOKUP($B114,MMWR_TRAD_AGG_STATE_PEN[],E$1,0),"ERROR")</f>
        <v>86</v>
      </c>
      <c r="F114" s="112">
        <f>IFERROR(VLOOKUP($B114,MMWR_TRAD_AGG_STATE_PEN[],F$1,0),"ERROR")</f>
        <v>6</v>
      </c>
      <c r="G114" s="113">
        <f t="shared" si="12"/>
        <v>6.9767441860465115E-2</v>
      </c>
      <c r="H114" s="111">
        <f>IFERROR(VLOOKUP($B114,MMWR_TRAD_AGG_STATE_PEN[],H$1,0),"ERROR")</f>
        <v>51</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68</v>
      </c>
      <c r="R114" s="115">
        <f>IFERROR(VLOOKUP($B114,MMWR_TRAD_AGG_STATE_PEN[],R$1,0),"ERROR")</f>
        <v>11</v>
      </c>
      <c r="S114" s="115">
        <f>IFERROR(VLOOKUP($B114,MMWR_APP_STATE_PEN[],S$1,0),"ERROR")</f>
        <v>7</v>
      </c>
      <c r="T114" s="28"/>
    </row>
    <row r="115" spans="1:20" s="123" customFormat="1" x14ac:dyDescent="0.25">
      <c r="A115" s="28"/>
      <c r="B115" s="127" t="s">
        <v>423</v>
      </c>
      <c r="C115" s="109">
        <f>IFERROR(VLOOKUP($B115,MMWR_TRAD_AGG_STATE_PEN[],C$1,0),"ERROR")</f>
        <v>67</v>
      </c>
      <c r="D115" s="110">
        <f>IFERROR(VLOOKUP($B115,MMWR_TRAD_AGG_STATE_PEN[],D$1,0),"ERROR")</f>
        <v>51.432835820900003</v>
      </c>
      <c r="E115" s="111">
        <f>IFERROR(VLOOKUP($B115,MMWR_TRAD_AGG_STATE_PEN[],E$1,0),"ERROR")</f>
        <v>185</v>
      </c>
      <c r="F115" s="112">
        <f>IFERROR(VLOOKUP($B115,MMWR_TRAD_AGG_STATE_PEN[],F$1,0),"ERROR")</f>
        <v>8</v>
      </c>
      <c r="G115" s="113">
        <f t="shared" si="12"/>
        <v>4.3243243243243246E-2</v>
      </c>
      <c r="H115" s="111">
        <f>IFERROR(VLOOKUP($B115,MMWR_TRAD_AGG_STATE_PEN[],H$1,0),"ERROR")</f>
        <v>121</v>
      </c>
      <c r="I115" s="112">
        <f>IFERROR(VLOOKUP($B115,MMWR_TRAD_AGG_STATE_PEN[],I$1,0),"ERROR")</f>
        <v>12</v>
      </c>
      <c r="J115" s="114">
        <f t="shared" si="13"/>
        <v>9.9173553719008267E-2</v>
      </c>
      <c r="K115" s="111">
        <f>IFERROR(VLOOKUP($B115,MMWR_TRAD_AGG_STATE_PEN[],K$1,0),"ERROR")</f>
        <v>0</v>
      </c>
      <c r="L115" s="112">
        <f>IFERROR(VLOOKUP($B115,MMWR_TRAD_AGG_STATE_PEN[],L$1,0),"ERROR")</f>
        <v>0</v>
      </c>
      <c r="M115" s="114" t="str">
        <f t="shared" si="14"/>
        <v>0%</v>
      </c>
      <c r="N115" s="111">
        <f>IFERROR(VLOOKUP($B115,MMWR_TRAD_AGG_STATE_PEN[],N$1,0),"ERROR")</f>
        <v>9</v>
      </c>
      <c r="O115" s="112">
        <f>IFERROR(VLOOKUP($B115,MMWR_TRAD_AGG_STATE_PEN[],O$1,0),"ERROR")</f>
        <v>7</v>
      </c>
      <c r="P115" s="114">
        <f t="shared" si="15"/>
        <v>0.77777777777777779</v>
      </c>
      <c r="Q115" s="115">
        <f>IFERROR(VLOOKUP($B115,MMWR_TRAD_AGG_STATE_PEN[],Q$1,0),"ERROR")</f>
        <v>99</v>
      </c>
      <c r="R115" s="115">
        <f>IFERROR(VLOOKUP($B115,MMWR_TRAD_AGG_STATE_PEN[],R$1,0),"ERROR")</f>
        <v>38</v>
      </c>
      <c r="S115" s="115">
        <f>IFERROR(VLOOKUP($B115,MMWR_APP_STATE_PEN[],S$1,0),"ERROR")</f>
        <v>40</v>
      </c>
      <c r="T115" s="28"/>
    </row>
    <row r="116" spans="1:20" s="123" customFormat="1" x14ac:dyDescent="0.25">
      <c r="A116" s="28"/>
      <c r="B116" s="127" t="s">
        <v>415</v>
      </c>
      <c r="C116" s="109">
        <f>IFERROR(VLOOKUP($B116,MMWR_TRAD_AGG_STATE_PEN[],C$1,0),"ERROR")</f>
        <v>38</v>
      </c>
      <c r="D116" s="110">
        <f>IFERROR(VLOOKUP($B116,MMWR_TRAD_AGG_STATE_PEN[],D$1,0),"ERROR")</f>
        <v>47.315789473700001</v>
      </c>
      <c r="E116" s="111">
        <f>IFERROR(VLOOKUP($B116,MMWR_TRAD_AGG_STATE_PEN[],E$1,0),"ERROR")</f>
        <v>130</v>
      </c>
      <c r="F116" s="112">
        <f>IFERROR(VLOOKUP($B116,MMWR_TRAD_AGG_STATE_PEN[],F$1,0),"ERROR")</f>
        <v>3</v>
      </c>
      <c r="G116" s="113">
        <f t="shared" si="12"/>
        <v>2.3076923076923078E-2</v>
      </c>
      <c r="H116" s="111">
        <f>IFERROR(VLOOKUP($B116,MMWR_TRAD_AGG_STATE_PEN[],H$1,0),"ERROR")</f>
        <v>68</v>
      </c>
      <c r="I116" s="112">
        <f>IFERROR(VLOOKUP($B116,MMWR_TRAD_AGG_STATE_PEN[],I$1,0),"ERROR")</f>
        <v>6</v>
      </c>
      <c r="J116" s="114">
        <f t="shared" si="13"/>
        <v>8.8235294117647065E-2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3</v>
      </c>
      <c r="P116" s="114">
        <f t="shared" si="15"/>
        <v>0.6</v>
      </c>
      <c r="Q116" s="115">
        <f>IFERROR(VLOOKUP($B116,MMWR_TRAD_AGG_STATE_PEN[],Q$1,0),"ERROR")</f>
        <v>164</v>
      </c>
      <c r="R116" s="115">
        <f>IFERROR(VLOOKUP($B116,MMWR_TRAD_AGG_STATE_PEN[],R$1,0),"ERROR")</f>
        <v>22</v>
      </c>
      <c r="S116" s="115">
        <f>IFERROR(VLOOKUP($B116,MMWR_APP_STATE_PEN[],S$1,0),"ERROR")</f>
        <v>23</v>
      </c>
      <c r="T116" s="28"/>
    </row>
    <row r="117" spans="1:20" s="123" customFormat="1" x14ac:dyDescent="0.25">
      <c r="A117" s="28"/>
      <c r="B117" s="127" t="s">
        <v>419</v>
      </c>
      <c r="C117" s="109">
        <f>IFERROR(VLOOKUP($B117,MMWR_TRAD_AGG_STATE_PEN[],C$1,0),"ERROR")</f>
        <v>60</v>
      </c>
      <c r="D117" s="110">
        <f>IFERROR(VLOOKUP($B117,MMWR_TRAD_AGG_STATE_PEN[],D$1,0),"ERROR")</f>
        <v>43.833333333299997</v>
      </c>
      <c r="E117" s="111">
        <f>IFERROR(VLOOKUP($B117,MMWR_TRAD_AGG_STATE_PEN[],E$1,0),"ERROR")</f>
        <v>268</v>
      </c>
      <c r="F117" s="112">
        <f>IFERROR(VLOOKUP($B117,MMWR_TRAD_AGG_STATE_PEN[],F$1,0),"ERROR")</f>
        <v>10</v>
      </c>
      <c r="G117" s="113">
        <f t="shared" si="12"/>
        <v>3.7313432835820892E-2</v>
      </c>
      <c r="H117" s="111">
        <f>IFERROR(VLOOKUP($B117,MMWR_TRAD_AGG_STATE_PEN[],H$1,0),"ERROR")</f>
        <v>128</v>
      </c>
      <c r="I117" s="112">
        <f>IFERROR(VLOOKUP($B117,MMWR_TRAD_AGG_STATE_PEN[],I$1,0),"ERROR")</f>
        <v>9</v>
      </c>
      <c r="J117" s="114">
        <f t="shared" si="13"/>
        <v>7.03125E-2</v>
      </c>
      <c r="K117" s="111">
        <f>IFERROR(VLOOKUP($B117,MMWR_TRAD_AGG_STATE_PEN[],K$1,0),"ERROR")</f>
        <v>1</v>
      </c>
      <c r="L117" s="112">
        <f>IFERROR(VLOOKUP($B117,MMWR_TRAD_AGG_STATE_PEN[],L$1,0),"ERROR")</f>
        <v>1</v>
      </c>
      <c r="M117" s="114">
        <f t="shared" si="14"/>
        <v>1</v>
      </c>
      <c r="N117" s="111">
        <f>IFERROR(VLOOKUP($B117,MMWR_TRAD_AGG_STATE_PEN[],N$1,0),"ERROR")</f>
        <v>9</v>
      </c>
      <c r="O117" s="112">
        <f>IFERROR(VLOOKUP($B117,MMWR_TRAD_AGG_STATE_PEN[],O$1,0),"ERROR")</f>
        <v>6</v>
      </c>
      <c r="P117" s="114">
        <f t="shared" si="15"/>
        <v>0.66666666666666663</v>
      </c>
      <c r="Q117" s="115">
        <f>IFERROR(VLOOKUP($B117,MMWR_TRAD_AGG_STATE_PEN[],Q$1,0),"ERROR")</f>
        <v>215</v>
      </c>
      <c r="R117" s="115">
        <f>IFERROR(VLOOKUP($B117,MMWR_TRAD_AGG_STATE_PEN[],R$1,0),"ERROR")</f>
        <v>43</v>
      </c>
      <c r="S117" s="115">
        <f>IFERROR(VLOOKUP($B117,MMWR_APP_STATE_PEN[],S$1,0),"ERROR")</f>
        <v>38</v>
      </c>
      <c r="T117" s="28"/>
    </row>
    <row r="118" spans="1:20" s="123" customFormat="1" x14ac:dyDescent="0.25">
      <c r="A118" s="28"/>
      <c r="B118" s="127" t="s">
        <v>83</v>
      </c>
      <c r="C118" s="109">
        <f>IFERROR(VLOOKUP($B118,MMWR_TRAD_AGG_STATE_PEN[],C$1,0),"ERROR")</f>
        <v>102</v>
      </c>
      <c r="D118" s="110">
        <f>IFERROR(VLOOKUP($B118,MMWR_TRAD_AGG_STATE_PEN[],D$1,0),"ERROR")</f>
        <v>49.058823529400001</v>
      </c>
      <c r="E118" s="111">
        <f>IFERROR(VLOOKUP($B118,MMWR_TRAD_AGG_STATE_PEN[],E$1,0),"ERROR")</f>
        <v>500</v>
      </c>
      <c r="F118" s="112">
        <f>IFERROR(VLOOKUP($B118,MMWR_TRAD_AGG_STATE_PEN[],F$1,0),"ERROR")</f>
        <v>23</v>
      </c>
      <c r="G118" s="113">
        <f t="shared" si="12"/>
        <v>4.5999999999999999E-2</v>
      </c>
      <c r="H118" s="111">
        <f>IFERROR(VLOOKUP($B118,MMWR_TRAD_AGG_STATE_PEN[],H$1,0),"ERROR")</f>
        <v>273</v>
      </c>
      <c r="I118" s="112">
        <f>IFERROR(VLOOKUP($B118,MMWR_TRAD_AGG_STATE_PEN[],I$1,0),"ERROR")</f>
        <v>32</v>
      </c>
      <c r="J118" s="114">
        <f t="shared" si="13"/>
        <v>0.11721611721611722</v>
      </c>
      <c r="K118" s="111">
        <f>IFERROR(VLOOKUP($B118,MMWR_TRAD_AGG_STATE_PEN[],K$1,0),"ERROR")</f>
        <v>1</v>
      </c>
      <c r="L118" s="112">
        <f>IFERROR(VLOOKUP($B118,MMWR_TRAD_AGG_STATE_PEN[],L$1,0),"ERROR")</f>
        <v>1</v>
      </c>
      <c r="M118" s="114">
        <f t="shared" si="14"/>
        <v>1</v>
      </c>
      <c r="N118" s="111">
        <f>IFERROR(VLOOKUP($B118,MMWR_TRAD_AGG_STATE_PEN[],N$1,0),"ERROR")</f>
        <v>18</v>
      </c>
      <c r="O118" s="112">
        <f>IFERROR(VLOOKUP($B118,MMWR_TRAD_AGG_STATE_PEN[],O$1,0),"ERROR")</f>
        <v>8</v>
      </c>
      <c r="P118" s="114">
        <f t="shared" si="15"/>
        <v>0.44444444444444442</v>
      </c>
      <c r="Q118" s="115">
        <f>IFERROR(VLOOKUP($B118,MMWR_TRAD_AGG_STATE_PEN[],Q$1,0),"ERROR")</f>
        <v>251</v>
      </c>
      <c r="R118" s="115">
        <f>IFERROR(VLOOKUP($B118,MMWR_TRAD_AGG_STATE_PEN[],R$1,0),"ERROR")</f>
        <v>72</v>
      </c>
      <c r="S118" s="115">
        <f>IFERROR(VLOOKUP($B118,MMWR_APP_STATE_PEN[],S$1,0),"ERROR")</f>
        <v>79</v>
      </c>
      <c r="T118" s="28"/>
    </row>
    <row r="119" spans="1:20" s="123" customFormat="1" x14ac:dyDescent="0.25">
      <c r="A119" s="28"/>
      <c r="B119" s="126" t="s">
        <v>390</v>
      </c>
      <c r="C119" s="102">
        <f>IFERROR(VLOOKUP($B119,MMWR_TRAD_AGG_ST_DISTRICT_PEN[],C$1,0),"ERROR")</f>
        <v>6520</v>
      </c>
      <c r="D119" s="103">
        <f>IFERROR(VLOOKUP($B119,MMWR_TRAD_AGG_ST_DISTRICT_PEN[],D$1,0),"ERROR")</f>
        <v>95.718558282199993</v>
      </c>
      <c r="E119" s="102">
        <f>IFERROR(VLOOKUP($B119,MMWR_TRAD_AGG_ST_DISTRICT_PEN[],E$1,0),"ERROR")</f>
        <v>6138</v>
      </c>
      <c r="F119" s="102">
        <f>IFERROR(VLOOKUP($B119,MMWR_TRAD_AGG_ST_DISTRICT_PEN[],F$1,0),"ERROR")</f>
        <v>1101</v>
      </c>
      <c r="G119" s="104">
        <f t="shared" si="12"/>
        <v>0.17937438905180841</v>
      </c>
      <c r="H119" s="102">
        <f>IFERROR(VLOOKUP($B119,MMWR_TRAD_AGG_ST_DISTRICT_PEN[],H$1,0),"ERROR")</f>
        <v>10739</v>
      </c>
      <c r="I119" s="102">
        <f>IFERROR(VLOOKUP($B119,MMWR_TRAD_AGG_ST_DISTRICT_PEN[],I$1,0),"ERROR")</f>
        <v>2765</v>
      </c>
      <c r="J119" s="104">
        <f t="shared" si="13"/>
        <v>0.25747276282707887</v>
      </c>
      <c r="K119" s="102">
        <f>IFERROR(VLOOKUP($B119,MMWR_TRAD_AGG_ST_DISTRICT_PEN[],K$1,0),"ERROR")</f>
        <v>278</v>
      </c>
      <c r="L119" s="102">
        <f>IFERROR(VLOOKUP($B119,MMWR_TRAD_AGG_ST_DISTRICT_PEN[],L$1,0),"ERROR")</f>
        <v>256</v>
      </c>
      <c r="M119" s="104">
        <f t="shared" si="14"/>
        <v>0.92086330935251803</v>
      </c>
      <c r="N119" s="102">
        <f>IFERROR(VLOOKUP($B119,MMWR_TRAD_AGG_ST_DISTRICT_PEN[],N$1,0),"ERROR")</f>
        <v>1606</v>
      </c>
      <c r="O119" s="102">
        <f>IFERROR(VLOOKUP($B119,MMWR_TRAD_AGG_ST_DISTRICT_PEN[],O$1,0),"ERROR")</f>
        <v>285</v>
      </c>
      <c r="P119" s="104">
        <f t="shared" si="15"/>
        <v>0.17745952677459526</v>
      </c>
      <c r="Q119" s="102">
        <f>IFERROR(VLOOKUP($B119,MMWR_TRAD_AGG_ST_DISTRICT_PEN[],Q$1,0),"ERROR")</f>
        <v>1830</v>
      </c>
      <c r="R119" s="106">
        <f>IFERROR(VLOOKUP($B119,MMWR_TRAD_AGG_ST_DISTRICT_PEN[],R$1,0),"ERROR")</f>
        <v>1544</v>
      </c>
      <c r="S119" s="106">
        <f>IFERROR(VLOOKUP($B119,MMWR_APP_STATE_PEN[],S$1,0),"ERROR")</f>
        <v>1555</v>
      </c>
      <c r="T119" s="28"/>
    </row>
    <row r="120" spans="1:20" s="123" customFormat="1" x14ac:dyDescent="0.25">
      <c r="A120" s="28"/>
      <c r="B120" s="127" t="s">
        <v>398</v>
      </c>
      <c r="C120" s="109">
        <f>IFERROR(VLOOKUP($B120,MMWR_TRAD_AGG_STATE_PEN[],C$1,0),"ERROR")</f>
        <v>471</v>
      </c>
      <c r="D120" s="110">
        <f>IFERROR(VLOOKUP($B120,MMWR_TRAD_AGG_STATE_PEN[],D$1,0),"ERROR")</f>
        <v>75.8619957537</v>
      </c>
      <c r="E120" s="111">
        <f>IFERROR(VLOOKUP($B120,MMWR_TRAD_AGG_STATE_PEN[],E$1,0),"ERROR")</f>
        <v>645</v>
      </c>
      <c r="F120" s="112">
        <f>IFERROR(VLOOKUP($B120,MMWR_TRAD_AGG_STATE_PEN[],F$1,0),"ERROR")</f>
        <v>32</v>
      </c>
      <c r="G120" s="113">
        <f t="shared" si="12"/>
        <v>4.9612403100775193E-2</v>
      </c>
      <c r="H120" s="111">
        <f>IFERROR(VLOOKUP($B120,MMWR_TRAD_AGG_STATE_PEN[],H$1,0),"ERROR")</f>
        <v>915</v>
      </c>
      <c r="I120" s="112">
        <f>IFERROR(VLOOKUP($B120,MMWR_TRAD_AGG_STATE_PEN[],I$1,0),"ERROR")</f>
        <v>96</v>
      </c>
      <c r="J120" s="114">
        <f t="shared" si="13"/>
        <v>0.10491803278688525</v>
      </c>
      <c r="K120" s="111">
        <f>IFERROR(VLOOKUP($B120,MMWR_TRAD_AGG_STATE_PEN[],K$1,0),"ERROR")</f>
        <v>17</v>
      </c>
      <c r="L120" s="112">
        <f>IFERROR(VLOOKUP($B120,MMWR_TRAD_AGG_STATE_PEN[],L$1,0),"ERROR")</f>
        <v>17</v>
      </c>
      <c r="M120" s="114">
        <f t="shared" si="14"/>
        <v>1</v>
      </c>
      <c r="N120" s="111">
        <f>IFERROR(VLOOKUP($B120,MMWR_TRAD_AGG_STATE_PEN[],N$1,0),"ERROR")</f>
        <v>57</v>
      </c>
      <c r="O120" s="112">
        <f>IFERROR(VLOOKUP($B120,MMWR_TRAD_AGG_STATE_PEN[],O$1,0),"ERROR")</f>
        <v>16</v>
      </c>
      <c r="P120" s="114">
        <f t="shared" si="15"/>
        <v>0.2807017543859649</v>
      </c>
      <c r="Q120" s="115">
        <f>IFERROR(VLOOKUP($B120,MMWR_TRAD_AGG_STATE_PEN[],Q$1,0),"ERROR")</f>
        <v>405</v>
      </c>
      <c r="R120" s="115">
        <f>IFERROR(VLOOKUP($B120,MMWR_TRAD_AGG_STATE_PEN[],R$1,0),"ERROR")</f>
        <v>51</v>
      </c>
      <c r="S120" s="115">
        <f>IFERROR(VLOOKUP($B120,MMWR_APP_STATE_PEN[],S$1,0),"ERROR")</f>
        <v>178</v>
      </c>
      <c r="T120" s="28"/>
    </row>
    <row r="121" spans="1:20" s="123" customFormat="1" x14ac:dyDescent="0.25">
      <c r="A121" s="28"/>
      <c r="B121" s="127" t="s">
        <v>435</v>
      </c>
      <c r="C121" s="109">
        <f>IFERROR(VLOOKUP($B121,MMWR_TRAD_AGG_STATE_PEN[],C$1,0),"ERROR")</f>
        <v>2324</v>
      </c>
      <c r="D121" s="110">
        <f>IFERROR(VLOOKUP($B121,MMWR_TRAD_AGG_STATE_PEN[],D$1,0),"ERROR")</f>
        <v>95.978485370100003</v>
      </c>
      <c r="E121" s="111">
        <f>IFERROR(VLOOKUP($B121,MMWR_TRAD_AGG_STATE_PEN[],E$1,0),"ERROR")</f>
        <v>2409</v>
      </c>
      <c r="F121" s="112">
        <f>IFERROR(VLOOKUP($B121,MMWR_TRAD_AGG_STATE_PEN[],F$1,0),"ERROR")</f>
        <v>549</v>
      </c>
      <c r="G121" s="113">
        <f t="shared" si="12"/>
        <v>0.22789539227895392</v>
      </c>
      <c r="H121" s="111">
        <f>IFERROR(VLOOKUP($B121,MMWR_TRAD_AGG_STATE_PEN[],H$1,0),"ERROR")</f>
        <v>3694</v>
      </c>
      <c r="I121" s="112">
        <f>IFERROR(VLOOKUP($B121,MMWR_TRAD_AGG_STATE_PEN[],I$1,0),"ERROR")</f>
        <v>998</v>
      </c>
      <c r="J121" s="114">
        <f t="shared" si="13"/>
        <v>0.2701678397401191</v>
      </c>
      <c r="K121" s="111">
        <f>IFERROR(VLOOKUP($B121,MMWR_TRAD_AGG_STATE_PEN[],K$1,0),"ERROR")</f>
        <v>113</v>
      </c>
      <c r="L121" s="112">
        <f>IFERROR(VLOOKUP($B121,MMWR_TRAD_AGG_STATE_PEN[],L$1,0),"ERROR")</f>
        <v>108</v>
      </c>
      <c r="M121" s="114">
        <f t="shared" si="14"/>
        <v>0.95575221238938057</v>
      </c>
      <c r="N121" s="111">
        <f>IFERROR(VLOOKUP($B121,MMWR_TRAD_AGG_STATE_PEN[],N$1,0),"ERROR")</f>
        <v>669</v>
      </c>
      <c r="O121" s="112">
        <f>IFERROR(VLOOKUP($B121,MMWR_TRAD_AGG_STATE_PEN[],O$1,0),"ERROR")</f>
        <v>108</v>
      </c>
      <c r="P121" s="114">
        <f t="shared" si="15"/>
        <v>0.16143497757847533</v>
      </c>
      <c r="Q121" s="115">
        <f>IFERROR(VLOOKUP($B121,MMWR_TRAD_AGG_STATE_PEN[],Q$1,0),"ERROR")</f>
        <v>277</v>
      </c>
      <c r="R121" s="115">
        <f>IFERROR(VLOOKUP($B121,MMWR_TRAD_AGG_STATE_PEN[],R$1,0),"ERROR")</f>
        <v>632</v>
      </c>
      <c r="S121" s="115">
        <f>IFERROR(VLOOKUP($B121,MMWR_APP_STATE_PEN[],S$1,0),"ERROR")</f>
        <v>479</v>
      </c>
      <c r="T121" s="28"/>
    </row>
    <row r="122" spans="1:20" s="123" customFormat="1" x14ac:dyDescent="0.25">
      <c r="A122" s="28"/>
      <c r="B122" s="127" t="s">
        <v>391</v>
      </c>
      <c r="C122" s="109">
        <f>IFERROR(VLOOKUP($B122,MMWR_TRAD_AGG_STATE_PEN[],C$1,0),"ERROR")</f>
        <v>1138</v>
      </c>
      <c r="D122" s="110">
        <f>IFERROR(VLOOKUP($B122,MMWR_TRAD_AGG_STATE_PEN[],D$1,0),"ERROR")</f>
        <v>101.97100175750001</v>
      </c>
      <c r="E122" s="111">
        <f>IFERROR(VLOOKUP($B122,MMWR_TRAD_AGG_STATE_PEN[],E$1,0),"ERROR")</f>
        <v>1088</v>
      </c>
      <c r="F122" s="112">
        <f>IFERROR(VLOOKUP($B122,MMWR_TRAD_AGG_STATE_PEN[],F$1,0),"ERROR")</f>
        <v>236</v>
      </c>
      <c r="G122" s="113">
        <f t="shared" si="12"/>
        <v>0.21691176470588236</v>
      </c>
      <c r="H122" s="111">
        <f>IFERROR(VLOOKUP($B122,MMWR_TRAD_AGG_STATE_PEN[],H$1,0),"ERROR")</f>
        <v>1804</v>
      </c>
      <c r="I122" s="112">
        <f>IFERROR(VLOOKUP($B122,MMWR_TRAD_AGG_STATE_PEN[],I$1,0),"ERROR")</f>
        <v>528</v>
      </c>
      <c r="J122" s="114">
        <f t="shared" si="13"/>
        <v>0.29268292682926828</v>
      </c>
      <c r="K122" s="111">
        <f>IFERROR(VLOOKUP($B122,MMWR_TRAD_AGG_STATE_PEN[],K$1,0),"ERROR")</f>
        <v>71</v>
      </c>
      <c r="L122" s="112">
        <f>IFERROR(VLOOKUP($B122,MMWR_TRAD_AGG_STATE_PEN[],L$1,0),"ERROR")</f>
        <v>67</v>
      </c>
      <c r="M122" s="114">
        <f t="shared" si="14"/>
        <v>0.94366197183098588</v>
      </c>
      <c r="N122" s="111">
        <f>IFERROR(VLOOKUP($B122,MMWR_TRAD_AGG_STATE_PEN[],N$1,0),"ERROR")</f>
        <v>393</v>
      </c>
      <c r="O122" s="112">
        <f>IFERROR(VLOOKUP($B122,MMWR_TRAD_AGG_STATE_PEN[],O$1,0),"ERROR")</f>
        <v>70</v>
      </c>
      <c r="P122" s="114">
        <f t="shared" si="15"/>
        <v>0.17811704834605599</v>
      </c>
      <c r="Q122" s="115">
        <f>IFERROR(VLOOKUP($B122,MMWR_TRAD_AGG_STATE_PEN[],Q$1,0),"ERROR")</f>
        <v>152</v>
      </c>
      <c r="R122" s="115">
        <f>IFERROR(VLOOKUP($B122,MMWR_TRAD_AGG_STATE_PEN[],R$1,0),"ERROR")</f>
        <v>408</v>
      </c>
      <c r="S122" s="115">
        <f>IFERROR(VLOOKUP($B122,MMWR_APP_STATE_PEN[],S$1,0),"ERROR")</f>
        <v>316</v>
      </c>
      <c r="T122" s="28"/>
    </row>
    <row r="123" spans="1:20" s="123" customFormat="1" x14ac:dyDescent="0.25">
      <c r="A123" s="28"/>
      <c r="B123" s="127" t="s">
        <v>403</v>
      </c>
      <c r="C123" s="109">
        <f>IFERROR(VLOOKUP($B123,MMWR_TRAD_AGG_STATE_PEN[],C$1,0),"ERROR")</f>
        <v>202</v>
      </c>
      <c r="D123" s="110">
        <f>IFERROR(VLOOKUP($B123,MMWR_TRAD_AGG_STATE_PEN[],D$1,0),"ERROR")</f>
        <v>76.702970296999993</v>
      </c>
      <c r="E123" s="111">
        <f>IFERROR(VLOOKUP($B123,MMWR_TRAD_AGG_STATE_PEN[],E$1,0),"ERROR")</f>
        <v>327</v>
      </c>
      <c r="F123" s="112">
        <f>IFERROR(VLOOKUP($B123,MMWR_TRAD_AGG_STATE_PEN[],F$1,0),"ERROR")</f>
        <v>27</v>
      </c>
      <c r="G123" s="113">
        <f t="shared" si="12"/>
        <v>8.2568807339449546E-2</v>
      </c>
      <c r="H123" s="111">
        <f>IFERROR(VLOOKUP($B123,MMWR_TRAD_AGG_STATE_PEN[],H$1,0),"ERROR")</f>
        <v>386</v>
      </c>
      <c r="I123" s="112">
        <f>IFERROR(VLOOKUP($B123,MMWR_TRAD_AGG_STATE_PEN[],I$1,0),"ERROR")</f>
        <v>50</v>
      </c>
      <c r="J123" s="114">
        <f t="shared" si="13"/>
        <v>0.12953367875647667</v>
      </c>
      <c r="K123" s="111">
        <f>IFERROR(VLOOKUP($B123,MMWR_TRAD_AGG_STATE_PEN[],K$1,0),"ERROR")</f>
        <v>5</v>
      </c>
      <c r="L123" s="112">
        <f>IFERROR(VLOOKUP($B123,MMWR_TRAD_AGG_STATE_PEN[],L$1,0),"ERROR")</f>
        <v>5</v>
      </c>
      <c r="M123" s="114">
        <f t="shared" si="14"/>
        <v>1</v>
      </c>
      <c r="N123" s="111">
        <f>IFERROR(VLOOKUP($B123,MMWR_TRAD_AGG_STATE_PEN[],N$1,0),"ERROR")</f>
        <v>53</v>
      </c>
      <c r="O123" s="112">
        <f>IFERROR(VLOOKUP($B123,MMWR_TRAD_AGG_STATE_PEN[],O$1,0),"ERROR")</f>
        <v>10</v>
      </c>
      <c r="P123" s="114">
        <f t="shared" si="15"/>
        <v>0.18867924528301888</v>
      </c>
      <c r="Q123" s="115">
        <f>IFERROR(VLOOKUP($B123,MMWR_TRAD_AGG_STATE_PEN[],Q$1,0),"ERROR")</f>
        <v>351</v>
      </c>
      <c r="R123" s="115">
        <f>IFERROR(VLOOKUP($B123,MMWR_TRAD_AGG_STATE_PEN[],R$1,0),"ERROR")</f>
        <v>31</v>
      </c>
      <c r="S123" s="115">
        <f>IFERROR(VLOOKUP($B123,MMWR_APP_STATE_PEN[],S$1,0),"ERROR")</f>
        <v>107</v>
      </c>
      <c r="T123" s="28"/>
    </row>
    <row r="124" spans="1:20" s="123" customFormat="1" x14ac:dyDescent="0.25">
      <c r="A124" s="28"/>
      <c r="B124" s="127" t="s">
        <v>437</v>
      </c>
      <c r="C124" s="109">
        <f>IFERROR(VLOOKUP($B124,MMWR_TRAD_AGG_STATE_PEN[],C$1,0),"ERROR")</f>
        <v>1174</v>
      </c>
      <c r="D124" s="110">
        <f>IFERROR(VLOOKUP($B124,MMWR_TRAD_AGG_STATE_PEN[],D$1,0),"ERROR")</f>
        <v>109.3969335605</v>
      </c>
      <c r="E124" s="111">
        <f>IFERROR(VLOOKUP($B124,MMWR_TRAD_AGG_STATE_PEN[],E$1,0),"ERROR")</f>
        <v>430</v>
      </c>
      <c r="F124" s="112">
        <f>IFERROR(VLOOKUP($B124,MMWR_TRAD_AGG_STATE_PEN[],F$1,0),"ERROR")</f>
        <v>94</v>
      </c>
      <c r="G124" s="113">
        <f t="shared" si="12"/>
        <v>0.21860465116279071</v>
      </c>
      <c r="H124" s="111">
        <f>IFERROR(VLOOKUP($B124,MMWR_TRAD_AGG_STATE_PEN[],H$1,0),"ERROR")</f>
        <v>1958</v>
      </c>
      <c r="I124" s="112">
        <f>IFERROR(VLOOKUP($B124,MMWR_TRAD_AGG_STATE_PEN[],I$1,0),"ERROR")</f>
        <v>646</v>
      </c>
      <c r="J124" s="114">
        <f t="shared" si="13"/>
        <v>0.32992849846782429</v>
      </c>
      <c r="K124" s="111">
        <f>IFERROR(VLOOKUP($B124,MMWR_TRAD_AGG_STATE_PEN[],K$1,0),"ERROR")</f>
        <v>37</v>
      </c>
      <c r="L124" s="112">
        <f>IFERROR(VLOOKUP($B124,MMWR_TRAD_AGG_STATE_PEN[],L$1,0),"ERROR")</f>
        <v>29</v>
      </c>
      <c r="M124" s="114">
        <f t="shared" si="14"/>
        <v>0.78378378378378377</v>
      </c>
      <c r="N124" s="111">
        <f>IFERROR(VLOOKUP($B124,MMWR_TRAD_AGG_STATE_PEN[],N$1,0),"ERROR")</f>
        <v>136</v>
      </c>
      <c r="O124" s="112">
        <f>IFERROR(VLOOKUP($B124,MMWR_TRAD_AGG_STATE_PEN[],O$1,0),"ERROR")</f>
        <v>29</v>
      </c>
      <c r="P124" s="114">
        <f t="shared" si="15"/>
        <v>0.21323529411764705</v>
      </c>
      <c r="Q124" s="115">
        <f>IFERROR(VLOOKUP($B124,MMWR_TRAD_AGG_STATE_PEN[],Q$1,0),"ERROR")</f>
        <v>67</v>
      </c>
      <c r="R124" s="115">
        <f>IFERROR(VLOOKUP($B124,MMWR_TRAD_AGG_STATE_PEN[],R$1,0),"ERROR")</f>
        <v>103</v>
      </c>
      <c r="S124" s="115">
        <f>IFERROR(VLOOKUP($B124,MMWR_APP_STATE_PEN[],S$1,0),"ERROR")</f>
        <v>119</v>
      </c>
      <c r="T124" s="28"/>
    </row>
    <row r="125" spans="1:20" s="123" customFormat="1" x14ac:dyDescent="0.25">
      <c r="A125" s="28"/>
      <c r="B125" s="127" t="s">
        <v>393</v>
      </c>
      <c r="C125" s="109">
        <f>IFERROR(VLOOKUP($B125,MMWR_TRAD_AGG_STATE_PEN[],C$1,0),"ERROR")</f>
        <v>814</v>
      </c>
      <c r="D125" s="110">
        <f>IFERROR(VLOOKUP($B125,MMWR_TRAD_AGG_STATE_PEN[],D$1,0),"ERROR")</f>
        <v>96.797297297300005</v>
      </c>
      <c r="E125" s="111">
        <f>IFERROR(VLOOKUP($B125,MMWR_TRAD_AGG_STATE_PEN[],E$1,0),"ERROR")</f>
        <v>702</v>
      </c>
      <c r="F125" s="112">
        <f>IFERROR(VLOOKUP($B125,MMWR_TRAD_AGG_STATE_PEN[],F$1,0),"ERROR")</f>
        <v>136</v>
      </c>
      <c r="G125" s="113">
        <f t="shared" si="12"/>
        <v>0.19373219373219372</v>
      </c>
      <c r="H125" s="111">
        <f>IFERROR(VLOOKUP($B125,MMWR_TRAD_AGG_STATE_PEN[],H$1,0),"ERROR")</f>
        <v>1291</v>
      </c>
      <c r="I125" s="112">
        <f>IFERROR(VLOOKUP($B125,MMWR_TRAD_AGG_STATE_PEN[],I$1,0),"ERROR")</f>
        <v>376</v>
      </c>
      <c r="J125" s="114">
        <f t="shared" si="13"/>
        <v>0.29124709527498066</v>
      </c>
      <c r="K125" s="111">
        <f>IFERROR(VLOOKUP($B125,MMWR_TRAD_AGG_STATE_PEN[],K$1,0),"ERROR")</f>
        <v>22</v>
      </c>
      <c r="L125" s="112">
        <f>IFERROR(VLOOKUP($B125,MMWR_TRAD_AGG_STATE_PEN[],L$1,0),"ERROR")</f>
        <v>17</v>
      </c>
      <c r="M125" s="114">
        <f t="shared" si="14"/>
        <v>0.77272727272727271</v>
      </c>
      <c r="N125" s="111">
        <f>IFERROR(VLOOKUP($B125,MMWR_TRAD_AGG_STATE_PEN[],N$1,0),"ERROR")</f>
        <v>242</v>
      </c>
      <c r="O125" s="112">
        <f>IFERROR(VLOOKUP($B125,MMWR_TRAD_AGG_STATE_PEN[],O$1,0),"ERROR")</f>
        <v>34</v>
      </c>
      <c r="P125" s="114">
        <f t="shared" si="15"/>
        <v>0.14049586776859505</v>
      </c>
      <c r="Q125" s="115">
        <f>IFERROR(VLOOKUP($B125,MMWR_TRAD_AGG_STATE_PEN[],Q$1,0),"ERROR")</f>
        <v>105</v>
      </c>
      <c r="R125" s="115">
        <f>IFERROR(VLOOKUP($B125,MMWR_TRAD_AGG_STATE_PEN[],R$1,0),"ERROR")</f>
        <v>248</v>
      </c>
      <c r="S125" s="115">
        <f>IFERROR(VLOOKUP($B125,MMWR_APP_STATE_PEN[],S$1,0),"ERROR")</f>
        <v>142</v>
      </c>
      <c r="T125" s="28"/>
    </row>
    <row r="126" spans="1:20" s="123" customFormat="1" x14ac:dyDescent="0.25">
      <c r="A126" s="28"/>
      <c r="B126" s="127" t="s">
        <v>394</v>
      </c>
      <c r="C126" s="109">
        <f>IFERROR(VLOOKUP($B126,MMWR_TRAD_AGG_STATE_PEN[],C$1,0),"ERROR")</f>
        <v>397</v>
      </c>
      <c r="D126" s="110">
        <f>IFERROR(VLOOKUP($B126,MMWR_TRAD_AGG_STATE_PEN[],D$1,0),"ERROR")</f>
        <v>66.8463476071</v>
      </c>
      <c r="E126" s="111">
        <f>IFERROR(VLOOKUP($B126,MMWR_TRAD_AGG_STATE_PEN[],E$1,0),"ERROR")</f>
        <v>537</v>
      </c>
      <c r="F126" s="112">
        <f>IFERROR(VLOOKUP($B126,MMWR_TRAD_AGG_STATE_PEN[],F$1,0),"ERROR")</f>
        <v>27</v>
      </c>
      <c r="G126" s="113">
        <f t="shared" si="12"/>
        <v>5.027932960893855E-2</v>
      </c>
      <c r="H126" s="111">
        <f>IFERROR(VLOOKUP($B126,MMWR_TRAD_AGG_STATE_PEN[],H$1,0),"ERROR")</f>
        <v>691</v>
      </c>
      <c r="I126" s="112">
        <f>IFERROR(VLOOKUP($B126,MMWR_TRAD_AGG_STATE_PEN[],I$1,0),"ERROR")</f>
        <v>71</v>
      </c>
      <c r="J126" s="114">
        <f t="shared" si="13"/>
        <v>0.10274963820549927</v>
      </c>
      <c r="K126" s="111">
        <f>IFERROR(VLOOKUP($B126,MMWR_TRAD_AGG_STATE_PEN[],K$1,0),"ERROR")</f>
        <v>13</v>
      </c>
      <c r="L126" s="112">
        <f>IFERROR(VLOOKUP($B126,MMWR_TRAD_AGG_STATE_PEN[],L$1,0),"ERROR")</f>
        <v>13</v>
      </c>
      <c r="M126" s="114">
        <f t="shared" si="14"/>
        <v>1</v>
      </c>
      <c r="N126" s="111">
        <f>IFERROR(VLOOKUP($B126,MMWR_TRAD_AGG_STATE_PEN[],N$1,0),"ERROR")</f>
        <v>56</v>
      </c>
      <c r="O126" s="112">
        <f>IFERROR(VLOOKUP($B126,MMWR_TRAD_AGG_STATE_PEN[],O$1,0),"ERROR")</f>
        <v>18</v>
      </c>
      <c r="P126" s="114">
        <f t="shared" si="15"/>
        <v>0.32142857142857145</v>
      </c>
      <c r="Q126" s="115">
        <f>IFERROR(VLOOKUP($B126,MMWR_TRAD_AGG_STATE_PEN[],Q$1,0),"ERROR")</f>
        <v>473</v>
      </c>
      <c r="R126" s="115">
        <f>IFERROR(VLOOKUP($B126,MMWR_TRAD_AGG_STATE_PEN[],R$1,0),"ERROR")</f>
        <v>71</v>
      </c>
      <c r="S126" s="115">
        <f>IFERROR(VLOOKUP($B126,MMWR_APP_STATE_PEN[],S$1,0),"ERROR")</f>
        <v>214</v>
      </c>
      <c r="T126" s="28"/>
    </row>
    <row r="127" spans="1:20" s="123" customFormat="1" x14ac:dyDescent="0.25">
      <c r="A127" s="28"/>
      <c r="B127" s="128" t="s">
        <v>8</v>
      </c>
      <c r="C127" s="102">
        <f>IFERROR(VLOOKUP($B127,MMWR_TRAD_AGG_ST_DISTRICT_PEN[],C$1,0),"ERROR")</f>
        <v>214</v>
      </c>
      <c r="D127" s="103">
        <f>IFERROR(VLOOKUP($B127,MMWR_TRAD_AGG_ST_DISTRICT_PEN[],D$1,0),"ERROR")</f>
        <v>93.705607476599994</v>
      </c>
      <c r="E127" s="102">
        <f>IFERROR(VLOOKUP($B127,MMWR_TRAD_AGG_ST_DISTRICT_PEN[],E$1,0),"ERROR")</f>
        <v>177</v>
      </c>
      <c r="F127" s="102">
        <f>IFERROR(VLOOKUP($B127,MMWR_TRAD_AGG_ST_DISTRICT_PEN[],F$1,0),"ERROR")</f>
        <v>74</v>
      </c>
      <c r="G127" s="104">
        <f t="shared" si="12"/>
        <v>0.41807909604519772</v>
      </c>
      <c r="H127" s="102">
        <f>IFERROR(VLOOKUP($B127,MMWR_TRAD_AGG_ST_DISTRICT_PEN[],H$1,0),"ERROR")</f>
        <v>472</v>
      </c>
      <c r="I127" s="102">
        <f>IFERROR(VLOOKUP($B127,MMWR_TRAD_AGG_ST_DISTRICT_PEN[],I$1,0),"ERROR")</f>
        <v>199</v>
      </c>
      <c r="J127" s="104">
        <f t="shared" si="13"/>
        <v>0.42161016949152541</v>
      </c>
      <c r="K127" s="102">
        <f>IFERROR(VLOOKUP($B127,MMWR_TRAD_AGG_ST_DISTRICT_PEN[],K$1,0),"ERROR")</f>
        <v>36</v>
      </c>
      <c r="L127" s="102">
        <f>IFERROR(VLOOKUP($B127,MMWR_TRAD_AGG_ST_DISTRICT_PEN[],L$1,0),"ERROR")</f>
        <v>33</v>
      </c>
      <c r="M127" s="104">
        <f t="shared" si="14"/>
        <v>0.91666666666666663</v>
      </c>
      <c r="N127" s="102">
        <f>IFERROR(VLOOKUP($B127,MMWR_TRAD_AGG_ST_DISTRICT_PEN[],N$1,0),"ERROR")</f>
        <v>124</v>
      </c>
      <c r="O127" s="102">
        <f>IFERROR(VLOOKUP($B127,MMWR_TRAD_AGG_ST_DISTRICT_PEN[],O$1,0),"ERROR")</f>
        <v>36</v>
      </c>
      <c r="P127" s="104">
        <f t="shared" si="15"/>
        <v>0.29032258064516131</v>
      </c>
      <c r="Q127" s="102">
        <f>IFERROR(VLOOKUP($B127,MMWR_TRAD_AGG_ST_DISTRICT_PEN[],Q$1,0),"ERROR")</f>
        <v>60</v>
      </c>
      <c r="R127" s="106">
        <f>IFERROR(VLOOKUP($B127,MMWR_TRAD_AGG_ST_DISTRICT_PEN[],R$1,0),"ERROR")</f>
        <v>21</v>
      </c>
      <c r="S127" s="106">
        <f>IFERROR(VLOOKUP($B127,MMWR_APP_STATE_PEN[],S$1,0),"ERROR")</f>
        <v>4</v>
      </c>
      <c r="T127" s="28"/>
    </row>
    <row r="128" spans="1:20" x14ac:dyDescent="0.25">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3.2" x14ac:dyDescent="0.25"/>
  <cols>
    <col min="2" max="2" width="36.44140625" customWidth="1"/>
    <col min="3" max="3" width="7.33203125" customWidth="1"/>
    <col min="4" max="4" width="10.44140625" customWidth="1"/>
    <col min="6" max="6" width="36.44140625" customWidth="1"/>
    <col min="7" max="7" width="10.21875" customWidth="1"/>
    <col min="8" max="8" width="12.44140625" customWidth="1"/>
    <col min="9" max="9" width="8.21875" customWidth="1"/>
    <col min="10" max="10" width="11.44140625" customWidth="1"/>
    <col min="11" max="11" width="6.77734375" customWidth="1"/>
    <col min="12" max="12" width="10" customWidth="1"/>
    <col min="13" max="13" width="13" customWidth="1"/>
    <col min="14" max="14" width="16.44140625" customWidth="1"/>
    <col min="15" max="15" width="6.33203125" customWidth="1"/>
    <col min="16" max="16" width="9.5546875" customWidth="1"/>
    <col min="17" max="17" width="6.33203125" customWidth="1"/>
    <col min="18" max="18" width="6.5546875" customWidth="1"/>
    <col min="20" max="20" width="34" customWidth="1"/>
    <col min="21" max="21" width="10.21875" customWidth="1"/>
    <col min="22" max="22" width="12.44140625" customWidth="1"/>
    <col min="23" max="23" width="8.21875" customWidth="1"/>
    <col min="24" max="24" width="9.44140625" customWidth="1"/>
    <col min="25" max="25" width="6.77734375" customWidth="1"/>
    <col min="26" max="26" width="10" customWidth="1"/>
    <col min="27" max="27" width="13" customWidth="1"/>
    <col min="28" max="28" width="11.44140625" customWidth="1"/>
    <col min="29" max="29" width="6.33203125" customWidth="1"/>
    <col min="30" max="30" width="9.5546875" customWidth="1"/>
    <col min="31" max="31" width="6.33203125" customWidth="1"/>
    <col min="32" max="32" width="6.5546875" customWidth="1"/>
    <col min="34" max="34" width="40.6640625" customWidth="1"/>
    <col min="35" max="35" width="10.21875" customWidth="1"/>
    <col min="36" max="36" width="12.44140625" customWidth="1"/>
    <col min="37" max="37" width="8.21875" customWidth="1"/>
    <col min="38" max="38" width="11.44140625" customWidth="1"/>
    <col min="39" max="39" width="6.77734375" customWidth="1"/>
    <col min="40" max="40" width="10" customWidth="1"/>
    <col min="41" max="41" width="13" customWidth="1"/>
    <col min="42" max="42" width="16.44140625" customWidth="1"/>
    <col min="43" max="43" width="6.33203125" customWidth="1"/>
    <col min="44" max="44" width="9.5546875" customWidth="1"/>
    <col min="45" max="45" width="6.33203125" customWidth="1"/>
    <col min="46" max="46" width="6.5546875" customWidth="1"/>
    <col min="48" max="48" width="38.33203125" customWidth="1"/>
    <col min="49" max="49" width="10.21875" customWidth="1"/>
    <col min="50" max="50" width="12.44140625" customWidth="1"/>
    <col min="51" max="51" width="8.21875" customWidth="1"/>
    <col min="52" max="52" width="9.44140625" customWidth="1"/>
    <col min="53" max="53" width="6.77734375" customWidth="1"/>
    <col min="54" max="54" width="10" customWidth="1"/>
    <col min="55" max="55" width="13" customWidth="1"/>
    <col min="56" max="56" width="11.44140625" customWidth="1"/>
    <col min="57" max="57" width="6.33203125" customWidth="1"/>
    <col min="58" max="58" width="9.5546875" customWidth="1"/>
    <col min="59" max="59" width="6.33203125" customWidth="1"/>
    <col min="60" max="60" width="6.5546875" customWidth="1"/>
    <col min="62" max="62" width="34.21875" bestFit="1" customWidth="1"/>
    <col min="63" max="63" width="15.21875" bestFit="1" customWidth="1"/>
    <col min="64" max="64" width="20.6640625" bestFit="1" customWidth="1"/>
    <col min="65" max="65" width="25" bestFit="1" customWidth="1"/>
    <col min="66" max="66" width="12.44140625" bestFit="1" customWidth="1"/>
    <col min="67" max="67" width="30.21875" bestFit="1" customWidth="1"/>
    <col min="68" max="68" width="29.44140625" bestFit="1" customWidth="1"/>
    <col min="69" max="69" width="19.88671875" bestFit="1" customWidth="1"/>
    <col min="70" max="70" width="19.109375" bestFit="1" customWidth="1"/>
    <col min="71" max="71" width="20.33203125" bestFit="1" customWidth="1"/>
    <col min="72" max="72" width="24.5546875" bestFit="1" customWidth="1"/>
    <col min="73" max="73" width="12.44140625" bestFit="1" customWidth="1"/>
    <col min="74" max="74" width="29.77734375" bestFit="1" customWidth="1"/>
    <col min="75" max="75" width="29" bestFit="1" customWidth="1"/>
    <col min="76" max="76" width="19.5546875" bestFit="1" customWidth="1"/>
    <col min="77" max="77" width="18.6640625" bestFit="1" customWidth="1"/>
    <col min="78" max="78" width="8" customWidth="1"/>
    <col min="79" max="79" width="44.5546875" customWidth="1"/>
    <col min="80" max="80" width="25.77734375" customWidth="1"/>
    <col min="81" max="81" width="22.88671875" customWidth="1"/>
    <col min="82" max="82" width="23.5546875" customWidth="1"/>
    <col min="83" max="83" width="27.77734375" customWidth="1"/>
    <col min="84" max="84" width="15.21875" customWidth="1"/>
    <col min="85" max="85" width="33" customWidth="1"/>
    <col min="86" max="86" width="32.21875" customWidth="1"/>
    <col min="87" max="87" width="22.77734375" customWidth="1"/>
    <col min="88" max="88" width="21.77734375" customWidth="1"/>
    <col min="89" max="89" width="6.33203125" customWidth="1"/>
    <col min="90" max="90" width="45.33203125" customWidth="1"/>
    <col min="91" max="91" width="25.77734375" customWidth="1"/>
    <col min="92" max="92" width="23.77734375" customWidth="1"/>
    <col min="93" max="93" width="23.5546875" customWidth="1"/>
    <col min="94" max="94" width="27.77734375" customWidth="1"/>
    <col min="95" max="95" width="15.21875" customWidth="1"/>
    <col min="96" max="96" width="33" customWidth="1"/>
    <col min="97" max="97" width="32.21875" customWidth="1"/>
    <col min="98" max="98" width="22.77734375" customWidth="1"/>
    <col min="99" max="99" width="21.77734375" customWidth="1"/>
    <col min="100" max="100" width="10.33203125" customWidth="1"/>
    <col min="101" max="101" width="44.5546875" customWidth="1"/>
    <col min="102" max="102" width="25.77734375" customWidth="1"/>
    <col min="103" max="103" width="22.88671875" customWidth="1"/>
    <col min="104" max="104" width="23.5546875" customWidth="1"/>
    <col min="105" max="105" width="27.77734375" customWidth="1"/>
    <col min="106" max="106" width="15.21875" customWidth="1"/>
    <col min="107" max="107" width="33" customWidth="1"/>
    <col min="108" max="108" width="32.21875" customWidth="1"/>
    <col min="109" max="109" width="22.77734375" customWidth="1"/>
    <col min="110" max="110" width="21.77734375" customWidth="1"/>
    <col min="111" max="111" width="7.109375" customWidth="1"/>
    <col min="112" max="112" width="45" customWidth="1"/>
    <col min="113" max="113" width="25.77734375" customWidth="1"/>
    <col min="114" max="114" width="23.33203125" customWidth="1"/>
    <col min="115" max="115" width="23.5546875" customWidth="1"/>
    <col min="116" max="116" width="27.77734375" customWidth="1"/>
    <col min="117" max="117" width="15.21875" customWidth="1"/>
    <col min="118" max="118" width="33" customWidth="1"/>
    <col min="119" max="119" width="32.21875" customWidth="1"/>
    <col min="120" max="120" width="22.77734375" customWidth="1"/>
    <col min="121" max="121" width="21.77734375" customWidth="1"/>
    <col min="122" max="122" width="7.44140625" customWidth="1"/>
    <col min="123" max="123" width="10.44140625" customWidth="1"/>
    <col min="124" max="124" width="7.109375" customWidth="1"/>
    <col min="125" max="125" width="7.6640625" customWidth="1"/>
  </cols>
  <sheetData>
    <row r="2" spans="2:121" x14ac:dyDescent="0.25">
      <c r="B2" t="s">
        <v>663</v>
      </c>
      <c r="C2" t="s">
        <v>466</v>
      </c>
      <c r="D2" t="s">
        <v>468</v>
      </c>
      <c r="F2" t="s">
        <v>662</v>
      </c>
      <c r="G2" t="s">
        <v>315</v>
      </c>
      <c r="H2" t="s">
        <v>139</v>
      </c>
      <c r="I2" t="s">
        <v>222</v>
      </c>
      <c r="J2" t="s">
        <v>223</v>
      </c>
      <c r="K2" t="s">
        <v>224</v>
      </c>
      <c r="L2" t="s">
        <v>225</v>
      </c>
      <c r="M2" t="s">
        <v>226</v>
      </c>
      <c r="N2" t="s">
        <v>227</v>
      </c>
      <c r="O2" t="s">
        <v>228</v>
      </c>
      <c r="P2" t="s">
        <v>229</v>
      </c>
      <c r="Q2" t="s">
        <v>230</v>
      </c>
      <c r="R2" t="s">
        <v>231</v>
      </c>
      <c r="T2" t="s">
        <v>661</v>
      </c>
      <c r="U2" t="s">
        <v>315</v>
      </c>
      <c r="V2" t="s">
        <v>139</v>
      </c>
      <c r="W2" t="s">
        <v>222</v>
      </c>
      <c r="X2" t="s">
        <v>469</v>
      </c>
      <c r="Y2" t="s">
        <v>224</v>
      </c>
      <c r="Z2" t="s">
        <v>225</v>
      </c>
      <c r="AA2" t="s">
        <v>226</v>
      </c>
      <c r="AB2" t="s">
        <v>470</v>
      </c>
      <c r="AC2" t="s">
        <v>228</v>
      </c>
      <c r="AD2" t="s">
        <v>229</v>
      </c>
      <c r="AE2" t="s">
        <v>230</v>
      </c>
      <c r="AF2" t="s">
        <v>231</v>
      </c>
      <c r="AH2" t="s">
        <v>660</v>
      </c>
      <c r="AI2" t="s">
        <v>315</v>
      </c>
      <c r="AJ2" t="s">
        <v>139</v>
      </c>
      <c r="AK2" t="s">
        <v>222</v>
      </c>
      <c r="AL2" t="s">
        <v>223</v>
      </c>
      <c r="AM2" t="s">
        <v>224</v>
      </c>
      <c r="AN2" t="s">
        <v>225</v>
      </c>
      <c r="AO2" t="s">
        <v>226</v>
      </c>
      <c r="AP2" t="s">
        <v>227</v>
      </c>
      <c r="AQ2" t="s">
        <v>228</v>
      </c>
      <c r="AR2" t="s">
        <v>229</v>
      </c>
      <c r="AS2" t="s">
        <v>230</v>
      </c>
      <c r="AT2" t="s">
        <v>231</v>
      </c>
      <c r="AV2" t="s">
        <v>659</v>
      </c>
      <c r="AW2" t="s">
        <v>315</v>
      </c>
      <c r="AX2" t="s">
        <v>139</v>
      </c>
      <c r="AY2" t="s">
        <v>222</v>
      </c>
      <c r="AZ2" t="s">
        <v>469</v>
      </c>
      <c r="BA2" t="s">
        <v>224</v>
      </c>
      <c r="BB2" t="s">
        <v>225</v>
      </c>
      <c r="BC2" t="s">
        <v>226</v>
      </c>
      <c r="BD2" t="s">
        <v>470</v>
      </c>
      <c r="BE2" t="s">
        <v>228</v>
      </c>
      <c r="BF2" t="s">
        <v>229</v>
      </c>
      <c r="BG2" t="s">
        <v>230</v>
      </c>
      <c r="BH2" t="s">
        <v>231</v>
      </c>
      <c r="BJ2" t="s">
        <v>721</v>
      </c>
      <c r="BK2" t="s">
        <v>740</v>
      </c>
      <c r="BL2" t="s">
        <v>709</v>
      </c>
      <c r="BM2" t="s">
        <v>710</v>
      </c>
      <c r="BN2" t="s">
        <v>711</v>
      </c>
      <c r="BO2" t="s">
        <v>712</v>
      </c>
      <c r="BP2" t="s">
        <v>713</v>
      </c>
      <c r="BQ2" t="s">
        <v>722</v>
      </c>
      <c r="BR2" t="s">
        <v>723</v>
      </c>
      <c r="BS2" t="s">
        <v>714</v>
      </c>
      <c r="BT2" t="s">
        <v>715</v>
      </c>
      <c r="BU2" t="s">
        <v>716</v>
      </c>
      <c r="BV2" t="s">
        <v>717</v>
      </c>
      <c r="BW2" t="s">
        <v>718</v>
      </c>
      <c r="BX2" t="s">
        <v>719</v>
      </c>
      <c r="BY2" t="s">
        <v>720</v>
      </c>
      <c r="CA2" t="s">
        <v>1043</v>
      </c>
      <c r="CB2" t="s">
        <v>745</v>
      </c>
      <c r="CC2" t="s">
        <v>746</v>
      </c>
      <c r="CD2" t="s">
        <v>724</v>
      </c>
      <c r="CE2" t="s">
        <v>725</v>
      </c>
      <c r="CF2" t="s">
        <v>726</v>
      </c>
      <c r="CG2" t="s">
        <v>727</v>
      </c>
      <c r="CH2" t="s">
        <v>728</v>
      </c>
      <c r="CI2" t="s">
        <v>729</v>
      </c>
      <c r="CJ2" t="s">
        <v>730</v>
      </c>
      <c r="CL2" t="s">
        <v>1044</v>
      </c>
      <c r="CM2" t="s">
        <v>745</v>
      </c>
      <c r="CN2" t="s">
        <v>746</v>
      </c>
      <c r="CO2" t="s">
        <v>724</v>
      </c>
      <c r="CP2" t="s">
        <v>725</v>
      </c>
      <c r="CQ2" t="s">
        <v>726</v>
      </c>
      <c r="CR2" t="s">
        <v>727</v>
      </c>
      <c r="CS2" t="s">
        <v>728</v>
      </c>
      <c r="CT2" t="s">
        <v>729</v>
      </c>
      <c r="CU2" t="s">
        <v>730</v>
      </c>
      <c r="CW2" t="s">
        <v>1045</v>
      </c>
      <c r="CX2" t="s">
        <v>745</v>
      </c>
      <c r="CY2" t="s">
        <v>746</v>
      </c>
      <c r="CZ2" t="s">
        <v>724</v>
      </c>
      <c r="DA2" t="s">
        <v>725</v>
      </c>
      <c r="DB2" t="s">
        <v>726</v>
      </c>
      <c r="DC2" t="s">
        <v>727</v>
      </c>
      <c r="DD2" t="s">
        <v>728</v>
      </c>
      <c r="DE2" t="s">
        <v>729</v>
      </c>
      <c r="DF2" t="s">
        <v>730</v>
      </c>
      <c r="DH2" t="s">
        <v>1046</v>
      </c>
      <c r="DI2" t="s">
        <v>745</v>
      </c>
      <c r="DJ2" t="s">
        <v>746</v>
      </c>
      <c r="DK2" t="s">
        <v>724</v>
      </c>
      <c r="DL2" t="s">
        <v>725</v>
      </c>
      <c r="DM2" t="s">
        <v>726</v>
      </c>
      <c r="DN2" t="s">
        <v>727</v>
      </c>
      <c r="DO2" t="s">
        <v>728</v>
      </c>
      <c r="DP2" t="s">
        <v>729</v>
      </c>
      <c r="DQ2" t="s">
        <v>730</v>
      </c>
    </row>
    <row r="3" spans="2:121" x14ac:dyDescent="0.25">
      <c r="C3">
        <v>337641</v>
      </c>
      <c r="D3">
        <v>259463</v>
      </c>
      <c r="F3" t="s">
        <v>34</v>
      </c>
      <c r="G3">
        <v>1310</v>
      </c>
      <c r="H3">
        <v>123.92442748089999</v>
      </c>
      <c r="I3">
        <v>2747</v>
      </c>
      <c r="J3">
        <v>825</v>
      </c>
      <c r="K3">
        <v>1805</v>
      </c>
      <c r="L3">
        <v>485</v>
      </c>
      <c r="M3">
        <v>196</v>
      </c>
      <c r="N3">
        <v>104</v>
      </c>
      <c r="O3">
        <v>319</v>
      </c>
      <c r="P3">
        <v>155</v>
      </c>
      <c r="Q3">
        <v>0</v>
      </c>
      <c r="R3">
        <v>19</v>
      </c>
      <c r="T3" t="s">
        <v>217</v>
      </c>
      <c r="U3">
        <v>3686</v>
      </c>
      <c r="V3">
        <v>71.290287574600001</v>
      </c>
      <c r="W3">
        <v>6224</v>
      </c>
      <c r="X3">
        <v>498</v>
      </c>
      <c r="Y3">
        <v>6667</v>
      </c>
      <c r="Z3">
        <v>565</v>
      </c>
      <c r="AA3">
        <v>80</v>
      </c>
      <c r="AB3">
        <v>79</v>
      </c>
      <c r="AC3">
        <v>459</v>
      </c>
      <c r="AD3">
        <v>102</v>
      </c>
      <c r="AE3">
        <v>5092</v>
      </c>
      <c r="AF3">
        <v>504</v>
      </c>
      <c r="AH3" t="s">
        <v>398</v>
      </c>
      <c r="AI3">
        <v>14352</v>
      </c>
      <c r="AJ3">
        <v>364.76762820509998</v>
      </c>
      <c r="AK3">
        <v>7930</v>
      </c>
      <c r="AL3">
        <v>1806</v>
      </c>
      <c r="AM3">
        <v>16852</v>
      </c>
      <c r="AN3">
        <v>11890</v>
      </c>
      <c r="AO3">
        <v>4351</v>
      </c>
      <c r="AP3">
        <v>3933</v>
      </c>
      <c r="AQ3">
        <v>3237</v>
      </c>
      <c r="AR3">
        <v>2007</v>
      </c>
      <c r="AS3">
        <v>16</v>
      </c>
      <c r="AT3">
        <v>361</v>
      </c>
      <c r="AV3" t="s">
        <v>423</v>
      </c>
      <c r="AW3">
        <v>67</v>
      </c>
      <c r="AX3">
        <v>51.432835820900003</v>
      </c>
      <c r="AY3">
        <v>185</v>
      </c>
      <c r="AZ3">
        <v>8</v>
      </c>
      <c r="BA3">
        <v>121</v>
      </c>
      <c r="BB3">
        <v>12</v>
      </c>
      <c r="BC3">
        <v>0</v>
      </c>
      <c r="BE3">
        <v>9</v>
      </c>
      <c r="BF3">
        <v>7</v>
      </c>
      <c r="BG3">
        <v>99</v>
      </c>
      <c r="BH3">
        <v>38</v>
      </c>
      <c r="BJ3" t="s">
        <v>738</v>
      </c>
      <c r="BK3" t="s">
        <v>741</v>
      </c>
      <c r="BL3">
        <v>320436</v>
      </c>
      <c r="BM3">
        <v>88062</v>
      </c>
      <c r="BN3">
        <v>107.09831292360001</v>
      </c>
      <c r="BO3">
        <v>1087530</v>
      </c>
      <c r="BP3">
        <v>99105</v>
      </c>
      <c r="BQ3">
        <v>186.52616663449999</v>
      </c>
      <c r="BR3">
        <v>159.39491448460001</v>
      </c>
      <c r="BS3">
        <v>320436</v>
      </c>
      <c r="BT3">
        <v>88062</v>
      </c>
      <c r="BU3">
        <v>107.09831292360001</v>
      </c>
      <c r="BV3">
        <v>1087529</v>
      </c>
      <c r="BW3">
        <v>99105</v>
      </c>
      <c r="BX3">
        <v>186.525941837</v>
      </c>
      <c r="BY3">
        <v>159.39491448460001</v>
      </c>
      <c r="CA3" t="s">
        <v>1049</v>
      </c>
      <c r="CB3" t="s">
        <v>741</v>
      </c>
      <c r="CC3" t="s">
        <v>927</v>
      </c>
      <c r="CD3">
        <v>8747</v>
      </c>
      <c r="CE3">
        <v>895</v>
      </c>
      <c r="CF3">
        <v>72.010746541700001</v>
      </c>
      <c r="CG3">
        <v>23455</v>
      </c>
      <c r="CH3">
        <v>1812</v>
      </c>
      <c r="CI3">
        <v>150.97437646559999</v>
      </c>
      <c r="CJ3">
        <v>134.50055187640001</v>
      </c>
      <c r="CL3" t="s">
        <v>1049</v>
      </c>
      <c r="CM3" t="s">
        <v>741</v>
      </c>
      <c r="CN3" t="s">
        <v>927</v>
      </c>
      <c r="CO3">
        <v>8747</v>
      </c>
      <c r="CP3">
        <v>895</v>
      </c>
      <c r="CQ3">
        <v>72.010746541700001</v>
      </c>
      <c r="CR3">
        <v>23455</v>
      </c>
      <c r="CS3">
        <v>1812</v>
      </c>
      <c r="CT3">
        <v>150.97437646559999</v>
      </c>
      <c r="CU3">
        <v>134.50055187640001</v>
      </c>
      <c r="CW3" t="s">
        <v>1049</v>
      </c>
      <c r="CX3" t="s">
        <v>741</v>
      </c>
      <c r="CY3" t="s">
        <v>927</v>
      </c>
      <c r="CZ3">
        <v>8747</v>
      </c>
      <c r="DA3">
        <v>895</v>
      </c>
      <c r="DB3">
        <v>72.010746541700001</v>
      </c>
      <c r="DC3">
        <v>23455</v>
      </c>
      <c r="DD3">
        <v>1812</v>
      </c>
      <c r="DE3">
        <v>150.97437646559999</v>
      </c>
      <c r="DF3">
        <v>134.50055187640001</v>
      </c>
      <c r="DH3" t="s">
        <v>1049</v>
      </c>
      <c r="DI3" t="s">
        <v>741</v>
      </c>
      <c r="DJ3" t="s">
        <v>927</v>
      </c>
      <c r="DK3">
        <v>8747</v>
      </c>
      <c r="DL3">
        <v>895</v>
      </c>
      <c r="DM3">
        <v>72.010746541700001</v>
      </c>
      <c r="DN3">
        <v>23455</v>
      </c>
      <c r="DO3">
        <v>1812</v>
      </c>
      <c r="DP3">
        <v>150.97437646559999</v>
      </c>
      <c r="DQ3">
        <v>134.50055187640001</v>
      </c>
    </row>
    <row r="4" spans="2:121" x14ac:dyDescent="0.25">
      <c r="B4" t="s">
        <v>113</v>
      </c>
      <c r="C4">
        <v>110342</v>
      </c>
      <c r="D4">
        <v>71405</v>
      </c>
      <c r="F4" t="s">
        <v>80</v>
      </c>
      <c r="G4">
        <v>14850</v>
      </c>
      <c r="H4">
        <v>302.132996633</v>
      </c>
      <c r="I4">
        <v>21768</v>
      </c>
      <c r="J4">
        <v>7094</v>
      </c>
      <c r="K4">
        <v>18386</v>
      </c>
      <c r="L4">
        <v>10821</v>
      </c>
      <c r="M4">
        <v>2388</v>
      </c>
      <c r="N4">
        <v>1665</v>
      </c>
      <c r="O4">
        <v>10611</v>
      </c>
      <c r="P4">
        <v>6372</v>
      </c>
      <c r="Q4">
        <v>9</v>
      </c>
      <c r="R4">
        <v>242</v>
      </c>
      <c r="T4" t="s">
        <v>232</v>
      </c>
      <c r="U4">
        <v>0</v>
      </c>
      <c r="W4">
        <v>238</v>
      </c>
      <c r="X4">
        <v>99</v>
      </c>
      <c r="Y4">
        <v>895</v>
      </c>
      <c r="Z4">
        <v>729</v>
      </c>
      <c r="AA4">
        <v>283</v>
      </c>
      <c r="AB4">
        <v>273</v>
      </c>
      <c r="AC4">
        <v>303</v>
      </c>
      <c r="AD4">
        <v>249</v>
      </c>
      <c r="AE4">
        <v>117</v>
      </c>
      <c r="AF4">
        <v>0</v>
      </c>
      <c r="AH4" t="s">
        <v>434</v>
      </c>
      <c r="AI4">
        <v>2171</v>
      </c>
      <c r="AJ4">
        <v>467.45508982040002</v>
      </c>
      <c r="AK4">
        <v>963</v>
      </c>
      <c r="AL4">
        <v>145</v>
      </c>
      <c r="AM4">
        <v>2933</v>
      </c>
      <c r="AN4">
        <v>2016</v>
      </c>
      <c r="AO4">
        <v>1574</v>
      </c>
      <c r="AP4">
        <v>1420</v>
      </c>
      <c r="AQ4">
        <v>321</v>
      </c>
      <c r="AR4">
        <v>191</v>
      </c>
      <c r="AS4">
        <v>0</v>
      </c>
      <c r="AT4">
        <v>3</v>
      </c>
      <c r="AV4" t="s">
        <v>437</v>
      </c>
      <c r="AW4">
        <v>1174</v>
      </c>
      <c r="AX4">
        <v>109.3969335605</v>
      </c>
      <c r="AY4">
        <v>430</v>
      </c>
      <c r="AZ4">
        <v>94</v>
      </c>
      <c r="BA4">
        <v>1958</v>
      </c>
      <c r="BB4">
        <v>646</v>
      </c>
      <c r="BC4">
        <v>37</v>
      </c>
      <c r="BD4">
        <v>29</v>
      </c>
      <c r="BE4">
        <v>136</v>
      </c>
      <c r="BF4">
        <v>29</v>
      </c>
      <c r="BG4">
        <v>67</v>
      </c>
      <c r="BH4">
        <v>103</v>
      </c>
      <c r="BJ4" t="s">
        <v>647</v>
      </c>
      <c r="BK4" t="s">
        <v>395</v>
      </c>
      <c r="BL4">
        <v>874</v>
      </c>
      <c r="BM4">
        <v>176</v>
      </c>
      <c r="BN4">
        <v>86.455377574400003</v>
      </c>
      <c r="BO4">
        <v>2732</v>
      </c>
      <c r="BP4">
        <v>235</v>
      </c>
      <c r="BQ4">
        <v>134.74267935579999</v>
      </c>
      <c r="BR4">
        <v>135.42553191490001</v>
      </c>
      <c r="BS4">
        <v>992</v>
      </c>
      <c r="BT4">
        <v>254</v>
      </c>
      <c r="BU4">
        <v>96.902217741900003</v>
      </c>
      <c r="BV4">
        <v>3208</v>
      </c>
      <c r="BW4">
        <v>277</v>
      </c>
      <c r="BX4">
        <v>151.93173316709999</v>
      </c>
      <c r="BY4">
        <v>140.6281588448</v>
      </c>
      <c r="CA4" t="s">
        <v>1048</v>
      </c>
      <c r="CB4" t="s">
        <v>741</v>
      </c>
      <c r="CC4" t="s">
        <v>927</v>
      </c>
      <c r="CD4">
        <v>320436</v>
      </c>
      <c r="CE4">
        <v>88062</v>
      </c>
      <c r="CF4">
        <v>107.09831292360001</v>
      </c>
      <c r="CG4">
        <v>1087529</v>
      </c>
      <c r="CH4">
        <v>99105</v>
      </c>
      <c r="CI4">
        <v>186.525941837</v>
      </c>
      <c r="CJ4">
        <v>159.39491448460001</v>
      </c>
      <c r="CL4" t="s">
        <v>1048</v>
      </c>
      <c r="CM4" t="s">
        <v>741</v>
      </c>
      <c r="CN4" t="s">
        <v>927</v>
      </c>
      <c r="CO4">
        <v>320436</v>
      </c>
      <c r="CP4">
        <v>88062</v>
      </c>
      <c r="CQ4">
        <v>107.09831292360001</v>
      </c>
      <c r="CR4">
        <v>1087529</v>
      </c>
      <c r="CS4">
        <v>99105</v>
      </c>
      <c r="CT4">
        <v>186.525941837</v>
      </c>
      <c r="CU4">
        <v>159.39491448460001</v>
      </c>
      <c r="CW4" t="s">
        <v>1048</v>
      </c>
      <c r="CX4" t="s">
        <v>741</v>
      </c>
      <c r="CY4" t="s">
        <v>927</v>
      </c>
      <c r="CZ4">
        <v>320436</v>
      </c>
      <c r="DA4">
        <v>88062</v>
      </c>
      <c r="DB4">
        <v>107.09831292360001</v>
      </c>
      <c r="DC4">
        <v>1087529</v>
      </c>
      <c r="DD4">
        <v>99105</v>
      </c>
      <c r="DE4">
        <v>186.525941837</v>
      </c>
      <c r="DF4">
        <v>159.39491448460001</v>
      </c>
      <c r="DH4" t="s">
        <v>1048</v>
      </c>
      <c r="DI4" t="s">
        <v>741</v>
      </c>
      <c r="DJ4" t="s">
        <v>927</v>
      </c>
      <c r="DK4">
        <v>320436</v>
      </c>
      <c r="DL4">
        <v>88062</v>
      </c>
      <c r="DM4">
        <v>107.09831292360001</v>
      </c>
      <c r="DN4">
        <v>1087529</v>
      </c>
      <c r="DO4">
        <v>99105</v>
      </c>
      <c r="DP4">
        <v>186.525941837</v>
      </c>
      <c r="DQ4">
        <v>159.39491448460001</v>
      </c>
    </row>
    <row r="5" spans="2:121" x14ac:dyDescent="0.25">
      <c r="B5" t="s">
        <v>101</v>
      </c>
      <c r="C5">
        <v>128846</v>
      </c>
      <c r="D5">
        <v>88238</v>
      </c>
      <c r="F5" t="s">
        <v>54</v>
      </c>
      <c r="G5">
        <v>4685</v>
      </c>
      <c r="H5">
        <v>330.90458911420001</v>
      </c>
      <c r="I5">
        <v>3412</v>
      </c>
      <c r="J5">
        <v>634</v>
      </c>
      <c r="K5">
        <v>8380</v>
      </c>
      <c r="L5">
        <v>3761</v>
      </c>
      <c r="M5">
        <v>3888</v>
      </c>
      <c r="N5">
        <v>2190</v>
      </c>
      <c r="O5">
        <v>5517</v>
      </c>
      <c r="P5">
        <v>4856</v>
      </c>
      <c r="Q5">
        <v>1</v>
      </c>
      <c r="R5">
        <v>155</v>
      </c>
      <c r="T5" t="s">
        <v>218</v>
      </c>
      <c r="U5">
        <v>12343</v>
      </c>
      <c r="V5">
        <v>99.249453131300001</v>
      </c>
      <c r="W5">
        <v>11750</v>
      </c>
      <c r="X5">
        <v>2651</v>
      </c>
      <c r="Y5">
        <v>19262</v>
      </c>
      <c r="Z5">
        <v>5484</v>
      </c>
      <c r="AA5">
        <v>513</v>
      </c>
      <c r="AB5">
        <v>485</v>
      </c>
      <c r="AC5">
        <v>3800</v>
      </c>
      <c r="AD5">
        <v>563</v>
      </c>
      <c r="AE5">
        <v>1357</v>
      </c>
      <c r="AF5">
        <v>3571</v>
      </c>
      <c r="AH5" t="s">
        <v>436</v>
      </c>
      <c r="AI5">
        <v>7426</v>
      </c>
      <c r="AJ5">
        <v>297.49919202799998</v>
      </c>
      <c r="AK5">
        <v>6327</v>
      </c>
      <c r="AL5">
        <v>1549</v>
      </c>
      <c r="AM5">
        <v>9717</v>
      </c>
      <c r="AN5">
        <v>5577</v>
      </c>
      <c r="AO5">
        <v>639</v>
      </c>
      <c r="AP5">
        <v>484</v>
      </c>
      <c r="AQ5">
        <v>3266</v>
      </c>
      <c r="AR5">
        <v>2378</v>
      </c>
      <c r="AS5">
        <v>5</v>
      </c>
      <c r="AT5">
        <v>78</v>
      </c>
      <c r="AV5" t="s">
        <v>410</v>
      </c>
      <c r="AW5">
        <v>27</v>
      </c>
      <c r="AX5">
        <v>43.814814814800002</v>
      </c>
      <c r="AY5">
        <v>88</v>
      </c>
      <c r="AZ5">
        <v>3</v>
      </c>
      <c r="BA5">
        <v>44</v>
      </c>
      <c r="BC5">
        <v>0</v>
      </c>
      <c r="BE5">
        <v>4</v>
      </c>
      <c r="BF5">
        <v>2</v>
      </c>
      <c r="BG5">
        <v>144</v>
      </c>
      <c r="BH5">
        <v>19</v>
      </c>
      <c r="BJ5" t="s">
        <v>395</v>
      </c>
      <c r="BK5" t="s">
        <v>395</v>
      </c>
      <c r="BL5">
        <v>65010</v>
      </c>
      <c r="BM5">
        <v>17905</v>
      </c>
      <c r="BN5">
        <v>108.92516535919999</v>
      </c>
      <c r="BO5">
        <v>196299</v>
      </c>
      <c r="BP5">
        <v>18182</v>
      </c>
      <c r="BQ5">
        <v>192.1201738165</v>
      </c>
      <c r="BR5">
        <v>174.6649433506</v>
      </c>
      <c r="BS5">
        <v>65502</v>
      </c>
      <c r="BT5">
        <v>17979</v>
      </c>
      <c r="BU5">
        <v>107.2350309914</v>
      </c>
      <c r="BV5">
        <v>198664</v>
      </c>
      <c r="BW5">
        <v>18749</v>
      </c>
      <c r="BX5">
        <v>192.45665545849999</v>
      </c>
      <c r="BY5">
        <v>170.80457624409999</v>
      </c>
      <c r="CA5" t="s">
        <v>1050</v>
      </c>
      <c r="CB5" t="s">
        <v>741</v>
      </c>
      <c r="CC5" t="s">
        <v>927</v>
      </c>
      <c r="CD5">
        <v>19542</v>
      </c>
      <c r="CE5">
        <v>1840</v>
      </c>
      <c r="CF5">
        <v>59.964896121199999</v>
      </c>
      <c r="CG5">
        <v>139915</v>
      </c>
      <c r="CH5">
        <v>11416</v>
      </c>
      <c r="CI5">
        <v>64.478011649899997</v>
      </c>
      <c r="CJ5">
        <v>66.277154870399997</v>
      </c>
      <c r="CL5" t="s">
        <v>1050</v>
      </c>
      <c r="CM5" t="s">
        <v>741</v>
      </c>
      <c r="CN5" t="s">
        <v>927</v>
      </c>
      <c r="CO5">
        <v>19542</v>
      </c>
      <c r="CP5">
        <v>1840</v>
      </c>
      <c r="CQ5">
        <v>59.964896121199999</v>
      </c>
      <c r="CR5">
        <v>139915</v>
      </c>
      <c r="CS5">
        <v>11416</v>
      </c>
      <c r="CT5">
        <v>64.478011649899997</v>
      </c>
      <c r="CU5">
        <v>66.277154870399997</v>
      </c>
      <c r="CW5" t="s">
        <v>1050</v>
      </c>
      <c r="CX5" t="s">
        <v>741</v>
      </c>
      <c r="CY5" t="s">
        <v>927</v>
      </c>
      <c r="CZ5">
        <v>19542</v>
      </c>
      <c r="DA5">
        <v>1840</v>
      </c>
      <c r="DB5">
        <v>59.964896121199999</v>
      </c>
      <c r="DC5">
        <v>139915</v>
      </c>
      <c r="DD5">
        <v>11416</v>
      </c>
      <c r="DE5">
        <v>64.478011649899997</v>
      </c>
      <c r="DF5">
        <v>66.277154870399997</v>
      </c>
      <c r="DH5" t="s">
        <v>1050</v>
      </c>
      <c r="DI5" t="s">
        <v>741</v>
      </c>
      <c r="DJ5" t="s">
        <v>927</v>
      </c>
      <c r="DK5">
        <v>19542</v>
      </c>
      <c r="DL5">
        <v>1840</v>
      </c>
      <c r="DM5">
        <v>59.964896121199999</v>
      </c>
      <c r="DN5">
        <v>139915</v>
      </c>
      <c r="DO5">
        <v>11416</v>
      </c>
      <c r="DP5">
        <v>64.478011649899997</v>
      </c>
      <c r="DQ5">
        <v>66.277154870399997</v>
      </c>
    </row>
    <row r="6" spans="2:121" x14ac:dyDescent="0.25">
      <c r="B6" t="s">
        <v>93</v>
      </c>
      <c r="C6">
        <v>6613</v>
      </c>
      <c r="D6">
        <v>1060</v>
      </c>
      <c r="F6" t="s">
        <v>187</v>
      </c>
      <c r="G6">
        <v>750</v>
      </c>
      <c r="H6">
        <v>195.36666666670001</v>
      </c>
      <c r="I6">
        <v>833</v>
      </c>
      <c r="J6">
        <v>80</v>
      </c>
      <c r="K6">
        <v>1225</v>
      </c>
      <c r="L6">
        <v>382</v>
      </c>
      <c r="M6">
        <v>328</v>
      </c>
      <c r="N6">
        <v>174</v>
      </c>
      <c r="O6">
        <v>90</v>
      </c>
      <c r="P6">
        <v>33</v>
      </c>
      <c r="Q6">
        <v>0</v>
      </c>
      <c r="R6">
        <v>2</v>
      </c>
      <c r="T6" t="s">
        <v>220</v>
      </c>
      <c r="U6">
        <v>1811</v>
      </c>
      <c r="V6">
        <v>34.906129210400003</v>
      </c>
      <c r="W6">
        <v>6917</v>
      </c>
      <c r="X6">
        <v>217</v>
      </c>
      <c r="Y6">
        <v>3347</v>
      </c>
      <c r="Z6">
        <v>20</v>
      </c>
      <c r="AA6">
        <v>13</v>
      </c>
      <c r="AB6">
        <v>3</v>
      </c>
      <c r="AC6">
        <v>99</v>
      </c>
      <c r="AD6">
        <v>36</v>
      </c>
      <c r="AE6">
        <v>4729</v>
      </c>
      <c r="AF6">
        <v>1117</v>
      </c>
      <c r="AH6" t="s">
        <v>421</v>
      </c>
      <c r="AI6">
        <v>5409</v>
      </c>
      <c r="AJ6">
        <v>342.60880014790001</v>
      </c>
      <c r="AK6">
        <v>3622</v>
      </c>
      <c r="AL6">
        <v>680</v>
      </c>
      <c r="AM6">
        <v>7671</v>
      </c>
      <c r="AN6">
        <v>4361</v>
      </c>
      <c r="AO6">
        <v>2320</v>
      </c>
      <c r="AP6">
        <v>1496</v>
      </c>
      <c r="AQ6">
        <v>3752</v>
      </c>
      <c r="AR6">
        <v>2843</v>
      </c>
      <c r="AS6">
        <v>8</v>
      </c>
      <c r="AT6">
        <v>151</v>
      </c>
      <c r="AV6" t="s">
        <v>430</v>
      </c>
      <c r="AW6">
        <v>19</v>
      </c>
      <c r="AX6">
        <v>27.631578947400001</v>
      </c>
      <c r="AY6">
        <v>57</v>
      </c>
      <c r="AZ6">
        <v>2</v>
      </c>
      <c r="BA6">
        <v>31</v>
      </c>
      <c r="BB6">
        <v>1</v>
      </c>
      <c r="BC6">
        <v>0</v>
      </c>
      <c r="BE6">
        <v>1</v>
      </c>
      <c r="BF6">
        <v>1</v>
      </c>
      <c r="BG6">
        <v>86</v>
      </c>
      <c r="BH6">
        <v>7</v>
      </c>
      <c r="BJ6" t="s">
        <v>594</v>
      </c>
      <c r="BK6" t="s">
        <v>395</v>
      </c>
      <c r="BL6">
        <v>6668</v>
      </c>
      <c r="BM6">
        <v>2279</v>
      </c>
      <c r="BN6">
        <v>120.574235153</v>
      </c>
      <c r="BO6">
        <v>19545</v>
      </c>
      <c r="BP6">
        <v>2180</v>
      </c>
      <c r="BQ6">
        <v>201.7706318752</v>
      </c>
      <c r="BR6">
        <v>178.25321100919999</v>
      </c>
      <c r="BS6">
        <v>6691</v>
      </c>
      <c r="BT6">
        <v>2277</v>
      </c>
      <c r="BU6">
        <v>116.1240472276</v>
      </c>
      <c r="BV6">
        <v>18942</v>
      </c>
      <c r="BW6">
        <v>1880</v>
      </c>
      <c r="BX6">
        <v>200.0366381586</v>
      </c>
      <c r="BY6">
        <v>163.58457446809999</v>
      </c>
      <c r="CA6" t="s">
        <v>1051</v>
      </c>
      <c r="CB6" t="s">
        <v>741</v>
      </c>
      <c r="CC6" t="s">
        <v>927</v>
      </c>
      <c r="CD6">
        <v>8040</v>
      </c>
      <c r="CE6">
        <v>996</v>
      </c>
      <c r="CF6">
        <v>71.286940298499999</v>
      </c>
      <c r="CG6">
        <v>23579</v>
      </c>
      <c r="CH6">
        <v>1867</v>
      </c>
      <c r="CI6">
        <v>133.12256669070001</v>
      </c>
      <c r="CJ6">
        <v>125.6298875201</v>
      </c>
      <c r="CL6" t="s">
        <v>1051</v>
      </c>
      <c r="CM6" t="s">
        <v>741</v>
      </c>
      <c r="CN6" t="s">
        <v>927</v>
      </c>
      <c r="CO6">
        <v>8040</v>
      </c>
      <c r="CP6">
        <v>996</v>
      </c>
      <c r="CQ6">
        <v>71.286940298499999</v>
      </c>
      <c r="CR6">
        <v>23579</v>
      </c>
      <c r="CS6">
        <v>1867</v>
      </c>
      <c r="CT6">
        <v>133.12256669070001</v>
      </c>
      <c r="CU6">
        <v>125.6298875201</v>
      </c>
      <c r="CW6" t="s">
        <v>1051</v>
      </c>
      <c r="CX6" t="s">
        <v>741</v>
      </c>
      <c r="CY6" t="s">
        <v>927</v>
      </c>
      <c r="CZ6">
        <v>8040</v>
      </c>
      <c r="DA6">
        <v>996</v>
      </c>
      <c r="DB6">
        <v>71.286940298499999</v>
      </c>
      <c r="DC6">
        <v>23579</v>
      </c>
      <c r="DD6">
        <v>1867</v>
      </c>
      <c r="DE6">
        <v>133.12256669070001</v>
      </c>
      <c r="DF6">
        <v>125.6298875201</v>
      </c>
      <c r="DH6" t="s">
        <v>1051</v>
      </c>
      <c r="DI6" t="s">
        <v>741</v>
      </c>
      <c r="DJ6" t="s">
        <v>927</v>
      </c>
      <c r="DK6">
        <v>8040</v>
      </c>
      <c r="DL6">
        <v>996</v>
      </c>
      <c r="DM6">
        <v>71.286940298499999</v>
      </c>
      <c r="DN6">
        <v>23579</v>
      </c>
      <c r="DO6">
        <v>1867</v>
      </c>
      <c r="DP6">
        <v>133.12256669070001</v>
      </c>
      <c r="DQ6">
        <v>125.6298875201</v>
      </c>
    </row>
    <row r="7" spans="2:121" x14ac:dyDescent="0.25">
      <c r="B7" t="s">
        <v>94</v>
      </c>
      <c r="C7">
        <v>214</v>
      </c>
      <c r="D7">
        <v>32</v>
      </c>
      <c r="F7" t="s">
        <v>61</v>
      </c>
      <c r="G7">
        <v>5326</v>
      </c>
      <c r="H7">
        <v>217.2977844536</v>
      </c>
      <c r="I7">
        <v>8960</v>
      </c>
      <c r="J7">
        <v>2110</v>
      </c>
      <c r="K7">
        <v>8313</v>
      </c>
      <c r="L7">
        <v>4015</v>
      </c>
      <c r="M7">
        <v>1772</v>
      </c>
      <c r="N7">
        <v>1450</v>
      </c>
      <c r="O7">
        <v>1653</v>
      </c>
      <c r="P7">
        <v>1295</v>
      </c>
      <c r="Q7">
        <v>5</v>
      </c>
      <c r="R7">
        <v>222</v>
      </c>
      <c r="T7" t="s">
        <v>472</v>
      </c>
      <c r="U7">
        <v>17840</v>
      </c>
      <c r="V7">
        <v>86.940975336299999</v>
      </c>
      <c r="W7">
        <v>25129</v>
      </c>
      <c r="X7">
        <v>3465</v>
      </c>
      <c r="Y7">
        <v>30171</v>
      </c>
      <c r="Z7">
        <v>6798</v>
      </c>
      <c r="AA7">
        <v>889</v>
      </c>
      <c r="AB7">
        <v>840</v>
      </c>
      <c r="AC7">
        <v>4661</v>
      </c>
      <c r="AD7">
        <v>950</v>
      </c>
      <c r="AE7">
        <v>11295</v>
      </c>
      <c r="AF7">
        <v>5192</v>
      </c>
      <c r="AH7" t="s">
        <v>417</v>
      </c>
      <c r="AI7">
        <v>32063</v>
      </c>
      <c r="AJ7">
        <v>359.36796307269998</v>
      </c>
      <c r="AK7">
        <v>31630</v>
      </c>
      <c r="AL7">
        <v>8271</v>
      </c>
      <c r="AM7">
        <v>45634</v>
      </c>
      <c r="AN7">
        <v>28265</v>
      </c>
      <c r="AO7">
        <v>7492</v>
      </c>
      <c r="AP7">
        <v>5623</v>
      </c>
      <c r="AQ7">
        <v>11699</v>
      </c>
      <c r="AR7">
        <v>7587</v>
      </c>
      <c r="AS7">
        <v>51</v>
      </c>
      <c r="AT7">
        <v>168</v>
      </c>
      <c r="AV7" t="s">
        <v>398</v>
      </c>
      <c r="AW7">
        <v>471</v>
      </c>
      <c r="AX7">
        <v>75.8619957537</v>
      </c>
      <c r="AY7">
        <v>645</v>
      </c>
      <c r="AZ7">
        <v>32</v>
      </c>
      <c r="BA7">
        <v>915</v>
      </c>
      <c r="BB7">
        <v>96</v>
      </c>
      <c r="BC7">
        <v>17</v>
      </c>
      <c r="BD7">
        <v>17</v>
      </c>
      <c r="BE7">
        <v>57</v>
      </c>
      <c r="BF7">
        <v>16</v>
      </c>
      <c r="BG7">
        <v>405</v>
      </c>
      <c r="BH7">
        <v>51</v>
      </c>
      <c r="BJ7" t="s">
        <v>641</v>
      </c>
      <c r="BK7" t="s">
        <v>395</v>
      </c>
      <c r="BL7">
        <v>867</v>
      </c>
      <c r="BM7">
        <v>80</v>
      </c>
      <c r="BN7">
        <v>66.489042675899995</v>
      </c>
      <c r="BO7">
        <v>3242</v>
      </c>
      <c r="BP7">
        <v>330</v>
      </c>
      <c r="BQ7">
        <v>105.1239975324</v>
      </c>
      <c r="BR7">
        <v>104.1</v>
      </c>
      <c r="BS7">
        <v>1615</v>
      </c>
      <c r="BT7">
        <v>426</v>
      </c>
      <c r="BU7">
        <v>114.6606811146</v>
      </c>
      <c r="BV7">
        <v>5952</v>
      </c>
      <c r="BW7">
        <v>611</v>
      </c>
      <c r="BX7">
        <v>170.94052419350001</v>
      </c>
      <c r="BY7">
        <v>167.60883797049999</v>
      </c>
      <c r="CA7" t="s">
        <v>421</v>
      </c>
      <c r="CB7" t="s">
        <v>777</v>
      </c>
      <c r="CC7" t="s">
        <v>1006</v>
      </c>
      <c r="CD7">
        <v>3751</v>
      </c>
      <c r="CE7">
        <v>652</v>
      </c>
      <c r="CF7">
        <v>84.722474006900001</v>
      </c>
      <c r="CG7">
        <v>12777</v>
      </c>
      <c r="CH7">
        <v>964</v>
      </c>
      <c r="CI7">
        <v>168.07341316430001</v>
      </c>
      <c r="CJ7">
        <v>157.88796680499999</v>
      </c>
      <c r="CL7" t="s">
        <v>421</v>
      </c>
      <c r="CM7" t="s">
        <v>758</v>
      </c>
      <c r="CN7" t="s">
        <v>757</v>
      </c>
      <c r="CO7">
        <v>224</v>
      </c>
      <c r="CP7">
        <v>19</v>
      </c>
      <c r="CQ7">
        <v>54.482142857100001</v>
      </c>
      <c r="CR7">
        <v>1860</v>
      </c>
      <c r="CS7">
        <v>141</v>
      </c>
      <c r="CT7">
        <v>49.789784946200001</v>
      </c>
      <c r="CU7">
        <v>55.510638297900002</v>
      </c>
      <c r="CW7" t="s">
        <v>421</v>
      </c>
      <c r="CX7" t="s">
        <v>768</v>
      </c>
      <c r="CY7" t="s">
        <v>767</v>
      </c>
      <c r="CZ7">
        <v>29</v>
      </c>
      <c r="DA7">
        <v>3</v>
      </c>
      <c r="DB7">
        <v>60.034482758599999</v>
      </c>
      <c r="DC7">
        <v>134</v>
      </c>
      <c r="DD7">
        <v>6</v>
      </c>
      <c r="DE7">
        <v>135.7611940299</v>
      </c>
      <c r="DF7">
        <v>115</v>
      </c>
      <c r="DH7" t="s">
        <v>421</v>
      </c>
      <c r="DI7" t="s">
        <v>748</v>
      </c>
      <c r="DJ7" t="s">
        <v>747</v>
      </c>
      <c r="DK7">
        <v>29</v>
      </c>
      <c r="DL7">
        <v>3</v>
      </c>
      <c r="DM7">
        <v>75.620689655199996</v>
      </c>
      <c r="DN7">
        <v>108</v>
      </c>
      <c r="DO7">
        <v>6</v>
      </c>
      <c r="DP7">
        <v>145.712962963</v>
      </c>
      <c r="DQ7">
        <v>121.6666666667</v>
      </c>
    </row>
    <row r="8" spans="2:121" x14ac:dyDescent="0.25">
      <c r="B8" t="s">
        <v>103</v>
      </c>
      <c r="C8">
        <v>230</v>
      </c>
      <c r="D8">
        <v>155</v>
      </c>
      <c r="F8" t="s">
        <v>27</v>
      </c>
      <c r="G8">
        <v>2418</v>
      </c>
      <c r="H8">
        <v>134.86600496279999</v>
      </c>
      <c r="I8">
        <v>6626</v>
      </c>
      <c r="J8">
        <v>1533</v>
      </c>
      <c r="K8">
        <v>9808</v>
      </c>
      <c r="L8">
        <v>2488</v>
      </c>
      <c r="M8">
        <v>1108</v>
      </c>
      <c r="N8">
        <v>486</v>
      </c>
      <c r="O8">
        <v>492</v>
      </c>
      <c r="P8">
        <v>188</v>
      </c>
      <c r="Q8">
        <v>0</v>
      </c>
      <c r="R8">
        <v>63</v>
      </c>
      <c r="AH8" t="s">
        <v>413</v>
      </c>
      <c r="AI8">
        <v>7719</v>
      </c>
      <c r="AJ8">
        <v>397.09275812930002</v>
      </c>
      <c r="AK8">
        <v>7217</v>
      </c>
      <c r="AL8">
        <v>2353</v>
      </c>
      <c r="AM8">
        <v>10440</v>
      </c>
      <c r="AN8">
        <v>6757</v>
      </c>
      <c r="AO8">
        <v>2120</v>
      </c>
      <c r="AP8">
        <v>1721</v>
      </c>
      <c r="AQ8">
        <v>4873</v>
      </c>
      <c r="AR8">
        <v>3449</v>
      </c>
      <c r="AS8">
        <v>10</v>
      </c>
      <c r="AT8">
        <v>69</v>
      </c>
      <c r="AV8" t="s">
        <v>419</v>
      </c>
      <c r="AW8">
        <v>60</v>
      </c>
      <c r="AX8">
        <v>43.833333333299997</v>
      </c>
      <c r="AY8">
        <v>268</v>
      </c>
      <c r="AZ8">
        <v>10</v>
      </c>
      <c r="BA8">
        <v>128</v>
      </c>
      <c r="BB8">
        <v>9</v>
      </c>
      <c r="BC8">
        <v>1</v>
      </c>
      <c r="BD8">
        <v>1</v>
      </c>
      <c r="BE8">
        <v>9</v>
      </c>
      <c r="BF8">
        <v>6</v>
      </c>
      <c r="BG8">
        <v>215</v>
      </c>
      <c r="BH8">
        <v>43</v>
      </c>
      <c r="BJ8" t="s">
        <v>629</v>
      </c>
      <c r="BK8" t="s">
        <v>395</v>
      </c>
      <c r="BL8">
        <v>17395</v>
      </c>
      <c r="BM8">
        <v>5179</v>
      </c>
      <c r="BN8">
        <v>116.03340040240001</v>
      </c>
      <c r="BO8">
        <v>47831</v>
      </c>
      <c r="BP8">
        <v>4249</v>
      </c>
      <c r="BQ8">
        <v>213.11948318040001</v>
      </c>
      <c r="BR8">
        <v>204.5721346199</v>
      </c>
      <c r="BS8">
        <v>13783</v>
      </c>
      <c r="BT8">
        <v>3199</v>
      </c>
      <c r="BU8">
        <v>101.3784372053</v>
      </c>
      <c r="BV8">
        <v>34558</v>
      </c>
      <c r="BW8">
        <v>3102</v>
      </c>
      <c r="BX8">
        <v>212.93413970719999</v>
      </c>
      <c r="BY8">
        <v>190.2350096712</v>
      </c>
      <c r="CA8" t="s">
        <v>413</v>
      </c>
      <c r="CB8" t="s">
        <v>777</v>
      </c>
      <c r="CC8" t="s">
        <v>1007</v>
      </c>
      <c r="CD8">
        <v>6817</v>
      </c>
      <c r="CE8">
        <v>2310</v>
      </c>
      <c r="CF8">
        <v>120.2659527651</v>
      </c>
      <c r="CG8">
        <v>21342</v>
      </c>
      <c r="CH8">
        <v>2392</v>
      </c>
      <c r="CI8">
        <v>188.78582138510001</v>
      </c>
      <c r="CJ8">
        <v>167.36956521740001</v>
      </c>
      <c r="CL8" t="s">
        <v>413</v>
      </c>
      <c r="CM8" t="s">
        <v>758</v>
      </c>
      <c r="CN8" t="s">
        <v>759</v>
      </c>
      <c r="CO8">
        <v>291</v>
      </c>
      <c r="CP8">
        <v>31</v>
      </c>
      <c r="CQ8">
        <v>60.305841924399999</v>
      </c>
      <c r="CR8">
        <v>1957</v>
      </c>
      <c r="CS8">
        <v>171</v>
      </c>
      <c r="CT8">
        <v>60.911599386799999</v>
      </c>
      <c r="CU8">
        <v>62.0760233918</v>
      </c>
      <c r="CW8" t="s">
        <v>413</v>
      </c>
      <c r="CX8" t="s">
        <v>768</v>
      </c>
      <c r="CY8" t="s">
        <v>769</v>
      </c>
      <c r="CZ8">
        <v>207</v>
      </c>
      <c r="DA8">
        <v>31</v>
      </c>
      <c r="DB8">
        <v>74.304347826099999</v>
      </c>
      <c r="DC8">
        <v>754</v>
      </c>
      <c r="DD8">
        <v>65</v>
      </c>
      <c r="DE8">
        <v>121.40583554379999</v>
      </c>
      <c r="DF8">
        <v>110.3384615385</v>
      </c>
      <c r="DH8" t="s">
        <v>413</v>
      </c>
      <c r="DI8" t="s">
        <v>748</v>
      </c>
      <c r="DJ8" t="s">
        <v>749</v>
      </c>
      <c r="DK8">
        <v>332</v>
      </c>
      <c r="DL8">
        <v>13</v>
      </c>
      <c r="DM8">
        <v>58.268072289199999</v>
      </c>
      <c r="DN8">
        <v>1084</v>
      </c>
      <c r="DO8">
        <v>99</v>
      </c>
      <c r="DP8">
        <v>155.89944649450001</v>
      </c>
      <c r="DQ8">
        <v>121.9797979798</v>
      </c>
    </row>
    <row r="9" spans="2:121" x14ac:dyDescent="0.25">
      <c r="B9" t="s">
        <v>95</v>
      </c>
      <c r="C9">
        <v>13</v>
      </c>
      <c r="D9">
        <v>5</v>
      </c>
      <c r="F9" t="s">
        <v>24</v>
      </c>
      <c r="G9">
        <v>1116</v>
      </c>
      <c r="H9">
        <v>77.424731182800002</v>
      </c>
      <c r="I9">
        <v>4389</v>
      </c>
      <c r="J9">
        <v>1201</v>
      </c>
      <c r="K9">
        <v>1951</v>
      </c>
      <c r="L9">
        <v>368</v>
      </c>
      <c r="M9">
        <v>244</v>
      </c>
      <c r="N9">
        <v>45</v>
      </c>
      <c r="O9">
        <v>459</v>
      </c>
      <c r="P9">
        <v>295</v>
      </c>
      <c r="Q9">
        <v>0</v>
      </c>
      <c r="R9">
        <v>0</v>
      </c>
      <c r="AH9" t="s">
        <v>383</v>
      </c>
      <c r="AI9">
        <v>1998</v>
      </c>
      <c r="AJ9">
        <v>253.93643643639999</v>
      </c>
      <c r="AK9">
        <v>1848</v>
      </c>
      <c r="AL9">
        <v>421</v>
      </c>
      <c r="AM9">
        <v>3622</v>
      </c>
      <c r="AN9">
        <v>1791</v>
      </c>
      <c r="AO9">
        <v>410</v>
      </c>
      <c r="AP9">
        <v>301</v>
      </c>
      <c r="AQ9">
        <v>809</v>
      </c>
      <c r="AR9">
        <v>492</v>
      </c>
      <c r="AS9">
        <v>195</v>
      </c>
      <c r="AT9">
        <v>3</v>
      </c>
      <c r="AV9" t="s">
        <v>427</v>
      </c>
      <c r="AW9">
        <v>28</v>
      </c>
      <c r="AX9">
        <v>105.57142857140001</v>
      </c>
      <c r="AY9">
        <v>25</v>
      </c>
      <c r="AZ9">
        <v>4</v>
      </c>
      <c r="BA9">
        <v>40</v>
      </c>
      <c r="BB9">
        <v>15</v>
      </c>
      <c r="BC9">
        <v>2</v>
      </c>
      <c r="BD9">
        <v>2</v>
      </c>
      <c r="BE9">
        <v>11</v>
      </c>
      <c r="BF9">
        <v>1</v>
      </c>
      <c r="BG9">
        <v>7</v>
      </c>
      <c r="BH9">
        <v>6</v>
      </c>
      <c r="BJ9" t="s">
        <v>565</v>
      </c>
      <c r="BK9" t="s">
        <v>395</v>
      </c>
      <c r="BL9">
        <v>3966</v>
      </c>
      <c r="BM9">
        <v>1519</v>
      </c>
      <c r="BN9">
        <v>147.293494705</v>
      </c>
      <c r="BO9">
        <v>14781</v>
      </c>
      <c r="BP9">
        <v>1366</v>
      </c>
      <c r="BQ9">
        <v>240.59204384009999</v>
      </c>
      <c r="BR9">
        <v>185.663250366</v>
      </c>
      <c r="BS9">
        <v>4270</v>
      </c>
      <c r="BT9">
        <v>1552</v>
      </c>
      <c r="BU9">
        <v>134.0400468384</v>
      </c>
      <c r="BV9">
        <v>13916</v>
      </c>
      <c r="BW9">
        <v>1454</v>
      </c>
      <c r="BX9">
        <v>232.5117849957</v>
      </c>
      <c r="BY9">
        <v>170.7510316369</v>
      </c>
      <c r="CA9" t="s">
        <v>397</v>
      </c>
      <c r="CB9" t="s">
        <v>777</v>
      </c>
      <c r="CC9" t="s">
        <v>1008</v>
      </c>
      <c r="CD9">
        <v>5858</v>
      </c>
      <c r="CE9">
        <v>1450</v>
      </c>
      <c r="CF9">
        <v>97.382212359199997</v>
      </c>
      <c r="CG9">
        <v>17820</v>
      </c>
      <c r="CH9">
        <v>1565</v>
      </c>
      <c r="CI9">
        <v>178.33232323230001</v>
      </c>
      <c r="CJ9">
        <v>159.50287539940001</v>
      </c>
      <c r="CL9" t="s">
        <v>397</v>
      </c>
      <c r="CM9" t="s">
        <v>758</v>
      </c>
      <c r="CN9" t="s">
        <v>760</v>
      </c>
      <c r="CO9">
        <v>310</v>
      </c>
      <c r="CP9">
        <v>29</v>
      </c>
      <c r="CQ9">
        <v>59.309677419400003</v>
      </c>
      <c r="CR9">
        <v>2772</v>
      </c>
      <c r="CS9">
        <v>193</v>
      </c>
      <c r="CT9">
        <v>52.588383838399999</v>
      </c>
      <c r="CU9">
        <v>58.621761657999997</v>
      </c>
      <c r="CW9" t="s">
        <v>397</v>
      </c>
      <c r="CX9" t="s">
        <v>768</v>
      </c>
      <c r="CY9" t="s">
        <v>770</v>
      </c>
      <c r="CZ9">
        <v>65</v>
      </c>
      <c r="DA9">
        <v>9</v>
      </c>
      <c r="DB9">
        <v>70.630769230799999</v>
      </c>
      <c r="DC9">
        <v>235</v>
      </c>
      <c r="DD9">
        <v>22</v>
      </c>
      <c r="DE9">
        <v>133.64680851060001</v>
      </c>
      <c r="DF9">
        <v>116.1818181818</v>
      </c>
      <c r="DH9" t="s">
        <v>397</v>
      </c>
      <c r="DI9" t="s">
        <v>748</v>
      </c>
      <c r="DJ9" t="s">
        <v>750</v>
      </c>
      <c r="DK9">
        <v>108</v>
      </c>
      <c r="DL9">
        <v>6</v>
      </c>
      <c r="DM9">
        <v>65.101851851899994</v>
      </c>
      <c r="DN9">
        <v>451</v>
      </c>
      <c r="DO9">
        <v>27</v>
      </c>
      <c r="DP9">
        <v>155.7605321508</v>
      </c>
      <c r="DQ9">
        <v>114.4074074074</v>
      </c>
    </row>
    <row r="10" spans="2:121" x14ac:dyDescent="0.25">
      <c r="B10" t="s">
        <v>323</v>
      </c>
      <c r="C10">
        <v>1</v>
      </c>
      <c r="D10">
        <v>1</v>
      </c>
      <c r="F10" t="s">
        <v>62</v>
      </c>
      <c r="G10">
        <v>5645</v>
      </c>
      <c r="H10">
        <v>403.33162090349998</v>
      </c>
      <c r="I10">
        <v>5443</v>
      </c>
      <c r="J10">
        <v>1359</v>
      </c>
      <c r="K10">
        <v>6977</v>
      </c>
      <c r="L10">
        <v>4435</v>
      </c>
      <c r="M10">
        <v>585</v>
      </c>
      <c r="N10">
        <v>457</v>
      </c>
      <c r="O10">
        <v>946</v>
      </c>
      <c r="P10">
        <v>452</v>
      </c>
      <c r="Q10">
        <v>2</v>
      </c>
      <c r="R10">
        <v>305</v>
      </c>
      <c r="AH10" t="s">
        <v>433</v>
      </c>
      <c r="AI10">
        <v>1052</v>
      </c>
      <c r="AJ10">
        <v>351.28326996200002</v>
      </c>
      <c r="AK10">
        <v>987</v>
      </c>
      <c r="AL10">
        <v>326</v>
      </c>
      <c r="AM10">
        <v>1264</v>
      </c>
      <c r="AN10">
        <v>701</v>
      </c>
      <c r="AO10">
        <v>68</v>
      </c>
      <c r="AP10">
        <v>52</v>
      </c>
      <c r="AQ10">
        <v>384</v>
      </c>
      <c r="AR10">
        <v>190</v>
      </c>
      <c r="AS10">
        <v>43</v>
      </c>
      <c r="AT10">
        <v>1</v>
      </c>
      <c r="AV10" t="s">
        <v>381</v>
      </c>
      <c r="AW10">
        <v>337</v>
      </c>
      <c r="AX10">
        <v>95.474777448099999</v>
      </c>
      <c r="AY10">
        <v>399</v>
      </c>
      <c r="AZ10">
        <v>91</v>
      </c>
      <c r="BA10">
        <v>551</v>
      </c>
      <c r="BB10">
        <v>169</v>
      </c>
      <c r="BC10">
        <v>14</v>
      </c>
      <c r="BD10">
        <v>12</v>
      </c>
      <c r="BE10">
        <v>147</v>
      </c>
      <c r="BF10">
        <v>22</v>
      </c>
      <c r="BG10">
        <v>46</v>
      </c>
      <c r="BH10">
        <v>139</v>
      </c>
      <c r="BJ10" t="s">
        <v>617</v>
      </c>
      <c r="BK10" t="s">
        <v>395</v>
      </c>
      <c r="BL10">
        <v>3728</v>
      </c>
      <c r="BM10">
        <v>637</v>
      </c>
      <c r="BN10">
        <v>83.415504291800005</v>
      </c>
      <c r="BO10">
        <v>12287</v>
      </c>
      <c r="BP10">
        <v>922</v>
      </c>
      <c r="BQ10">
        <v>170.97086351429999</v>
      </c>
      <c r="BR10">
        <v>170.8872017354</v>
      </c>
      <c r="BS10">
        <v>4264</v>
      </c>
      <c r="BT10">
        <v>1118</v>
      </c>
      <c r="BU10">
        <v>96.662054409000007</v>
      </c>
      <c r="BV10">
        <v>14793</v>
      </c>
      <c r="BW10">
        <v>1396</v>
      </c>
      <c r="BX10">
        <v>175.78449266539999</v>
      </c>
      <c r="BY10">
        <v>180.88896848140001</v>
      </c>
      <c r="CA10" t="s">
        <v>399</v>
      </c>
      <c r="CB10" t="s">
        <v>777</v>
      </c>
      <c r="CC10" t="s">
        <v>1009</v>
      </c>
      <c r="CD10">
        <v>3637</v>
      </c>
      <c r="CE10">
        <v>1122</v>
      </c>
      <c r="CF10">
        <v>126.0288699478</v>
      </c>
      <c r="CG10">
        <v>14514</v>
      </c>
      <c r="CH10">
        <v>1287</v>
      </c>
      <c r="CI10">
        <v>222.73818382249999</v>
      </c>
      <c r="CJ10">
        <v>173.20823620819999</v>
      </c>
      <c r="CL10" t="s">
        <v>399</v>
      </c>
      <c r="CM10" t="s">
        <v>758</v>
      </c>
      <c r="CN10" t="s">
        <v>761</v>
      </c>
      <c r="CO10">
        <v>261</v>
      </c>
      <c r="CP10">
        <v>33</v>
      </c>
      <c r="CQ10">
        <v>67.804597701099993</v>
      </c>
      <c r="CR10">
        <v>1966</v>
      </c>
      <c r="CS10">
        <v>141</v>
      </c>
      <c r="CT10">
        <v>59.853001017300002</v>
      </c>
      <c r="CU10">
        <v>68.382978723400001</v>
      </c>
      <c r="CW10" t="s">
        <v>399</v>
      </c>
      <c r="CX10" t="s">
        <v>768</v>
      </c>
      <c r="CY10" t="s">
        <v>771</v>
      </c>
      <c r="CZ10">
        <v>73</v>
      </c>
      <c r="DA10">
        <v>9</v>
      </c>
      <c r="DB10">
        <v>76.986301369900005</v>
      </c>
      <c r="DC10">
        <v>152</v>
      </c>
      <c r="DD10">
        <v>18</v>
      </c>
      <c r="DE10">
        <v>150.8552631579</v>
      </c>
      <c r="DF10">
        <v>168.6111111111</v>
      </c>
      <c r="DH10" t="s">
        <v>399</v>
      </c>
      <c r="DI10" t="s">
        <v>748</v>
      </c>
      <c r="DJ10" t="s">
        <v>751</v>
      </c>
      <c r="DK10">
        <v>67</v>
      </c>
      <c r="DL10">
        <v>13</v>
      </c>
      <c r="DM10">
        <v>82.955223880600002</v>
      </c>
      <c r="DN10">
        <v>211</v>
      </c>
      <c r="DO10">
        <v>13</v>
      </c>
      <c r="DP10">
        <v>129.03317535549999</v>
      </c>
      <c r="DQ10">
        <v>126.69230769230001</v>
      </c>
    </row>
    <row r="11" spans="2:121" x14ac:dyDescent="0.25">
      <c r="B11" t="s">
        <v>127</v>
      </c>
      <c r="C11">
        <v>660</v>
      </c>
      <c r="D11">
        <v>358</v>
      </c>
      <c r="F11" t="s">
        <v>36</v>
      </c>
      <c r="G11">
        <v>8598</v>
      </c>
      <c r="H11">
        <v>653.58118167019995</v>
      </c>
      <c r="I11">
        <v>4734</v>
      </c>
      <c r="J11">
        <v>1314</v>
      </c>
      <c r="K11">
        <v>9933</v>
      </c>
      <c r="L11">
        <v>8136</v>
      </c>
      <c r="M11">
        <v>1024</v>
      </c>
      <c r="N11">
        <v>909</v>
      </c>
      <c r="O11">
        <v>6199</v>
      </c>
      <c r="P11">
        <v>5249</v>
      </c>
      <c r="Q11">
        <v>31</v>
      </c>
      <c r="R11">
        <v>5</v>
      </c>
      <c r="AH11" t="s">
        <v>424</v>
      </c>
      <c r="AI11">
        <v>500</v>
      </c>
      <c r="AJ11">
        <v>489.06400000000002</v>
      </c>
      <c r="AK11">
        <v>493</v>
      </c>
      <c r="AL11">
        <v>158</v>
      </c>
      <c r="AM11">
        <v>702</v>
      </c>
      <c r="AN11">
        <v>461</v>
      </c>
      <c r="AO11">
        <v>123</v>
      </c>
      <c r="AP11">
        <v>101</v>
      </c>
      <c r="AQ11">
        <v>331</v>
      </c>
      <c r="AR11">
        <v>235</v>
      </c>
      <c r="AS11">
        <v>21</v>
      </c>
      <c r="AT11">
        <v>1</v>
      </c>
      <c r="AV11" t="s">
        <v>418</v>
      </c>
      <c r="AW11">
        <v>33</v>
      </c>
      <c r="AX11">
        <v>28.909090909100001</v>
      </c>
      <c r="AY11">
        <v>86</v>
      </c>
      <c r="AZ11">
        <v>6</v>
      </c>
      <c r="BA11">
        <v>51</v>
      </c>
      <c r="BC11">
        <v>1</v>
      </c>
      <c r="BD11">
        <v>1</v>
      </c>
      <c r="BE11">
        <v>0</v>
      </c>
      <c r="BG11">
        <v>68</v>
      </c>
      <c r="BH11">
        <v>11</v>
      </c>
      <c r="BJ11" t="s">
        <v>619</v>
      </c>
      <c r="BK11" t="s">
        <v>395</v>
      </c>
      <c r="BL11">
        <v>6677</v>
      </c>
      <c r="BM11">
        <v>1527</v>
      </c>
      <c r="BN11">
        <v>101.4747641156</v>
      </c>
      <c r="BO11">
        <v>21497</v>
      </c>
      <c r="BP11">
        <v>1803</v>
      </c>
      <c r="BQ11">
        <v>160.92143089730001</v>
      </c>
      <c r="BR11">
        <v>151.05768164169999</v>
      </c>
      <c r="BS11">
        <v>8103</v>
      </c>
      <c r="BT11">
        <v>2436</v>
      </c>
      <c r="BU11">
        <v>115.8353696162</v>
      </c>
      <c r="BV11">
        <v>30845</v>
      </c>
      <c r="BW11">
        <v>2527</v>
      </c>
      <c r="BX11">
        <v>176.4781325985</v>
      </c>
      <c r="BY11">
        <v>167.25128611</v>
      </c>
      <c r="CA11" t="s">
        <v>428</v>
      </c>
      <c r="CB11" t="s">
        <v>777</v>
      </c>
      <c r="CC11" t="s">
        <v>1010</v>
      </c>
      <c r="CD11">
        <v>923</v>
      </c>
      <c r="CE11">
        <v>110</v>
      </c>
      <c r="CF11">
        <v>72.711809317399997</v>
      </c>
      <c r="CG11">
        <v>3633</v>
      </c>
      <c r="CH11">
        <v>367</v>
      </c>
      <c r="CI11">
        <v>114.0189925681</v>
      </c>
      <c r="CJ11">
        <v>112.7002724796</v>
      </c>
      <c r="CL11" t="s">
        <v>428</v>
      </c>
      <c r="CM11" t="s">
        <v>758</v>
      </c>
      <c r="CN11" t="s">
        <v>762</v>
      </c>
      <c r="CO11">
        <v>90</v>
      </c>
      <c r="CP11">
        <v>3</v>
      </c>
      <c r="CQ11">
        <v>45.355555555599999</v>
      </c>
      <c r="CR11">
        <v>553</v>
      </c>
      <c r="CS11">
        <v>52</v>
      </c>
      <c r="CT11">
        <v>53.904159131999997</v>
      </c>
      <c r="CU11">
        <v>76.076923076900002</v>
      </c>
      <c r="CW11" t="s">
        <v>428</v>
      </c>
      <c r="CX11" t="s">
        <v>768</v>
      </c>
      <c r="CY11" t="s">
        <v>772</v>
      </c>
      <c r="CZ11">
        <v>19</v>
      </c>
      <c r="DA11">
        <v>4</v>
      </c>
      <c r="DB11">
        <v>58.526315789500003</v>
      </c>
      <c r="DC11">
        <v>81</v>
      </c>
      <c r="DD11">
        <v>8</v>
      </c>
      <c r="DE11">
        <v>129.79012345679999</v>
      </c>
      <c r="DF11">
        <v>81.125</v>
      </c>
      <c r="DH11" t="s">
        <v>428</v>
      </c>
      <c r="DI11" t="s">
        <v>748</v>
      </c>
      <c r="DJ11" t="s">
        <v>752</v>
      </c>
      <c r="DK11">
        <v>9</v>
      </c>
      <c r="DL11">
        <v>1</v>
      </c>
      <c r="DM11">
        <v>56.555555555600002</v>
      </c>
      <c r="DN11">
        <v>55</v>
      </c>
      <c r="DO11">
        <v>0</v>
      </c>
      <c r="DP11">
        <v>171.16363636360001</v>
      </c>
      <c r="DQ11">
        <v>0</v>
      </c>
    </row>
    <row r="12" spans="2:121" x14ac:dyDescent="0.25">
      <c r="B12" t="s">
        <v>100</v>
      </c>
      <c r="C12">
        <v>185</v>
      </c>
      <c r="D12">
        <v>96</v>
      </c>
      <c r="F12" t="s">
        <v>60</v>
      </c>
      <c r="G12">
        <v>12493</v>
      </c>
      <c r="H12">
        <v>367.30240934919999</v>
      </c>
      <c r="I12">
        <v>7326</v>
      </c>
      <c r="J12">
        <v>1562</v>
      </c>
      <c r="K12">
        <v>14068</v>
      </c>
      <c r="L12">
        <v>9951</v>
      </c>
      <c r="M12">
        <v>4293</v>
      </c>
      <c r="N12">
        <v>3937</v>
      </c>
      <c r="O12">
        <v>2316</v>
      </c>
      <c r="P12">
        <v>1760</v>
      </c>
      <c r="Q12">
        <v>2</v>
      </c>
      <c r="R12">
        <v>363</v>
      </c>
      <c r="T12" t="s">
        <v>658</v>
      </c>
      <c r="U12" t="s">
        <v>315</v>
      </c>
      <c r="V12" t="s">
        <v>139</v>
      </c>
      <c r="W12" t="s">
        <v>222</v>
      </c>
      <c r="X12" t="s">
        <v>223</v>
      </c>
      <c r="Y12" t="s">
        <v>224</v>
      </c>
      <c r="Z12" t="s">
        <v>225</v>
      </c>
      <c r="AA12" t="s">
        <v>226</v>
      </c>
      <c r="AB12" t="s">
        <v>227</v>
      </c>
      <c r="AC12" t="s">
        <v>228</v>
      </c>
      <c r="AD12" t="s">
        <v>229</v>
      </c>
      <c r="AE12" t="s">
        <v>230</v>
      </c>
      <c r="AF12" t="s">
        <v>231</v>
      </c>
      <c r="AH12" t="s">
        <v>435</v>
      </c>
      <c r="AI12">
        <v>20299</v>
      </c>
      <c r="AJ12">
        <v>324.86452534609998</v>
      </c>
      <c r="AK12">
        <v>24014</v>
      </c>
      <c r="AL12">
        <v>7763</v>
      </c>
      <c r="AM12">
        <v>28437</v>
      </c>
      <c r="AN12">
        <v>17071</v>
      </c>
      <c r="AO12">
        <v>3808</v>
      </c>
      <c r="AP12">
        <v>2716</v>
      </c>
      <c r="AQ12">
        <v>11913</v>
      </c>
      <c r="AR12">
        <v>6802</v>
      </c>
      <c r="AS12">
        <v>1408</v>
      </c>
      <c r="AT12">
        <v>255</v>
      </c>
      <c r="AV12" t="s">
        <v>435</v>
      </c>
      <c r="AW12">
        <v>2324</v>
      </c>
      <c r="AX12">
        <v>95.978485370100003</v>
      </c>
      <c r="AY12">
        <v>2409</v>
      </c>
      <c r="AZ12">
        <v>549</v>
      </c>
      <c r="BA12">
        <v>3694</v>
      </c>
      <c r="BB12">
        <v>998</v>
      </c>
      <c r="BC12">
        <v>113</v>
      </c>
      <c r="BD12">
        <v>108</v>
      </c>
      <c r="BE12">
        <v>669</v>
      </c>
      <c r="BF12">
        <v>108</v>
      </c>
      <c r="BG12">
        <v>277</v>
      </c>
      <c r="BH12">
        <v>632</v>
      </c>
      <c r="BJ12" t="s">
        <v>561</v>
      </c>
      <c r="BK12" t="s">
        <v>395</v>
      </c>
      <c r="BL12">
        <v>5682</v>
      </c>
      <c r="BM12">
        <v>1363</v>
      </c>
      <c r="BN12">
        <v>95.193769799400002</v>
      </c>
      <c r="BO12">
        <v>16283</v>
      </c>
      <c r="BP12">
        <v>1447</v>
      </c>
      <c r="BQ12">
        <v>185.07424921699999</v>
      </c>
      <c r="BR12">
        <v>166.76917760879999</v>
      </c>
      <c r="BS12">
        <v>5087</v>
      </c>
      <c r="BT12">
        <v>770</v>
      </c>
      <c r="BU12">
        <v>77.831531354399999</v>
      </c>
      <c r="BV12">
        <v>12446</v>
      </c>
      <c r="BW12">
        <v>1156</v>
      </c>
      <c r="BX12">
        <v>179.4689056725</v>
      </c>
      <c r="BY12">
        <v>149.5259515571</v>
      </c>
      <c r="CA12" t="s">
        <v>422</v>
      </c>
      <c r="CB12" t="s">
        <v>777</v>
      </c>
      <c r="CC12" t="s">
        <v>1011</v>
      </c>
      <c r="CD12">
        <v>6721</v>
      </c>
      <c r="CE12">
        <v>1505</v>
      </c>
      <c r="CF12">
        <v>91.462133611100001</v>
      </c>
      <c r="CG12">
        <v>22642</v>
      </c>
      <c r="CH12">
        <v>1917</v>
      </c>
      <c r="CI12">
        <v>156.45159438210001</v>
      </c>
      <c r="CJ12">
        <v>145.8549817423</v>
      </c>
      <c r="CL12" t="s">
        <v>422</v>
      </c>
      <c r="CM12" t="s">
        <v>758</v>
      </c>
      <c r="CN12" t="s">
        <v>763</v>
      </c>
      <c r="CO12">
        <v>415</v>
      </c>
      <c r="CP12">
        <v>28</v>
      </c>
      <c r="CQ12">
        <v>55.122891566299998</v>
      </c>
      <c r="CR12">
        <v>2769</v>
      </c>
      <c r="CS12">
        <v>241</v>
      </c>
      <c r="CT12">
        <v>60.996027446699998</v>
      </c>
      <c r="CU12">
        <v>68.759336099600006</v>
      </c>
      <c r="CW12" t="s">
        <v>422</v>
      </c>
      <c r="CX12" t="s">
        <v>768</v>
      </c>
      <c r="CY12" t="s">
        <v>773</v>
      </c>
      <c r="CZ12">
        <v>110</v>
      </c>
      <c r="DA12">
        <v>13</v>
      </c>
      <c r="DB12">
        <v>67.027272727300002</v>
      </c>
      <c r="DC12">
        <v>394</v>
      </c>
      <c r="DD12">
        <v>31</v>
      </c>
      <c r="DE12">
        <v>124.8426395939</v>
      </c>
      <c r="DF12">
        <v>120.80645161290001</v>
      </c>
      <c r="DH12" t="s">
        <v>422</v>
      </c>
      <c r="DI12" t="s">
        <v>748</v>
      </c>
      <c r="DJ12" t="s">
        <v>753</v>
      </c>
      <c r="DK12">
        <v>166</v>
      </c>
      <c r="DL12">
        <v>15</v>
      </c>
      <c r="DM12">
        <v>74.084337349400002</v>
      </c>
      <c r="DN12">
        <v>699</v>
      </c>
      <c r="DO12">
        <v>47</v>
      </c>
      <c r="DP12">
        <v>157.98712446350001</v>
      </c>
      <c r="DQ12">
        <v>131.51063829789999</v>
      </c>
    </row>
    <row r="13" spans="2:121" x14ac:dyDescent="0.25">
      <c r="B13" t="s">
        <v>117</v>
      </c>
      <c r="C13">
        <v>5702</v>
      </c>
      <c r="D13">
        <v>227</v>
      </c>
      <c r="F13" t="s">
        <v>37</v>
      </c>
      <c r="G13">
        <v>357</v>
      </c>
      <c r="H13">
        <v>79.918767506999998</v>
      </c>
      <c r="I13">
        <v>1440</v>
      </c>
      <c r="J13">
        <v>354</v>
      </c>
      <c r="K13">
        <v>863</v>
      </c>
      <c r="L13">
        <v>82</v>
      </c>
      <c r="M13">
        <v>94</v>
      </c>
      <c r="N13">
        <v>14</v>
      </c>
      <c r="O13">
        <v>107</v>
      </c>
      <c r="P13">
        <v>36</v>
      </c>
      <c r="Q13">
        <v>0</v>
      </c>
      <c r="R13">
        <v>12</v>
      </c>
      <c r="T13" t="s">
        <v>395</v>
      </c>
      <c r="U13">
        <v>59922</v>
      </c>
      <c r="V13">
        <v>320.30835085609999</v>
      </c>
      <c r="W13">
        <v>66467</v>
      </c>
      <c r="X13">
        <v>18555</v>
      </c>
      <c r="Y13">
        <v>93405</v>
      </c>
      <c r="Z13">
        <v>49236</v>
      </c>
      <c r="AA13">
        <v>14325</v>
      </c>
      <c r="AB13">
        <v>9702</v>
      </c>
      <c r="AC13">
        <v>21772</v>
      </c>
      <c r="AD13">
        <v>15281</v>
      </c>
      <c r="AE13">
        <v>118</v>
      </c>
      <c r="AF13">
        <v>1240</v>
      </c>
      <c r="AH13" t="s">
        <v>391</v>
      </c>
      <c r="AI13">
        <v>16202</v>
      </c>
      <c r="AJ13">
        <v>354.00425873350002</v>
      </c>
      <c r="AK13">
        <v>16427</v>
      </c>
      <c r="AL13">
        <v>4557</v>
      </c>
      <c r="AM13">
        <v>24193</v>
      </c>
      <c r="AN13">
        <v>15139</v>
      </c>
      <c r="AO13">
        <v>5532</v>
      </c>
      <c r="AP13">
        <v>4508</v>
      </c>
      <c r="AQ13">
        <v>18204</v>
      </c>
      <c r="AR13">
        <v>8974</v>
      </c>
      <c r="AS13">
        <v>697</v>
      </c>
      <c r="AT13">
        <v>40</v>
      </c>
      <c r="AV13" t="s">
        <v>397</v>
      </c>
      <c r="AW13">
        <v>289</v>
      </c>
      <c r="AX13">
        <v>73.128027681700004</v>
      </c>
      <c r="AY13">
        <v>347</v>
      </c>
      <c r="AZ13">
        <v>25</v>
      </c>
      <c r="BA13">
        <v>471</v>
      </c>
      <c r="BB13">
        <v>52</v>
      </c>
      <c r="BC13">
        <v>4</v>
      </c>
      <c r="BD13">
        <v>4</v>
      </c>
      <c r="BE13">
        <v>26</v>
      </c>
      <c r="BF13">
        <v>9</v>
      </c>
      <c r="BG13">
        <v>225</v>
      </c>
      <c r="BH13">
        <v>35</v>
      </c>
      <c r="BJ13" t="s">
        <v>598</v>
      </c>
      <c r="BK13" t="s">
        <v>395</v>
      </c>
      <c r="BL13">
        <v>1800</v>
      </c>
      <c r="BM13">
        <v>401</v>
      </c>
      <c r="BN13">
        <v>91.6688888889</v>
      </c>
      <c r="BO13">
        <v>5186</v>
      </c>
      <c r="BP13">
        <v>597</v>
      </c>
      <c r="BQ13">
        <v>147.64886232160001</v>
      </c>
      <c r="BR13">
        <v>147.31155778889999</v>
      </c>
      <c r="BS13">
        <v>3997</v>
      </c>
      <c r="BT13">
        <v>1375</v>
      </c>
      <c r="BU13">
        <v>120.5831873905</v>
      </c>
      <c r="BV13">
        <v>11608</v>
      </c>
      <c r="BW13">
        <v>1429</v>
      </c>
      <c r="BX13">
        <v>179.47949689870001</v>
      </c>
      <c r="BY13">
        <v>175.156053184</v>
      </c>
      <c r="CA13" t="s">
        <v>420</v>
      </c>
      <c r="CB13" t="s">
        <v>777</v>
      </c>
      <c r="CC13" t="s">
        <v>1012</v>
      </c>
      <c r="CD13">
        <v>35675</v>
      </c>
      <c r="CE13">
        <v>10162</v>
      </c>
      <c r="CF13">
        <v>111.03531885069999</v>
      </c>
      <c r="CG13">
        <v>108965</v>
      </c>
      <c r="CH13">
        <v>10080</v>
      </c>
      <c r="CI13">
        <v>190.16943972839999</v>
      </c>
      <c r="CJ13">
        <v>174.32648809520001</v>
      </c>
      <c r="CL13" t="s">
        <v>420</v>
      </c>
      <c r="CM13" t="s">
        <v>758</v>
      </c>
      <c r="CN13" t="s">
        <v>764</v>
      </c>
      <c r="CO13">
        <v>1731</v>
      </c>
      <c r="CP13">
        <v>129</v>
      </c>
      <c r="CQ13">
        <v>55.716348931299997</v>
      </c>
      <c r="CR13">
        <v>11259</v>
      </c>
      <c r="CS13">
        <v>1002</v>
      </c>
      <c r="CT13">
        <v>62.300204280999999</v>
      </c>
      <c r="CU13">
        <v>68.365269461099999</v>
      </c>
      <c r="CW13" t="s">
        <v>420</v>
      </c>
      <c r="CX13" t="s">
        <v>768</v>
      </c>
      <c r="CY13" t="s">
        <v>774</v>
      </c>
      <c r="CZ13">
        <v>850</v>
      </c>
      <c r="DA13">
        <v>109</v>
      </c>
      <c r="DB13">
        <v>70.382352941199997</v>
      </c>
      <c r="DC13">
        <v>2665</v>
      </c>
      <c r="DD13">
        <v>241</v>
      </c>
      <c r="DE13">
        <v>134.79924953099999</v>
      </c>
      <c r="DF13">
        <v>125.7842323651</v>
      </c>
      <c r="DH13" t="s">
        <v>420</v>
      </c>
      <c r="DI13" t="s">
        <v>748</v>
      </c>
      <c r="DJ13" t="s">
        <v>754</v>
      </c>
      <c r="DK13">
        <v>855</v>
      </c>
      <c r="DL13">
        <v>94</v>
      </c>
      <c r="DM13">
        <v>74.286549707600003</v>
      </c>
      <c r="DN13">
        <v>3099</v>
      </c>
      <c r="DO13">
        <v>244</v>
      </c>
      <c r="DP13">
        <v>164.54565989029999</v>
      </c>
      <c r="DQ13">
        <v>133.15983606559999</v>
      </c>
    </row>
    <row r="14" spans="2:121" x14ac:dyDescent="0.25">
      <c r="B14" t="s">
        <v>134</v>
      </c>
      <c r="C14">
        <v>938</v>
      </c>
      <c r="D14">
        <v>78</v>
      </c>
      <c r="F14" t="s">
        <v>41</v>
      </c>
      <c r="G14">
        <v>7681</v>
      </c>
      <c r="H14">
        <v>519.12224970709997</v>
      </c>
      <c r="I14">
        <v>8175</v>
      </c>
      <c r="J14">
        <v>2030</v>
      </c>
      <c r="K14">
        <v>10009</v>
      </c>
      <c r="L14">
        <v>7879</v>
      </c>
      <c r="M14">
        <v>1495</v>
      </c>
      <c r="N14">
        <v>1450</v>
      </c>
      <c r="O14">
        <v>6609</v>
      </c>
      <c r="P14">
        <v>4028</v>
      </c>
      <c r="Q14">
        <v>14</v>
      </c>
      <c r="R14">
        <v>340</v>
      </c>
      <c r="T14" t="s">
        <v>400</v>
      </c>
      <c r="U14">
        <v>50600</v>
      </c>
      <c r="V14">
        <v>384.28148221340001</v>
      </c>
      <c r="W14">
        <v>55475</v>
      </c>
      <c r="X14">
        <v>13307</v>
      </c>
      <c r="Y14">
        <v>80638</v>
      </c>
      <c r="Z14">
        <v>42343</v>
      </c>
      <c r="AA14">
        <v>9527</v>
      </c>
      <c r="AB14">
        <v>8029</v>
      </c>
      <c r="AC14">
        <v>22361</v>
      </c>
      <c r="AD14">
        <v>16236</v>
      </c>
      <c r="AE14">
        <v>162</v>
      </c>
      <c r="AF14">
        <v>1173</v>
      </c>
      <c r="AH14" t="s">
        <v>438</v>
      </c>
      <c r="AI14">
        <v>1923</v>
      </c>
      <c r="AJ14">
        <v>266.97659906400003</v>
      </c>
      <c r="AK14">
        <v>2051</v>
      </c>
      <c r="AL14">
        <v>450</v>
      </c>
      <c r="AM14">
        <v>2678</v>
      </c>
      <c r="AN14">
        <v>1470</v>
      </c>
      <c r="AO14">
        <v>397</v>
      </c>
      <c r="AP14">
        <v>315</v>
      </c>
      <c r="AQ14">
        <v>290</v>
      </c>
      <c r="AR14">
        <v>172</v>
      </c>
      <c r="AS14">
        <v>6</v>
      </c>
      <c r="AT14">
        <v>2</v>
      </c>
      <c r="AV14" t="s">
        <v>403</v>
      </c>
      <c r="AW14">
        <v>202</v>
      </c>
      <c r="AX14">
        <v>76.702970296999993</v>
      </c>
      <c r="AY14">
        <v>327</v>
      </c>
      <c r="AZ14">
        <v>27</v>
      </c>
      <c r="BA14">
        <v>386</v>
      </c>
      <c r="BB14">
        <v>50</v>
      </c>
      <c r="BC14">
        <v>5</v>
      </c>
      <c r="BD14">
        <v>5</v>
      </c>
      <c r="BE14">
        <v>53</v>
      </c>
      <c r="BF14">
        <v>10</v>
      </c>
      <c r="BG14">
        <v>351</v>
      </c>
      <c r="BH14">
        <v>31</v>
      </c>
      <c r="BJ14" t="s">
        <v>615</v>
      </c>
      <c r="BK14" t="s">
        <v>395</v>
      </c>
      <c r="BL14">
        <v>17353</v>
      </c>
      <c r="BM14">
        <v>4744</v>
      </c>
      <c r="BN14">
        <v>106.43957817090001</v>
      </c>
      <c r="BO14">
        <v>52915</v>
      </c>
      <c r="BP14">
        <v>5053</v>
      </c>
      <c r="BQ14">
        <v>188.43872247940001</v>
      </c>
      <c r="BR14">
        <v>166.0340391846</v>
      </c>
      <c r="BS14">
        <v>16700</v>
      </c>
      <c r="BT14">
        <v>4572</v>
      </c>
      <c r="BU14">
        <v>105.83760479039999</v>
      </c>
      <c r="BV14">
        <v>52396</v>
      </c>
      <c r="BW14">
        <v>4917</v>
      </c>
      <c r="BX14">
        <v>190.57088327349999</v>
      </c>
      <c r="BY14">
        <v>166.12100874519999</v>
      </c>
      <c r="CA14" t="s">
        <v>416</v>
      </c>
      <c r="CB14" t="s">
        <v>777</v>
      </c>
      <c r="CC14" t="s">
        <v>1013</v>
      </c>
      <c r="CD14">
        <v>1731</v>
      </c>
      <c r="CE14">
        <v>409</v>
      </c>
      <c r="CF14">
        <v>95.943385326400005</v>
      </c>
      <c r="CG14">
        <v>5136</v>
      </c>
      <c r="CH14">
        <v>574</v>
      </c>
      <c r="CI14">
        <v>147.29536604360001</v>
      </c>
      <c r="CJ14">
        <v>146.53658536590001</v>
      </c>
      <c r="CL14" t="s">
        <v>416</v>
      </c>
      <c r="CM14" t="s">
        <v>758</v>
      </c>
      <c r="CN14" t="s">
        <v>765</v>
      </c>
      <c r="CO14">
        <v>151</v>
      </c>
      <c r="CP14">
        <v>10</v>
      </c>
      <c r="CQ14">
        <v>51.867549668899997</v>
      </c>
      <c r="CR14">
        <v>1109</v>
      </c>
      <c r="CS14">
        <v>100</v>
      </c>
      <c r="CT14">
        <v>65.707844905300007</v>
      </c>
      <c r="CU14">
        <v>70.010000000000005</v>
      </c>
      <c r="CW14" t="s">
        <v>416</v>
      </c>
      <c r="CX14" t="s">
        <v>768</v>
      </c>
      <c r="CY14" t="s">
        <v>775</v>
      </c>
      <c r="CZ14">
        <v>62</v>
      </c>
      <c r="DA14">
        <v>9</v>
      </c>
      <c r="DB14">
        <v>72.854838709700005</v>
      </c>
      <c r="DC14">
        <v>202</v>
      </c>
      <c r="DD14">
        <v>15</v>
      </c>
      <c r="DE14">
        <v>132.6732673267</v>
      </c>
      <c r="DF14">
        <v>136.46666666670001</v>
      </c>
      <c r="DH14" t="s">
        <v>416</v>
      </c>
      <c r="DI14" t="s">
        <v>748</v>
      </c>
      <c r="DJ14" t="s">
        <v>755</v>
      </c>
      <c r="DK14">
        <v>64</v>
      </c>
      <c r="DL14">
        <v>5</v>
      </c>
      <c r="DM14">
        <v>69.390625</v>
      </c>
      <c r="DN14">
        <v>195</v>
      </c>
      <c r="DO14">
        <v>12</v>
      </c>
      <c r="DP14">
        <v>159.63076923080001</v>
      </c>
      <c r="DQ14">
        <v>115.75</v>
      </c>
    </row>
    <row r="15" spans="2:121" x14ac:dyDescent="0.25">
      <c r="B15" t="s">
        <v>124</v>
      </c>
      <c r="C15">
        <v>16</v>
      </c>
      <c r="D15">
        <v>5</v>
      </c>
      <c r="F15" t="s">
        <v>39</v>
      </c>
      <c r="G15">
        <v>633</v>
      </c>
      <c r="H15">
        <v>245.63981042649999</v>
      </c>
      <c r="I15">
        <v>839</v>
      </c>
      <c r="J15">
        <v>177</v>
      </c>
      <c r="K15">
        <v>933</v>
      </c>
      <c r="L15">
        <v>414</v>
      </c>
      <c r="M15">
        <v>106</v>
      </c>
      <c r="N15">
        <v>85</v>
      </c>
      <c r="O15">
        <v>121</v>
      </c>
      <c r="P15">
        <v>34</v>
      </c>
      <c r="Q15">
        <v>25</v>
      </c>
      <c r="R15">
        <v>7</v>
      </c>
      <c r="T15" t="s">
        <v>379</v>
      </c>
      <c r="U15">
        <v>106481</v>
      </c>
      <c r="V15">
        <v>423.80703599700001</v>
      </c>
      <c r="W15">
        <v>78306</v>
      </c>
      <c r="X15">
        <v>20963</v>
      </c>
      <c r="Y15">
        <v>136178</v>
      </c>
      <c r="Z15">
        <v>96117</v>
      </c>
      <c r="AA15">
        <v>21687</v>
      </c>
      <c r="AB15">
        <v>16557</v>
      </c>
      <c r="AC15">
        <v>36096</v>
      </c>
      <c r="AD15">
        <v>24989</v>
      </c>
      <c r="AE15">
        <v>8704</v>
      </c>
      <c r="AF15">
        <v>103</v>
      </c>
      <c r="AH15" t="s">
        <v>418</v>
      </c>
      <c r="AI15">
        <v>958</v>
      </c>
      <c r="AJ15">
        <v>257.90709812109998</v>
      </c>
      <c r="AK15">
        <v>1609</v>
      </c>
      <c r="AL15">
        <v>401</v>
      </c>
      <c r="AM15">
        <v>1653</v>
      </c>
      <c r="AN15">
        <v>636</v>
      </c>
      <c r="AO15">
        <v>189</v>
      </c>
      <c r="AP15">
        <v>104</v>
      </c>
      <c r="AQ15">
        <v>291</v>
      </c>
      <c r="AR15">
        <v>134</v>
      </c>
      <c r="AS15">
        <v>1</v>
      </c>
      <c r="AT15">
        <v>12</v>
      </c>
      <c r="AV15" t="s">
        <v>422</v>
      </c>
      <c r="AW15">
        <v>90</v>
      </c>
      <c r="AX15">
        <v>37.944444444399998</v>
      </c>
      <c r="AY15">
        <v>249</v>
      </c>
      <c r="AZ15">
        <v>9</v>
      </c>
      <c r="BA15">
        <v>170</v>
      </c>
      <c r="BB15">
        <v>8</v>
      </c>
      <c r="BC15">
        <v>2</v>
      </c>
      <c r="BD15">
        <v>2</v>
      </c>
      <c r="BE15">
        <v>14</v>
      </c>
      <c r="BF15">
        <v>6</v>
      </c>
      <c r="BG15">
        <v>359</v>
      </c>
      <c r="BH15">
        <v>61</v>
      </c>
      <c r="BJ15" t="s">
        <v>577</v>
      </c>
      <c r="BK15" t="s">
        <v>400</v>
      </c>
      <c r="BL15">
        <v>6686</v>
      </c>
      <c r="BM15">
        <v>2010</v>
      </c>
      <c r="BN15">
        <v>119.9250673048</v>
      </c>
      <c r="BO15">
        <v>22326</v>
      </c>
      <c r="BP15">
        <v>2011</v>
      </c>
      <c r="BQ15">
        <v>228.9705276359</v>
      </c>
      <c r="BR15">
        <v>182.8970661363</v>
      </c>
      <c r="BS15">
        <v>4685</v>
      </c>
      <c r="BT15">
        <v>1100</v>
      </c>
      <c r="BU15">
        <v>102.4640341515</v>
      </c>
      <c r="BV15">
        <v>14387</v>
      </c>
      <c r="BW15">
        <v>1351</v>
      </c>
      <c r="BX15">
        <v>243.59053312020001</v>
      </c>
      <c r="BY15">
        <v>160.20059215399999</v>
      </c>
      <c r="CA15" t="s">
        <v>431</v>
      </c>
      <c r="CB15" t="s">
        <v>777</v>
      </c>
      <c r="CC15" t="s">
        <v>1014</v>
      </c>
      <c r="CD15">
        <v>916</v>
      </c>
      <c r="CE15">
        <v>213</v>
      </c>
      <c r="CF15">
        <v>94.711790393000001</v>
      </c>
      <c r="CG15">
        <v>2841</v>
      </c>
      <c r="CH15">
        <v>233</v>
      </c>
      <c r="CI15">
        <v>137.08342133049999</v>
      </c>
      <c r="CJ15">
        <v>142.67811158800001</v>
      </c>
      <c r="CL15" t="s">
        <v>431</v>
      </c>
      <c r="CM15" t="s">
        <v>758</v>
      </c>
      <c r="CN15" t="s">
        <v>766</v>
      </c>
      <c r="CO15">
        <v>36</v>
      </c>
      <c r="CP15">
        <v>1</v>
      </c>
      <c r="CQ15">
        <v>50.5</v>
      </c>
      <c r="CR15">
        <v>267</v>
      </c>
      <c r="CS15">
        <v>29</v>
      </c>
      <c r="CT15">
        <v>67.636704119900003</v>
      </c>
      <c r="CU15">
        <v>71.448275862100004</v>
      </c>
      <c r="CW15" t="s">
        <v>431</v>
      </c>
      <c r="CX15" t="s">
        <v>768</v>
      </c>
      <c r="CY15" t="s">
        <v>776</v>
      </c>
      <c r="CZ15">
        <v>17</v>
      </c>
      <c r="DA15">
        <v>2</v>
      </c>
      <c r="DB15">
        <v>58.764705882400001</v>
      </c>
      <c r="DC15">
        <v>34</v>
      </c>
      <c r="DD15">
        <v>2</v>
      </c>
      <c r="DE15">
        <v>128.4705882353</v>
      </c>
      <c r="DF15">
        <v>100.5</v>
      </c>
      <c r="DH15" t="s">
        <v>431</v>
      </c>
      <c r="DI15" t="s">
        <v>748</v>
      </c>
      <c r="DJ15" t="s">
        <v>756</v>
      </c>
      <c r="DK15">
        <v>9</v>
      </c>
      <c r="DL15">
        <v>2</v>
      </c>
      <c r="DM15">
        <v>80</v>
      </c>
      <c r="DN15">
        <v>48</v>
      </c>
      <c r="DO15">
        <v>4</v>
      </c>
      <c r="DP15">
        <v>128.9583333333</v>
      </c>
      <c r="DQ15">
        <v>130.25</v>
      </c>
    </row>
    <row r="16" spans="2:121" x14ac:dyDescent="0.25">
      <c r="B16" t="s">
        <v>988</v>
      </c>
      <c r="C16">
        <v>5</v>
      </c>
      <c r="F16" t="s">
        <v>64</v>
      </c>
      <c r="G16">
        <v>974</v>
      </c>
      <c r="H16">
        <v>84.3008213552</v>
      </c>
      <c r="I16">
        <v>2572</v>
      </c>
      <c r="J16">
        <v>650</v>
      </c>
      <c r="K16">
        <v>1788</v>
      </c>
      <c r="L16">
        <v>445</v>
      </c>
      <c r="M16">
        <v>722</v>
      </c>
      <c r="N16">
        <v>253</v>
      </c>
      <c r="O16">
        <v>2657</v>
      </c>
      <c r="P16">
        <v>1376</v>
      </c>
      <c r="Q16">
        <v>0</v>
      </c>
      <c r="R16">
        <v>1</v>
      </c>
      <c r="T16" t="s">
        <v>8</v>
      </c>
      <c r="U16">
        <v>49</v>
      </c>
      <c r="V16">
        <v>813.71428571429999</v>
      </c>
      <c r="W16">
        <v>1</v>
      </c>
      <c r="Y16">
        <v>50</v>
      </c>
      <c r="Z16">
        <v>50</v>
      </c>
      <c r="AA16">
        <v>1</v>
      </c>
      <c r="AB16">
        <v>1</v>
      </c>
      <c r="AC16">
        <v>19362</v>
      </c>
      <c r="AD16">
        <v>5746</v>
      </c>
      <c r="AE16">
        <v>0</v>
      </c>
      <c r="AF16">
        <v>0</v>
      </c>
      <c r="AH16" t="s">
        <v>404</v>
      </c>
      <c r="AI16">
        <v>7949</v>
      </c>
      <c r="AJ16">
        <v>471.71229085419998</v>
      </c>
      <c r="AK16">
        <v>7420</v>
      </c>
      <c r="AL16">
        <v>2157</v>
      </c>
      <c r="AM16">
        <v>10578</v>
      </c>
      <c r="AN16">
        <v>7050</v>
      </c>
      <c r="AO16">
        <v>1496</v>
      </c>
      <c r="AP16">
        <v>1381</v>
      </c>
      <c r="AQ16">
        <v>2698</v>
      </c>
      <c r="AR16">
        <v>1905</v>
      </c>
      <c r="AS16">
        <v>21</v>
      </c>
      <c r="AT16">
        <v>283</v>
      </c>
      <c r="AV16" t="s">
        <v>385</v>
      </c>
      <c r="AW16">
        <v>1469</v>
      </c>
      <c r="AX16">
        <v>93.646698434300006</v>
      </c>
      <c r="AY16">
        <v>1787</v>
      </c>
      <c r="AZ16">
        <v>436</v>
      </c>
      <c r="BA16">
        <v>2360</v>
      </c>
      <c r="BB16">
        <v>652</v>
      </c>
      <c r="BC16">
        <v>59</v>
      </c>
      <c r="BD16">
        <v>57</v>
      </c>
      <c r="BE16">
        <v>509</v>
      </c>
      <c r="BF16">
        <v>74</v>
      </c>
      <c r="BG16">
        <v>114</v>
      </c>
      <c r="BH16">
        <v>406</v>
      </c>
      <c r="BJ16" t="s">
        <v>569</v>
      </c>
      <c r="BK16" t="s">
        <v>400</v>
      </c>
      <c r="BL16">
        <v>8406</v>
      </c>
      <c r="BM16">
        <v>2053</v>
      </c>
      <c r="BN16">
        <v>103.0474660956</v>
      </c>
      <c r="BO16">
        <v>27411</v>
      </c>
      <c r="BP16">
        <v>2502</v>
      </c>
      <c r="BQ16">
        <v>162.61012002480001</v>
      </c>
      <c r="BR16">
        <v>145.26019184649999</v>
      </c>
      <c r="BS16">
        <v>9893</v>
      </c>
      <c r="BT16">
        <v>3381</v>
      </c>
      <c r="BU16">
        <v>125.8927524512</v>
      </c>
      <c r="BV16">
        <v>35358</v>
      </c>
      <c r="BW16">
        <v>3298</v>
      </c>
      <c r="BX16">
        <v>179.08580802079999</v>
      </c>
      <c r="BY16">
        <v>168.63038204969999</v>
      </c>
      <c r="CA16" t="s">
        <v>395</v>
      </c>
      <c r="CB16" t="s">
        <v>777</v>
      </c>
      <c r="CD16">
        <v>66029</v>
      </c>
      <c r="CE16">
        <v>17933</v>
      </c>
      <c r="CF16">
        <v>106.95797301189999</v>
      </c>
      <c r="CG16">
        <v>209670</v>
      </c>
      <c r="CH16">
        <v>19379</v>
      </c>
      <c r="CI16">
        <v>183.200405399</v>
      </c>
      <c r="CJ16">
        <v>166.1914959492</v>
      </c>
      <c r="CL16" t="s">
        <v>395</v>
      </c>
      <c r="CM16" t="s">
        <v>758</v>
      </c>
      <c r="CO16">
        <v>3509</v>
      </c>
      <c r="CP16">
        <v>283</v>
      </c>
      <c r="CQ16">
        <v>56.6796808207</v>
      </c>
      <c r="CR16">
        <v>24512</v>
      </c>
      <c r="CS16">
        <v>2070</v>
      </c>
      <c r="CT16">
        <v>59.821026435999997</v>
      </c>
      <c r="CU16">
        <v>66.425120772900001</v>
      </c>
      <c r="CW16" t="s">
        <v>395</v>
      </c>
      <c r="CX16" t="s">
        <v>768</v>
      </c>
      <c r="CZ16">
        <v>1432</v>
      </c>
      <c r="DA16">
        <v>189</v>
      </c>
      <c r="DB16">
        <v>70.641759776499995</v>
      </c>
      <c r="DC16">
        <v>4651</v>
      </c>
      <c r="DD16">
        <v>408</v>
      </c>
      <c r="DE16">
        <v>132.0528918512</v>
      </c>
      <c r="DF16">
        <v>123.5514705882</v>
      </c>
      <c r="DH16" t="s">
        <v>395</v>
      </c>
      <c r="DI16" t="s">
        <v>748</v>
      </c>
      <c r="DK16">
        <v>1639</v>
      </c>
      <c r="DL16">
        <v>152</v>
      </c>
      <c r="DM16">
        <v>70.536912751700001</v>
      </c>
      <c r="DN16">
        <v>5950</v>
      </c>
      <c r="DO16">
        <v>452</v>
      </c>
      <c r="DP16">
        <v>159.54588235290001</v>
      </c>
      <c r="DQ16">
        <v>128.592920354</v>
      </c>
    </row>
    <row r="17" spans="2:121" x14ac:dyDescent="0.25">
      <c r="B17" t="s">
        <v>125</v>
      </c>
      <c r="C17">
        <v>335</v>
      </c>
      <c r="D17">
        <v>306</v>
      </c>
      <c r="F17" t="s">
        <v>86</v>
      </c>
      <c r="G17">
        <v>16346</v>
      </c>
      <c r="H17">
        <v>303.82466658509998</v>
      </c>
      <c r="I17">
        <v>23308</v>
      </c>
      <c r="J17">
        <v>5832</v>
      </c>
      <c r="K17">
        <v>25985</v>
      </c>
      <c r="L17">
        <v>14106</v>
      </c>
      <c r="M17">
        <v>4515</v>
      </c>
      <c r="N17">
        <v>4050</v>
      </c>
      <c r="O17">
        <v>6916</v>
      </c>
      <c r="P17">
        <v>4058</v>
      </c>
      <c r="Q17">
        <v>0</v>
      </c>
      <c r="R17">
        <v>23</v>
      </c>
      <c r="T17" t="s">
        <v>414</v>
      </c>
      <c r="U17">
        <v>64799</v>
      </c>
      <c r="V17">
        <v>364.94473680150003</v>
      </c>
      <c r="W17">
        <v>61679</v>
      </c>
      <c r="X17">
        <v>16491</v>
      </c>
      <c r="Y17">
        <v>89365</v>
      </c>
      <c r="Z17">
        <v>54628</v>
      </c>
      <c r="AA17">
        <v>19146</v>
      </c>
      <c r="AB17">
        <v>15563</v>
      </c>
      <c r="AC17">
        <v>23489</v>
      </c>
      <c r="AD17">
        <v>17083</v>
      </c>
      <c r="AE17">
        <v>346</v>
      </c>
      <c r="AF17">
        <v>722</v>
      </c>
      <c r="AH17" t="s">
        <v>402</v>
      </c>
      <c r="AI17">
        <v>8344</v>
      </c>
      <c r="AJ17">
        <v>659.15316395009995</v>
      </c>
      <c r="AK17">
        <v>5103</v>
      </c>
      <c r="AL17">
        <v>1230</v>
      </c>
      <c r="AM17">
        <v>11166</v>
      </c>
      <c r="AN17">
        <v>7999</v>
      </c>
      <c r="AO17">
        <v>1153</v>
      </c>
      <c r="AP17">
        <v>967</v>
      </c>
      <c r="AQ17">
        <v>2206</v>
      </c>
      <c r="AR17">
        <v>1470</v>
      </c>
      <c r="AS17">
        <v>20</v>
      </c>
      <c r="AT17">
        <v>200</v>
      </c>
      <c r="AV17" t="s">
        <v>438</v>
      </c>
      <c r="AW17">
        <v>15</v>
      </c>
      <c r="AX17">
        <v>78.866666666699999</v>
      </c>
      <c r="AY17">
        <v>25</v>
      </c>
      <c r="BA17">
        <v>25</v>
      </c>
      <c r="BB17">
        <v>5</v>
      </c>
      <c r="BC17">
        <v>3</v>
      </c>
      <c r="BD17">
        <v>2</v>
      </c>
      <c r="BE17">
        <v>0</v>
      </c>
      <c r="BG17">
        <v>39</v>
      </c>
      <c r="BH17">
        <v>6</v>
      </c>
      <c r="BJ17" t="s">
        <v>586</v>
      </c>
      <c r="BK17" t="s">
        <v>400</v>
      </c>
      <c r="BL17">
        <v>2246</v>
      </c>
      <c r="BM17">
        <v>532</v>
      </c>
      <c r="BN17">
        <v>88.634906500400007</v>
      </c>
      <c r="BO17">
        <v>7935</v>
      </c>
      <c r="BP17">
        <v>767</v>
      </c>
      <c r="BQ17">
        <v>148.1529930687</v>
      </c>
      <c r="BR17">
        <v>125.45501955669999</v>
      </c>
      <c r="BS17">
        <v>2797</v>
      </c>
      <c r="BT17">
        <v>982</v>
      </c>
      <c r="BU17">
        <v>117.6721487308</v>
      </c>
      <c r="BV17">
        <v>11184</v>
      </c>
      <c r="BW17">
        <v>1071</v>
      </c>
      <c r="BX17">
        <v>178.6338519313</v>
      </c>
      <c r="BY17">
        <v>163.54901960780001</v>
      </c>
      <c r="CA17" t="s">
        <v>404</v>
      </c>
      <c r="CB17" t="s">
        <v>817</v>
      </c>
      <c r="CC17" t="s">
        <v>1015</v>
      </c>
      <c r="CD17">
        <v>6994</v>
      </c>
      <c r="CE17">
        <v>2103</v>
      </c>
      <c r="CF17">
        <v>121.32399199309999</v>
      </c>
      <c r="CG17">
        <v>23226</v>
      </c>
      <c r="CH17">
        <v>2114</v>
      </c>
      <c r="CI17">
        <v>220.03560664770001</v>
      </c>
      <c r="CJ17">
        <v>179.8174077578</v>
      </c>
      <c r="CL17" t="s">
        <v>404</v>
      </c>
      <c r="CM17" t="s">
        <v>792</v>
      </c>
      <c r="CN17" t="s">
        <v>791</v>
      </c>
      <c r="CO17">
        <v>592</v>
      </c>
      <c r="CP17">
        <v>61</v>
      </c>
      <c r="CQ17">
        <v>57.452702702700002</v>
      </c>
      <c r="CR17">
        <v>4225</v>
      </c>
      <c r="CS17">
        <v>299</v>
      </c>
      <c r="CT17">
        <v>51.260591716</v>
      </c>
      <c r="CU17">
        <v>49.297658862900001</v>
      </c>
      <c r="CW17" t="s">
        <v>404</v>
      </c>
      <c r="CX17" t="s">
        <v>805</v>
      </c>
      <c r="CY17" t="s">
        <v>804</v>
      </c>
      <c r="CZ17">
        <v>184</v>
      </c>
      <c r="DA17">
        <v>24</v>
      </c>
      <c r="DB17">
        <v>71.451086956500006</v>
      </c>
      <c r="DC17">
        <v>558</v>
      </c>
      <c r="DD17">
        <v>42</v>
      </c>
      <c r="DE17">
        <v>137.96594982080001</v>
      </c>
      <c r="DF17">
        <v>122.19047619049999</v>
      </c>
      <c r="DH17" t="s">
        <v>404</v>
      </c>
      <c r="DI17" t="s">
        <v>779</v>
      </c>
      <c r="DJ17" t="s">
        <v>778</v>
      </c>
      <c r="DK17">
        <v>169</v>
      </c>
      <c r="DL17">
        <v>17</v>
      </c>
      <c r="DM17">
        <v>71.485207100599993</v>
      </c>
      <c r="DN17">
        <v>502</v>
      </c>
      <c r="DO17">
        <v>34</v>
      </c>
      <c r="DP17">
        <v>149.264940239</v>
      </c>
      <c r="DQ17">
        <v>171.76470588239999</v>
      </c>
    </row>
    <row r="18" spans="2:121" x14ac:dyDescent="0.25">
      <c r="B18" t="s">
        <v>97</v>
      </c>
      <c r="C18">
        <v>29</v>
      </c>
      <c r="D18">
        <v>5</v>
      </c>
      <c r="F18" t="s">
        <v>73</v>
      </c>
      <c r="G18">
        <v>8016</v>
      </c>
      <c r="H18">
        <v>209.73852295410001</v>
      </c>
      <c r="I18">
        <v>4682</v>
      </c>
      <c r="J18">
        <v>621</v>
      </c>
      <c r="K18">
        <v>17206</v>
      </c>
      <c r="L18">
        <v>7029</v>
      </c>
      <c r="M18">
        <v>948</v>
      </c>
      <c r="N18">
        <v>431</v>
      </c>
      <c r="O18">
        <v>77</v>
      </c>
      <c r="P18">
        <v>42</v>
      </c>
      <c r="Q18">
        <v>0</v>
      </c>
      <c r="R18">
        <v>5</v>
      </c>
      <c r="T18" t="s">
        <v>390</v>
      </c>
      <c r="U18">
        <v>70166</v>
      </c>
      <c r="V18">
        <v>335.05019525130001</v>
      </c>
      <c r="W18">
        <v>70685</v>
      </c>
      <c r="X18">
        <v>21194</v>
      </c>
      <c r="Y18">
        <v>98723</v>
      </c>
      <c r="Z18">
        <v>61316</v>
      </c>
      <c r="AA18">
        <v>19909</v>
      </c>
      <c r="AB18">
        <v>15549</v>
      </c>
      <c r="AC18">
        <v>38572</v>
      </c>
      <c r="AD18">
        <v>21859</v>
      </c>
      <c r="AE18">
        <v>161</v>
      </c>
      <c r="AF18">
        <v>1167</v>
      </c>
      <c r="AH18" t="s">
        <v>409</v>
      </c>
      <c r="AI18">
        <v>1658</v>
      </c>
      <c r="AJ18">
        <v>181.28287092880001</v>
      </c>
      <c r="AK18">
        <v>2389</v>
      </c>
      <c r="AL18">
        <v>571</v>
      </c>
      <c r="AM18">
        <v>3332</v>
      </c>
      <c r="AN18">
        <v>1199</v>
      </c>
      <c r="AO18">
        <v>272</v>
      </c>
      <c r="AP18">
        <v>221</v>
      </c>
      <c r="AQ18">
        <v>1296</v>
      </c>
      <c r="AR18">
        <v>1055</v>
      </c>
      <c r="AS18">
        <v>0</v>
      </c>
      <c r="AT18">
        <v>13</v>
      </c>
      <c r="AV18" t="s">
        <v>409</v>
      </c>
      <c r="AW18">
        <v>75</v>
      </c>
      <c r="AX18">
        <v>37.24</v>
      </c>
      <c r="AY18">
        <v>283</v>
      </c>
      <c r="AZ18">
        <v>9</v>
      </c>
      <c r="BA18">
        <v>148</v>
      </c>
      <c r="BB18">
        <v>6</v>
      </c>
      <c r="BC18">
        <v>0</v>
      </c>
      <c r="BE18">
        <v>1</v>
      </c>
      <c r="BG18">
        <v>162</v>
      </c>
      <c r="BH18">
        <v>32</v>
      </c>
      <c r="BJ18" t="s">
        <v>579</v>
      </c>
      <c r="BK18" t="s">
        <v>400</v>
      </c>
      <c r="BL18">
        <v>7283</v>
      </c>
      <c r="BM18">
        <v>2031</v>
      </c>
      <c r="BN18">
        <v>107.611835782</v>
      </c>
      <c r="BO18">
        <v>23387</v>
      </c>
      <c r="BP18">
        <v>2339</v>
      </c>
      <c r="BQ18">
        <v>174.61747979649999</v>
      </c>
      <c r="BR18">
        <v>156.29542539549999</v>
      </c>
      <c r="BS18">
        <v>7178</v>
      </c>
      <c r="BT18">
        <v>2065</v>
      </c>
      <c r="BU18">
        <v>106.7926999164</v>
      </c>
      <c r="BV18">
        <v>25506</v>
      </c>
      <c r="BW18">
        <v>2270</v>
      </c>
      <c r="BX18">
        <v>176.34003763819999</v>
      </c>
      <c r="BY18">
        <v>159.38414096919999</v>
      </c>
      <c r="CA18" t="s">
        <v>402</v>
      </c>
      <c r="CB18" t="s">
        <v>817</v>
      </c>
      <c r="CC18" t="s">
        <v>1016</v>
      </c>
      <c r="CD18">
        <v>5145</v>
      </c>
      <c r="CE18">
        <v>1249</v>
      </c>
      <c r="CF18">
        <v>101.6322643343</v>
      </c>
      <c r="CG18">
        <v>20627</v>
      </c>
      <c r="CH18">
        <v>2022</v>
      </c>
      <c r="CI18">
        <v>203.79337761190001</v>
      </c>
      <c r="CJ18">
        <v>174.22947576659999</v>
      </c>
      <c r="CL18" t="s">
        <v>402</v>
      </c>
      <c r="CM18" t="s">
        <v>792</v>
      </c>
      <c r="CN18" t="s">
        <v>793</v>
      </c>
      <c r="CO18">
        <v>372</v>
      </c>
      <c r="CP18">
        <v>34</v>
      </c>
      <c r="CQ18">
        <v>57.723118279600001</v>
      </c>
      <c r="CR18">
        <v>2699</v>
      </c>
      <c r="CS18">
        <v>201</v>
      </c>
      <c r="CT18">
        <v>54.466839570200001</v>
      </c>
      <c r="CU18">
        <v>53.661691542299998</v>
      </c>
      <c r="CW18" t="s">
        <v>402</v>
      </c>
      <c r="CX18" t="s">
        <v>805</v>
      </c>
      <c r="CY18" t="s">
        <v>806</v>
      </c>
      <c r="CZ18">
        <v>85</v>
      </c>
      <c r="DA18">
        <v>12</v>
      </c>
      <c r="DB18">
        <v>74.352941176499996</v>
      </c>
      <c r="DC18">
        <v>258</v>
      </c>
      <c r="DD18">
        <v>23</v>
      </c>
      <c r="DE18">
        <v>134.70155038760001</v>
      </c>
      <c r="DF18">
        <v>129.86956521740001</v>
      </c>
      <c r="DH18" t="s">
        <v>402</v>
      </c>
      <c r="DI18" t="s">
        <v>779</v>
      </c>
      <c r="DJ18" t="s">
        <v>780</v>
      </c>
      <c r="DK18">
        <v>78</v>
      </c>
      <c r="DL18">
        <v>8</v>
      </c>
      <c r="DM18">
        <v>73.410256410299993</v>
      </c>
      <c r="DN18">
        <v>185</v>
      </c>
      <c r="DO18">
        <v>13</v>
      </c>
      <c r="DP18">
        <v>139.80540540539999</v>
      </c>
      <c r="DQ18">
        <v>117.3846153846</v>
      </c>
    </row>
    <row r="19" spans="2:121" x14ac:dyDescent="0.25">
      <c r="B19" t="s">
        <v>129</v>
      </c>
      <c r="C19">
        <v>43</v>
      </c>
      <c r="D19">
        <v>26</v>
      </c>
      <c r="F19" t="s">
        <v>77</v>
      </c>
      <c r="G19">
        <v>397</v>
      </c>
      <c r="H19">
        <v>103.4659949622</v>
      </c>
      <c r="I19">
        <v>842</v>
      </c>
      <c r="J19">
        <v>203</v>
      </c>
      <c r="K19">
        <v>748</v>
      </c>
      <c r="L19">
        <v>90</v>
      </c>
      <c r="M19">
        <v>399</v>
      </c>
      <c r="N19">
        <v>101</v>
      </c>
      <c r="O19">
        <v>28</v>
      </c>
      <c r="P19">
        <v>9</v>
      </c>
      <c r="Q19">
        <v>0</v>
      </c>
      <c r="R19">
        <v>1</v>
      </c>
      <c r="T19" t="s">
        <v>471</v>
      </c>
      <c r="U19">
        <v>352017</v>
      </c>
      <c r="V19">
        <v>372.03491592739999</v>
      </c>
      <c r="W19">
        <v>332613</v>
      </c>
      <c r="X19">
        <v>90510</v>
      </c>
      <c r="Y19">
        <v>498359</v>
      </c>
      <c r="Z19">
        <v>303690</v>
      </c>
      <c r="AA19">
        <v>84595</v>
      </c>
      <c r="AB19">
        <v>65401</v>
      </c>
      <c r="AC19">
        <v>161652</v>
      </c>
      <c r="AD19">
        <v>101194</v>
      </c>
      <c r="AE19">
        <v>9491</v>
      </c>
      <c r="AF19">
        <v>4405</v>
      </c>
      <c r="AH19" t="s">
        <v>432</v>
      </c>
      <c r="AI19">
        <v>2129</v>
      </c>
      <c r="AJ19">
        <v>236.6496007515</v>
      </c>
      <c r="AK19">
        <v>2619</v>
      </c>
      <c r="AL19">
        <v>591</v>
      </c>
      <c r="AM19">
        <v>3649</v>
      </c>
      <c r="AN19">
        <v>1508</v>
      </c>
      <c r="AO19">
        <v>548</v>
      </c>
      <c r="AP19">
        <v>330</v>
      </c>
      <c r="AQ19">
        <v>439</v>
      </c>
      <c r="AR19">
        <v>201</v>
      </c>
      <c r="AS19">
        <v>1</v>
      </c>
      <c r="AT19">
        <v>15</v>
      </c>
      <c r="AV19" t="s">
        <v>8</v>
      </c>
      <c r="AW19">
        <v>214</v>
      </c>
      <c r="AX19">
        <v>93.705607476599994</v>
      </c>
      <c r="AY19">
        <v>177</v>
      </c>
      <c r="AZ19">
        <v>74</v>
      </c>
      <c r="BA19">
        <v>472</v>
      </c>
      <c r="BB19">
        <v>199</v>
      </c>
      <c r="BC19">
        <v>36</v>
      </c>
      <c r="BD19">
        <v>33</v>
      </c>
      <c r="BE19">
        <v>124</v>
      </c>
      <c r="BF19">
        <v>36</v>
      </c>
      <c r="BG19">
        <v>60</v>
      </c>
      <c r="BH19">
        <v>21</v>
      </c>
      <c r="BJ19" t="s">
        <v>643</v>
      </c>
      <c r="BK19" t="s">
        <v>400</v>
      </c>
      <c r="BL19">
        <v>877</v>
      </c>
      <c r="BM19">
        <v>175</v>
      </c>
      <c r="BN19">
        <v>85.859749144800006</v>
      </c>
      <c r="BO19">
        <v>3272</v>
      </c>
      <c r="BP19">
        <v>264</v>
      </c>
      <c r="BQ19">
        <v>130.88814180930001</v>
      </c>
      <c r="BR19">
        <v>107.7878787879</v>
      </c>
      <c r="BS19">
        <v>1210</v>
      </c>
      <c r="BT19">
        <v>483</v>
      </c>
      <c r="BU19">
        <v>140.78181818179999</v>
      </c>
      <c r="BV19">
        <v>4324</v>
      </c>
      <c r="BW19">
        <v>397</v>
      </c>
      <c r="BX19">
        <v>156.69449583720001</v>
      </c>
      <c r="BY19">
        <v>163.90176322420001</v>
      </c>
      <c r="CA19" t="s">
        <v>409</v>
      </c>
      <c r="CB19" t="s">
        <v>817</v>
      </c>
      <c r="CC19" t="s">
        <v>1017</v>
      </c>
      <c r="CD19">
        <v>2314</v>
      </c>
      <c r="CE19">
        <v>556</v>
      </c>
      <c r="CF19">
        <v>89.730769230799993</v>
      </c>
      <c r="CG19">
        <v>8239</v>
      </c>
      <c r="CH19">
        <v>792</v>
      </c>
      <c r="CI19">
        <v>147.59655297969999</v>
      </c>
      <c r="CJ19">
        <v>124.2310606061</v>
      </c>
      <c r="CL19" t="s">
        <v>409</v>
      </c>
      <c r="CM19" t="s">
        <v>792</v>
      </c>
      <c r="CN19" t="s">
        <v>794</v>
      </c>
      <c r="CO19">
        <v>263</v>
      </c>
      <c r="CP19">
        <v>14</v>
      </c>
      <c r="CQ19">
        <v>52.403041825099997</v>
      </c>
      <c r="CR19">
        <v>1769</v>
      </c>
      <c r="CS19">
        <v>154</v>
      </c>
      <c r="CT19">
        <v>56.126059920899998</v>
      </c>
      <c r="CU19">
        <v>56.025974026</v>
      </c>
      <c r="CW19" t="s">
        <v>409</v>
      </c>
      <c r="CX19" t="s">
        <v>805</v>
      </c>
      <c r="CY19" t="s">
        <v>807</v>
      </c>
      <c r="CZ19">
        <v>39</v>
      </c>
      <c r="DA19">
        <v>3</v>
      </c>
      <c r="DB19">
        <v>61.7692307692</v>
      </c>
      <c r="DC19">
        <v>141</v>
      </c>
      <c r="DD19">
        <v>17</v>
      </c>
      <c r="DE19">
        <v>114.1773049645</v>
      </c>
      <c r="DF19">
        <v>85</v>
      </c>
      <c r="DH19" t="s">
        <v>409</v>
      </c>
      <c r="DI19" t="s">
        <v>779</v>
      </c>
      <c r="DJ19" t="s">
        <v>781</v>
      </c>
      <c r="DK19">
        <v>33</v>
      </c>
      <c r="DL19">
        <v>4</v>
      </c>
      <c r="DM19">
        <v>83.818181818200003</v>
      </c>
      <c r="DN19">
        <v>88</v>
      </c>
      <c r="DO19">
        <v>7</v>
      </c>
      <c r="DP19">
        <v>148.8522727273</v>
      </c>
      <c r="DQ19">
        <v>117.42857142859999</v>
      </c>
    </row>
    <row r="20" spans="2:121" x14ac:dyDescent="0.25">
      <c r="B20" t="s">
        <v>122</v>
      </c>
      <c r="C20">
        <v>11456</v>
      </c>
      <c r="D20">
        <v>2637</v>
      </c>
      <c r="F20" t="s">
        <v>71</v>
      </c>
      <c r="G20">
        <v>3591</v>
      </c>
      <c r="H20">
        <v>473.35895293790003</v>
      </c>
      <c r="I20">
        <v>3552</v>
      </c>
      <c r="J20">
        <v>1152</v>
      </c>
      <c r="K20">
        <v>4217</v>
      </c>
      <c r="L20">
        <v>2907</v>
      </c>
      <c r="M20">
        <v>398</v>
      </c>
      <c r="N20">
        <v>356</v>
      </c>
      <c r="O20">
        <v>1201</v>
      </c>
      <c r="P20">
        <v>746</v>
      </c>
      <c r="Q20">
        <v>1</v>
      </c>
      <c r="R20">
        <v>112</v>
      </c>
      <c r="AH20" t="s">
        <v>403</v>
      </c>
      <c r="AI20">
        <v>8012</v>
      </c>
      <c r="AJ20">
        <v>521.68734398399999</v>
      </c>
      <c r="AK20">
        <v>4297</v>
      </c>
      <c r="AL20">
        <v>1185</v>
      </c>
      <c r="AM20">
        <v>10905</v>
      </c>
      <c r="AN20">
        <v>7456</v>
      </c>
      <c r="AO20">
        <v>2734</v>
      </c>
      <c r="AP20">
        <v>2140</v>
      </c>
      <c r="AQ20">
        <v>918</v>
      </c>
      <c r="AR20">
        <v>553</v>
      </c>
      <c r="AS20">
        <v>42</v>
      </c>
      <c r="AT20">
        <v>157</v>
      </c>
      <c r="AV20" t="s">
        <v>392</v>
      </c>
      <c r="AW20">
        <v>1236</v>
      </c>
      <c r="AX20">
        <v>100.0647249191</v>
      </c>
      <c r="AY20">
        <v>1045</v>
      </c>
      <c r="AZ20">
        <v>244</v>
      </c>
      <c r="BA20">
        <v>2011</v>
      </c>
      <c r="BB20">
        <v>617</v>
      </c>
      <c r="BC20">
        <v>81</v>
      </c>
      <c r="BD20">
        <v>77</v>
      </c>
      <c r="BE20">
        <v>423</v>
      </c>
      <c r="BF20">
        <v>74</v>
      </c>
      <c r="BG20">
        <v>206</v>
      </c>
      <c r="BH20">
        <v>356</v>
      </c>
      <c r="BJ20" t="s">
        <v>571</v>
      </c>
      <c r="BK20" t="s">
        <v>400</v>
      </c>
      <c r="BL20">
        <v>5064</v>
      </c>
      <c r="BM20">
        <v>1233</v>
      </c>
      <c r="BN20">
        <v>100.92654028440001</v>
      </c>
      <c r="BO20">
        <v>19674</v>
      </c>
      <c r="BP20">
        <v>1933</v>
      </c>
      <c r="BQ20">
        <v>210.8798414151</v>
      </c>
      <c r="BR20">
        <v>177.81789963790001</v>
      </c>
      <c r="BS20">
        <v>5237</v>
      </c>
      <c r="BT20">
        <v>1176</v>
      </c>
      <c r="BU20">
        <v>106.2904334543</v>
      </c>
      <c r="BV20">
        <v>15360</v>
      </c>
      <c r="BW20">
        <v>1786</v>
      </c>
      <c r="BX20">
        <v>212.3483072917</v>
      </c>
      <c r="BY20">
        <v>173.9031354983</v>
      </c>
      <c r="CA20" t="s">
        <v>432</v>
      </c>
      <c r="CB20" t="s">
        <v>817</v>
      </c>
      <c r="CC20" t="s">
        <v>1018</v>
      </c>
      <c r="CD20">
        <v>2565</v>
      </c>
      <c r="CE20">
        <v>573</v>
      </c>
      <c r="CF20">
        <v>93.647953216399998</v>
      </c>
      <c r="CG20">
        <v>8593</v>
      </c>
      <c r="CH20">
        <v>767</v>
      </c>
      <c r="CI20">
        <v>163.1001978354</v>
      </c>
      <c r="CJ20">
        <v>138.85788787480001</v>
      </c>
      <c r="CL20" t="s">
        <v>432</v>
      </c>
      <c r="CM20" t="s">
        <v>792</v>
      </c>
      <c r="CN20" t="s">
        <v>795</v>
      </c>
      <c r="CO20">
        <v>243</v>
      </c>
      <c r="CP20">
        <v>16</v>
      </c>
      <c r="CQ20">
        <v>57.399176954700003</v>
      </c>
      <c r="CR20">
        <v>1543</v>
      </c>
      <c r="CS20">
        <v>142</v>
      </c>
      <c r="CT20">
        <v>62.7064160726</v>
      </c>
      <c r="CU20">
        <v>63.147887323900001</v>
      </c>
      <c r="CW20" t="s">
        <v>432</v>
      </c>
      <c r="CX20" t="s">
        <v>805</v>
      </c>
      <c r="CY20" t="s">
        <v>808</v>
      </c>
      <c r="CZ20">
        <v>60</v>
      </c>
      <c r="DA20">
        <v>5</v>
      </c>
      <c r="DB20">
        <v>59.883333333300001</v>
      </c>
      <c r="DC20">
        <v>274</v>
      </c>
      <c r="DD20">
        <v>23</v>
      </c>
      <c r="DE20">
        <v>123.7189781022</v>
      </c>
      <c r="DF20">
        <v>111.4347826087</v>
      </c>
      <c r="DH20" t="s">
        <v>432</v>
      </c>
      <c r="DI20" t="s">
        <v>779</v>
      </c>
      <c r="DJ20" t="s">
        <v>782</v>
      </c>
      <c r="DK20">
        <v>113</v>
      </c>
      <c r="DL20">
        <v>7</v>
      </c>
      <c r="DM20">
        <v>60.9646017699</v>
      </c>
      <c r="DN20">
        <v>308</v>
      </c>
      <c r="DO20">
        <v>30</v>
      </c>
      <c r="DP20">
        <v>157.75649350649999</v>
      </c>
      <c r="DQ20">
        <v>121.9333333333</v>
      </c>
    </row>
    <row r="21" spans="2:121" x14ac:dyDescent="0.25">
      <c r="B21" t="s">
        <v>324</v>
      </c>
      <c r="C21">
        <v>1</v>
      </c>
      <c r="D21">
        <v>1</v>
      </c>
      <c r="F21" t="s">
        <v>8</v>
      </c>
      <c r="G21">
        <v>49</v>
      </c>
      <c r="H21">
        <v>813.71428571429999</v>
      </c>
      <c r="I21">
        <v>1</v>
      </c>
      <c r="K21">
        <v>50</v>
      </c>
      <c r="L21">
        <v>50</v>
      </c>
      <c r="M21">
        <v>1</v>
      </c>
      <c r="N21">
        <v>1</v>
      </c>
      <c r="O21">
        <v>19362</v>
      </c>
      <c r="P21">
        <v>5746</v>
      </c>
      <c r="Q21">
        <v>0</v>
      </c>
      <c r="R21">
        <v>0</v>
      </c>
      <c r="AH21" t="s">
        <v>397</v>
      </c>
      <c r="AI21">
        <v>6733</v>
      </c>
      <c r="AJ21">
        <v>398.70889648000002</v>
      </c>
      <c r="AK21">
        <v>5884</v>
      </c>
      <c r="AL21">
        <v>1485</v>
      </c>
      <c r="AM21">
        <v>9354</v>
      </c>
      <c r="AN21">
        <v>5730</v>
      </c>
      <c r="AO21">
        <v>764</v>
      </c>
      <c r="AP21">
        <v>561</v>
      </c>
      <c r="AQ21">
        <v>1416</v>
      </c>
      <c r="AR21">
        <v>609</v>
      </c>
      <c r="AS21">
        <v>6</v>
      </c>
      <c r="AT21">
        <v>302</v>
      </c>
      <c r="AV21" t="s">
        <v>386</v>
      </c>
      <c r="AW21">
        <v>342</v>
      </c>
      <c r="AX21">
        <v>101.16374269009999</v>
      </c>
      <c r="AY21">
        <v>411</v>
      </c>
      <c r="AZ21">
        <v>95</v>
      </c>
      <c r="BA21">
        <v>525</v>
      </c>
      <c r="BB21">
        <v>170</v>
      </c>
      <c r="BC21">
        <v>21</v>
      </c>
      <c r="BD21">
        <v>18</v>
      </c>
      <c r="BE21">
        <v>140</v>
      </c>
      <c r="BF21">
        <v>22</v>
      </c>
      <c r="BG21">
        <v>62</v>
      </c>
      <c r="BH21">
        <v>151</v>
      </c>
      <c r="BJ21" t="s">
        <v>588</v>
      </c>
      <c r="BK21" t="s">
        <v>400</v>
      </c>
      <c r="BL21">
        <v>1943</v>
      </c>
      <c r="BM21">
        <v>309</v>
      </c>
      <c r="BN21">
        <v>76.530108080299996</v>
      </c>
      <c r="BO21">
        <v>6585</v>
      </c>
      <c r="BP21">
        <v>760</v>
      </c>
      <c r="BQ21">
        <v>122.7623386484</v>
      </c>
      <c r="BR21">
        <v>116.8526315789</v>
      </c>
      <c r="BS21">
        <v>5194</v>
      </c>
      <c r="BT21">
        <v>1585</v>
      </c>
      <c r="BU21">
        <v>114.1855987678</v>
      </c>
      <c r="BV21">
        <v>17916</v>
      </c>
      <c r="BW21">
        <v>1899</v>
      </c>
      <c r="BX21">
        <v>174.86894396069999</v>
      </c>
      <c r="BY21">
        <v>148.5181674566</v>
      </c>
      <c r="CA21" t="s">
        <v>405</v>
      </c>
      <c r="CB21" t="s">
        <v>817</v>
      </c>
      <c r="CC21" t="s">
        <v>1019</v>
      </c>
      <c r="CD21">
        <v>7265</v>
      </c>
      <c r="CE21">
        <v>2072</v>
      </c>
      <c r="CF21">
        <v>109.1818306951</v>
      </c>
      <c r="CG21">
        <v>23984</v>
      </c>
      <c r="CH21">
        <v>2414</v>
      </c>
      <c r="CI21">
        <v>170.9866577718</v>
      </c>
      <c r="CJ21">
        <v>154.02029826009999</v>
      </c>
      <c r="CL21" t="s">
        <v>405</v>
      </c>
      <c r="CM21" t="s">
        <v>792</v>
      </c>
      <c r="CN21" t="s">
        <v>796</v>
      </c>
      <c r="CO21">
        <v>667</v>
      </c>
      <c r="CP21">
        <v>51</v>
      </c>
      <c r="CQ21">
        <v>58.377811094499997</v>
      </c>
      <c r="CR21">
        <v>4709</v>
      </c>
      <c r="CS21">
        <v>336</v>
      </c>
      <c r="CT21">
        <v>57.849012529200003</v>
      </c>
      <c r="CU21">
        <v>56.517857142899999</v>
      </c>
      <c r="CW21" t="s">
        <v>405</v>
      </c>
      <c r="CX21" t="s">
        <v>805</v>
      </c>
      <c r="CY21" t="s">
        <v>809</v>
      </c>
      <c r="CZ21">
        <v>138</v>
      </c>
      <c r="DA21">
        <v>11</v>
      </c>
      <c r="DB21">
        <v>66.1014492754</v>
      </c>
      <c r="DC21">
        <v>362</v>
      </c>
      <c r="DD21">
        <v>22</v>
      </c>
      <c r="DE21">
        <v>137.5303867403</v>
      </c>
      <c r="DF21">
        <v>120.4090909091</v>
      </c>
      <c r="DH21" t="s">
        <v>405</v>
      </c>
      <c r="DI21" t="s">
        <v>779</v>
      </c>
      <c r="DJ21" t="s">
        <v>783</v>
      </c>
      <c r="DK21">
        <v>102</v>
      </c>
      <c r="DL21">
        <v>11</v>
      </c>
      <c r="DM21">
        <v>79.009803921599996</v>
      </c>
      <c r="DN21">
        <v>240</v>
      </c>
      <c r="DO21">
        <v>25</v>
      </c>
      <c r="DP21">
        <v>143.2916666667</v>
      </c>
      <c r="DQ21">
        <v>112.72</v>
      </c>
    </row>
    <row r="22" spans="2:121" x14ac:dyDescent="0.25">
      <c r="B22" t="s">
        <v>116</v>
      </c>
      <c r="C22">
        <v>1687</v>
      </c>
      <c r="D22">
        <v>481</v>
      </c>
      <c r="F22" t="s">
        <v>47</v>
      </c>
      <c r="G22">
        <v>1795</v>
      </c>
      <c r="H22">
        <v>233.6646239554</v>
      </c>
      <c r="I22">
        <v>1684</v>
      </c>
      <c r="J22">
        <v>380</v>
      </c>
      <c r="K22">
        <v>3422</v>
      </c>
      <c r="L22">
        <v>1694</v>
      </c>
      <c r="M22">
        <v>382</v>
      </c>
      <c r="N22">
        <v>300</v>
      </c>
      <c r="O22">
        <v>711</v>
      </c>
      <c r="P22">
        <v>485</v>
      </c>
      <c r="Q22">
        <v>0</v>
      </c>
      <c r="R22">
        <v>3</v>
      </c>
      <c r="AH22" t="s">
        <v>426</v>
      </c>
      <c r="AI22">
        <v>1566</v>
      </c>
      <c r="AJ22">
        <v>263.44636015330002</v>
      </c>
      <c r="AK22">
        <v>1247</v>
      </c>
      <c r="AL22">
        <v>170</v>
      </c>
      <c r="AM22">
        <v>2163</v>
      </c>
      <c r="AN22">
        <v>1052</v>
      </c>
      <c r="AO22">
        <v>912</v>
      </c>
      <c r="AP22">
        <v>516</v>
      </c>
      <c r="AQ22">
        <v>325</v>
      </c>
      <c r="AR22">
        <v>179</v>
      </c>
      <c r="AS22">
        <v>250</v>
      </c>
      <c r="AT22">
        <v>2</v>
      </c>
      <c r="AV22" t="s">
        <v>432</v>
      </c>
      <c r="AW22">
        <v>54</v>
      </c>
      <c r="AX22">
        <v>39.962962963000003</v>
      </c>
      <c r="AY22">
        <v>253</v>
      </c>
      <c r="AZ22">
        <v>14</v>
      </c>
      <c r="BA22">
        <v>121</v>
      </c>
      <c r="BB22">
        <v>6</v>
      </c>
      <c r="BC22">
        <v>2</v>
      </c>
      <c r="BD22">
        <v>2</v>
      </c>
      <c r="BE22">
        <v>12</v>
      </c>
      <c r="BF22">
        <v>2</v>
      </c>
      <c r="BG22">
        <v>118</v>
      </c>
      <c r="BH22">
        <v>42</v>
      </c>
      <c r="BJ22" t="s">
        <v>400</v>
      </c>
      <c r="BK22" t="s">
        <v>400</v>
      </c>
      <c r="BL22">
        <v>52314</v>
      </c>
      <c r="BM22">
        <v>12857</v>
      </c>
      <c r="BN22">
        <v>99.877470657999993</v>
      </c>
      <c r="BO22">
        <v>178256</v>
      </c>
      <c r="BP22">
        <v>16674</v>
      </c>
      <c r="BQ22">
        <v>175.1186327529</v>
      </c>
      <c r="BR22">
        <v>150.30568549840001</v>
      </c>
      <c r="BS22">
        <v>59975</v>
      </c>
      <c r="BT22">
        <v>18044</v>
      </c>
      <c r="BU22">
        <v>112.5572822009</v>
      </c>
      <c r="BV22">
        <v>209370</v>
      </c>
      <c r="BW22">
        <v>19859</v>
      </c>
      <c r="BX22">
        <v>183.46947986820001</v>
      </c>
      <c r="BY22">
        <v>160.7042147137</v>
      </c>
      <c r="CA22" t="s">
        <v>411</v>
      </c>
      <c r="CB22" t="s">
        <v>817</v>
      </c>
      <c r="CC22" t="s">
        <v>1020</v>
      </c>
      <c r="CD22">
        <v>5401</v>
      </c>
      <c r="CE22">
        <v>1205</v>
      </c>
      <c r="CF22">
        <v>90.171634882399999</v>
      </c>
      <c r="CG22">
        <v>17700</v>
      </c>
      <c r="CH22">
        <v>1637</v>
      </c>
      <c r="CI22">
        <v>142.06163841809999</v>
      </c>
      <c r="CJ22">
        <v>130.7770311546</v>
      </c>
      <c r="CL22" t="s">
        <v>411</v>
      </c>
      <c r="CM22" t="s">
        <v>792</v>
      </c>
      <c r="CN22" t="s">
        <v>797</v>
      </c>
      <c r="CO22">
        <v>311</v>
      </c>
      <c r="CP22">
        <v>16</v>
      </c>
      <c r="CQ22">
        <v>48.546623794200002</v>
      </c>
      <c r="CR22">
        <v>1863</v>
      </c>
      <c r="CS22">
        <v>176</v>
      </c>
      <c r="CT22">
        <v>52.581857219500002</v>
      </c>
      <c r="CU22">
        <v>54.301136363600001</v>
      </c>
      <c r="CW22" t="s">
        <v>411</v>
      </c>
      <c r="CX22" t="s">
        <v>805</v>
      </c>
      <c r="CY22" t="s">
        <v>810</v>
      </c>
      <c r="CZ22">
        <v>59</v>
      </c>
      <c r="DA22">
        <v>2</v>
      </c>
      <c r="DB22">
        <v>55.762711864400003</v>
      </c>
      <c r="DC22">
        <v>182</v>
      </c>
      <c r="DD22">
        <v>6</v>
      </c>
      <c r="DE22">
        <v>127.6428571429</v>
      </c>
      <c r="DF22">
        <v>123.1666666667</v>
      </c>
      <c r="DH22" t="s">
        <v>411</v>
      </c>
      <c r="DI22" t="s">
        <v>779</v>
      </c>
      <c r="DJ22" t="s">
        <v>784</v>
      </c>
      <c r="DK22">
        <v>29</v>
      </c>
      <c r="DL22">
        <v>1</v>
      </c>
      <c r="DM22">
        <v>44.241379310299997</v>
      </c>
      <c r="DN22">
        <v>95</v>
      </c>
      <c r="DO22">
        <v>4</v>
      </c>
      <c r="DP22">
        <v>145.42105263159999</v>
      </c>
      <c r="DQ22">
        <v>96</v>
      </c>
    </row>
    <row r="23" spans="2:121" x14ac:dyDescent="0.25">
      <c r="B23" t="s">
        <v>115</v>
      </c>
      <c r="C23">
        <v>18144</v>
      </c>
      <c r="D23">
        <v>15672</v>
      </c>
      <c r="F23" t="s">
        <v>46</v>
      </c>
      <c r="G23">
        <v>146</v>
      </c>
      <c r="H23">
        <v>56.972602739700001</v>
      </c>
      <c r="I23">
        <v>835</v>
      </c>
      <c r="J23">
        <v>175</v>
      </c>
      <c r="K23">
        <v>460</v>
      </c>
      <c r="L23">
        <v>31</v>
      </c>
      <c r="M23">
        <v>74</v>
      </c>
      <c r="N23">
        <v>20</v>
      </c>
      <c r="O23">
        <v>42</v>
      </c>
      <c r="P23">
        <v>13</v>
      </c>
      <c r="Q23">
        <v>0</v>
      </c>
      <c r="R23">
        <v>0</v>
      </c>
      <c r="AH23" t="s">
        <v>386</v>
      </c>
      <c r="AI23">
        <v>8965</v>
      </c>
      <c r="AJ23">
        <v>582.88700501949995</v>
      </c>
      <c r="AK23">
        <v>5575</v>
      </c>
      <c r="AL23">
        <v>1455</v>
      </c>
      <c r="AM23">
        <v>11064</v>
      </c>
      <c r="AN23">
        <v>8282</v>
      </c>
      <c r="AO23">
        <v>1267</v>
      </c>
      <c r="AP23">
        <v>1052</v>
      </c>
      <c r="AQ23">
        <v>6624</v>
      </c>
      <c r="AR23">
        <v>5411</v>
      </c>
      <c r="AS23">
        <v>318</v>
      </c>
      <c r="AT23">
        <v>7</v>
      </c>
      <c r="AV23" t="s">
        <v>413</v>
      </c>
      <c r="AW23">
        <v>66</v>
      </c>
      <c r="AX23">
        <v>41.484848484799997</v>
      </c>
      <c r="AY23">
        <v>239</v>
      </c>
      <c r="AZ23">
        <v>7</v>
      </c>
      <c r="BA23">
        <v>160</v>
      </c>
      <c r="BB23">
        <v>16</v>
      </c>
      <c r="BC23">
        <v>3</v>
      </c>
      <c r="BD23">
        <v>3</v>
      </c>
      <c r="BE23">
        <v>15</v>
      </c>
      <c r="BF23">
        <v>8</v>
      </c>
      <c r="BG23">
        <v>225</v>
      </c>
      <c r="BH23">
        <v>43</v>
      </c>
      <c r="BJ23" t="s">
        <v>581</v>
      </c>
      <c r="BK23" t="s">
        <v>400</v>
      </c>
      <c r="BL23">
        <v>3857</v>
      </c>
      <c r="BM23">
        <v>930</v>
      </c>
      <c r="BN23">
        <v>91.475758361399997</v>
      </c>
      <c r="BO23">
        <v>13691</v>
      </c>
      <c r="BP23">
        <v>1290</v>
      </c>
      <c r="BQ23">
        <v>155.38653129790001</v>
      </c>
      <c r="BR23">
        <v>133.8914728682</v>
      </c>
      <c r="BS23">
        <v>5222</v>
      </c>
      <c r="BT23">
        <v>1628</v>
      </c>
      <c r="BU23">
        <v>112.43642282650001</v>
      </c>
      <c r="BV23">
        <v>17365</v>
      </c>
      <c r="BW23">
        <v>1757</v>
      </c>
      <c r="BX23">
        <v>169.22251655630001</v>
      </c>
      <c r="BY23">
        <v>158.0591918042</v>
      </c>
      <c r="CA23" t="s">
        <v>407</v>
      </c>
      <c r="CB23" t="s">
        <v>817</v>
      </c>
      <c r="CC23" t="s">
        <v>1021</v>
      </c>
      <c r="CD23">
        <v>5375</v>
      </c>
      <c r="CE23">
        <v>1088</v>
      </c>
      <c r="CF23">
        <v>90.517209302300003</v>
      </c>
      <c r="CG23">
        <v>22860</v>
      </c>
      <c r="CH23">
        <v>1806</v>
      </c>
      <c r="CI23">
        <v>171.34956255469999</v>
      </c>
      <c r="CJ23">
        <v>136.3709856035</v>
      </c>
      <c r="CL23" t="s">
        <v>407</v>
      </c>
      <c r="CM23" t="s">
        <v>792</v>
      </c>
      <c r="CN23" t="s">
        <v>798</v>
      </c>
      <c r="CO23">
        <v>441</v>
      </c>
      <c r="CP23">
        <v>48</v>
      </c>
      <c r="CQ23">
        <v>59.977324263</v>
      </c>
      <c r="CR23">
        <v>3108</v>
      </c>
      <c r="CS23">
        <v>203</v>
      </c>
      <c r="CT23">
        <v>53.1296653797</v>
      </c>
      <c r="CU23">
        <v>51.8669950739</v>
      </c>
      <c r="CW23" t="s">
        <v>407</v>
      </c>
      <c r="CX23" t="s">
        <v>805</v>
      </c>
      <c r="CY23" t="s">
        <v>811</v>
      </c>
      <c r="CZ23">
        <v>150</v>
      </c>
      <c r="DA23">
        <v>11</v>
      </c>
      <c r="DB23">
        <v>62.04</v>
      </c>
      <c r="DC23">
        <v>417</v>
      </c>
      <c r="DD23">
        <v>36</v>
      </c>
      <c r="DE23">
        <v>125.7098321343</v>
      </c>
      <c r="DF23">
        <v>129.69444444440001</v>
      </c>
      <c r="DH23" t="s">
        <v>407</v>
      </c>
      <c r="DI23" t="s">
        <v>779</v>
      </c>
      <c r="DJ23" t="s">
        <v>785</v>
      </c>
      <c r="DK23">
        <v>105</v>
      </c>
      <c r="DL23">
        <v>11</v>
      </c>
      <c r="DM23">
        <v>64.809523809500007</v>
      </c>
      <c r="DN23">
        <v>459</v>
      </c>
      <c r="DO23">
        <v>45</v>
      </c>
      <c r="DP23">
        <v>160.9694989107</v>
      </c>
      <c r="DQ23">
        <v>126</v>
      </c>
    </row>
    <row r="24" spans="2:121" x14ac:dyDescent="0.25">
      <c r="B24" t="s">
        <v>110</v>
      </c>
      <c r="C24">
        <v>51</v>
      </c>
      <c r="D24">
        <v>51</v>
      </c>
      <c r="F24" t="s">
        <v>42</v>
      </c>
      <c r="G24">
        <v>12002</v>
      </c>
      <c r="H24">
        <v>282.76570571569999</v>
      </c>
      <c r="I24">
        <v>8711</v>
      </c>
      <c r="J24">
        <v>2340</v>
      </c>
      <c r="K24">
        <v>21900</v>
      </c>
      <c r="L24">
        <v>12244</v>
      </c>
      <c r="M24">
        <v>3074</v>
      </c>
      <c r="N24">
        <v>1382</v>
      </c>
      <c r="O24">
        <v>1700</v>
      </c>
      <c r="P24">
        <v>1310</v>
      </c>
      <c r="Q24">
        <v>2</v>
      </c>
      <c r="R24">
        <v>56</v>
      </c>
      <c r="T24" t="s">
        <v>657</v>
      </c>
      <c r="U24" t="s">
        <v>315</v>
      </c>
      <c r="V24" t="s">
        <v>139</v>
      </c>
      <c r="W24" t="s">
        <v>222</v>
      </c>
      <c r="X24" t="s">
        <v>223</v>
      </c>
      <c r="Y24" t="s">
        <v>224</v>
      </c>
      <c r="Z24" t="s">
        <v>225</v>
      </c>
      <c r="AA24" t="s">
        <v>226</v>
      </c>
      <c r="AB24" t="s">
        <v>227</v>
      </c>
      <c r="AC24" t="s">
        <v>228</v>
      </c>
      <c r="AD24" t="s">
        <v>229</v>
      </c>
      <c r="AE24" t="s">
        <v>230</v>
      </c>
      <c r="AF24" t="s">
        <v>231</v>
      </c>
      <c r="AH24" t="s">
        <v>381</v>
      </c>
      <c r="AI24">
        <v>5037</v>
      </c>
      <c r="AJ24">
        <v>483.8925947985</v>
      </c>
      <c r="AK24">
        <v>4415</v>
      </c>
      <c r="AL24">
        <v>1259</v>
      </c>
      <c r="AM24">
        <v>7817</v>
      </c>
      <c r="AN24">
        <v>4894</v>
      </c>
      <c r="AO24">
        <v>2669</v>
      </c>
      <c r="AP24">
        <v>1846</v>
      </c>
      <c r="AQ24">
        <v>1287</v>
      </c>
      <c r="AR24">
        <v>989</v>
      </c>
      <c r="AS24">
        <v>531</v>
      </c>
      <c r="AT24">
        <v>13</v>
      </c>
      <c r="AV24" t="s">
        <v>83</v>
      </c>
      <c r="AW24">
        <v>102</v>
      </c>
      <c r="AX24">
        <v>49.058823529400001</v>
      </c>
      <c r="AY24">
        <v>500</v>
      </c>
      <c r="AZ24">
        <v>23</v>
      </c>
      <c r="BA24">
        <v>273</v>
      </c>
      <c r="BB24">
        <v>32</v>
      </c>
      <c r="BC24">
        <v>1</v>
      </c>
      <c r="BD24">
        <v>1</v>
      </c>
      <c r="BE24">
        <v>18</v>
      </c>
      <c r="BF24">
        <v>8</v>
      </c>
      <c r="BG24">
        <v>251</v>
      </c>
      <c r="BH24">
        <v>72</v>
      </c>
      <c r="BJ24" t="s">
        <v>645</v>
      </c>
      <c r="BK24" t="s">
        <v>400</v>
      </c>
      <c r="BL24">
        <v>898</v>
      </c>
      <c r="BM24">
        <v>205</v>
      </c>
      <c r="BN24">
        <v>90.278396436500003</v>
      </c>
      <c r="BO24">
        <v>3324</v>
      </c>
      <c r="BP24">
        <v>246</v>
      </c>
      <c r="BQ24">
        <v>137.0658844765</v>
      </c>
      <c r="BR24">
        <v>130.67073170730001</v>
      </c>
      <c r="BS24">
        <v>1473</v>
      </c>
      <c r="BT24">
        <v>602</v>
      </c>
      <c r="BU24">
        <v>138.63068567549999</v>
      </c>
      <c r="BV24">
        <v>5931</v>
      </c>
      <c r="BW24">
        <v>508</v>
      </c>
      <c r="BX24">
        <v>177.2631933907</v>
      </c>
      <c r="BY24">
        <v>188.1299212598</v>
      </c>
      <c r="CA24" t="s">
        <v>410</v>
      </c>
      <c r="CB24" t="s">
        <v>817</v>
      </c>
      <c r="CC24" t="s">
        <v>1022</v>
      </c>
      <c r="CD24">
        <v>1981</v>
      </c>
      <c r="CE24">
        <v>313</v>
      </c>
      <c r="CF24">
        <v>76.385159010600006</v>
      </c>
      <c r="CG24">
        <v>6916</v>
      </c>
      <c r="CH24">
        <v>770</v>
      </c>
      <c r="CI24">
        <v>121.750578369</v>
      </c>
      <c r="CJ24">
        <v>115.3168831169</v>
      </c>
      <c r="CL24" t="s">
        <v>410</v>
      </c>
      <c r="CM24" t="s">
        <v>792</v>
      </c>
      <c r="CN24" t="s">
        <v>799</v>
      </c>
      <c r="CO24">
        <v>100</v>
      </c>
      <c r="CP24">
        <v>8</v>
      </c>
      <c r="CQ24">
        <v>58.87</v>
      </c>
      <c r="CR24">
        <v>733</v>
      </c>
      <c r="CS24">
        <v>87</v>
      </c>
      <c r="CT24">
        <v>60.103683492499997</v>
      </c>
      <c r="CU24">
        <v>61.275862068999999</v>
      </c>
      <c r="CW24" t="s">
        <v>410</v>
      </c>
      <c r="CX24" t="s">
        <v>805</v>
      </c>
      <c r="CY24" t="s">
        <v>812</v>
      </c>
      <c r="CZ24">
        <v>37</v>
      </c>
      <c r="DA24">
        <v>2</v>
      </c>
      <c r="DB24">
        <v>51.486486486499999</v>
      </c>
      <c r="DC24">
        <v>168</v>
      </c>
      <c r="DD24">
        <v>9</v>
      </c>
      <c r="DE24">
        <v>105.44642857140001</v>
      </c>
      <c r="DF24">
        <v>72.333333333300004</v>
      </c>
      <c r="DH24" t="s">
        <v>410</v>
      </c>
      <c r="DI24" t="s">
        <v>779</v>
      </c>
      <c r="DJ24" t="s">
        <v>786</v>
      </c>
      <c r="DK24">
        <v>59</v>
      </c>
      <c r="DL24">
        <v>2</v>
      </c>
      <c r="DM24">
        <v>62.305084745800002</v>
      </c>
      <c r="DN24">
        <v>260</v>
      </c>
      <c r="DO24">
        <v>17</v>
      </c>
      <c r="DP24">
        <v>149.9615384615</v>
      </c>
      <c r="DQ24">
        <v>129</v>
      </c>
    </row>
    <row r="25" spans="2:121" x14ac:dyDescent="0.25">
      <c r="B25" t="s">
        <v>108</v>
      </c>
      <c r="C25">
        <v>45</v>
      </c>
      <c r="D25">
        <v>45</v>
      </c>
      <c r="F25" t="s">
        <v>82</v>
      </c>
      <c r="G25">
        <v>13683</v>
      </c>
      <c r="H25">
        <v>300.59446027920001</v>
      </c>
      <c r="I25">
        <v>17063</v>
      </c>
      <c r="J25">
        <v>4744</v>
      </c>
      <c r="K25">
        <v>16370</v>
      </c>
      <c r="L25">
        <v>9191</v>
      </c>
      <c r="M25">
        <v>1603</v>
      </c>
      <c r="N25">
        <v>1171</v>
      </c>
      <c r="O25">
        <v>3001</v>
      </c>
      <c r="P25">
        <v>1312</v>
      </c>
      <c r="Q25">
        <v>2</v>
      </c>
      <c r="R25">
        <v>227</v>
      </c>
      <c r="T25" t="s">
        <v>395</v>
      </c>
      <c r="U25">
        <v>66115</v>
      </c>
      <c r="V25">
        <v>344.35004159419998</v>
      </c>
      <c r="W25">
        <v>67893</v>
      </c>
      <c r="X25">
        <v>18426</v>
      </c>
      <c r="Y25">
        <v>94506</v>
      </c>
      <c r="Z25">
        <v>54032</v>
      </c>
      <c r="AA25">
        <v>13544</v>
      </c>
      <c r="AB25">
        <v>9564</v>
      </c>
      <c r="AC25">
        <v>23551</v>
      </c>
      <c r="AD25">
        <v>14185</v>
      </c>
      <c r="AE25">
        <v>99</v>
      </c>
      <c r="AF25">
        <v>1192</v>
      </c>
      <c r="AH25" t="s">
        <v>405</v>
      </c>
      <c r="AI25">
        <v>3892</v>
      </c>
      <c r="AJ25">
        <v>256.4177800617</v>
      </c>
      <c r="AK25">
        <v>7385</v>
      </c>
      <c r="AL25">
        <v>2072</v>
      </c>
      <c r="AM25">
        <v>7732</v>
      </c>
      <c r="AN25">
        <v>3379</v>
      </c>
      <c r="AO25">
        <v>970</v>
      </c>
      <c r="AP25">
        <v>791</v>
      </c>
      <c r="AQ25">
        <v>1222</v>
      </c>
      <c r="AR25">
        <v>700</v>
      </c>
      <c r="AS25">
        <v>27</v>
      </c>
      <c r="AT25">
        <v>201</v>
      </c>
      <c r="AV25" t="s">
        <v>417</v>
      </c>
      <c r="AW25">
        <v>526</v>
      </c>
      <c r="AX25">
        <v>40.878326996200002</v>
      </c>
      <c r="AY25">
        <v>2106</v>
      </c>
      <c r="AZ25">
        <v>59</v>
      </c>
      <c r="BA25">
        <v>966</v>
      </c>
      <c r="BB25">
        <v>66</v>
      </c>
      <c r="BC25">
        <v>11</v>
      </c>
      <c r="BD25">
        <v>10</v>
      </c>
      <c r="BE25">
        <v>80</v>
      </c>
      <c r="BF25">
        <v>43</v>
      </c>
      <c r="BG25">
        <v>909</v>
      </c>
      <c r="BH25">
        <v>302</v>
      </c>
      <c r="BJ25" t="s">
        <v>584</v>
      </c>
      <c r="BK25" t="s">
        <v>400</v>
      </c>
      <c r="BL25">
        <v>5186</v>
      </c>
      <c r="BM25">
        <v>1008</v>
      </c>
      <c r="BN25">
        <v>87.378133436200002</v>
      </c>
      <c r="BO25">
        <v>21436</v>
      </c>
      <c r="BP25">
        <v>1729</v>
      </c>
      <c r="BQ25">
        <v>176.51077626419999</v>
      </c>
      <c r="BR25">
        <v>137.78311162520001</v>
      </c>
      <c r="BS25">
        <v>5318</v>
      </c>
      <c r="BT25">
        <v>1060</v>
      </c>
      <c r="BU25">
        <v>89.056600225599993</v>
      </c>
      <c r="BV25">
        <v>22462</v>
      </c>
      <c r="BW25">
        <v>1934</v>
      </c>
      <c r="BX25">
        <v>178.329000089</v>
      </c>
      <c r="BY25">
        <v>141.50775594620001</v>
      </c>
      <c r="CA25" t="s">
        <v>429</v>
      </c>
      <c r="CB25" t="s">
        <v>817</v>
      </c>
      <c r="CC25" t="s">
        <v>1023</v>
      </c>
      <c r="CD25">
        <v>666</v>
      </c>
      <c r="CE25">
        <v>131</v>
      </c>
      <c r="CF25">
        <v>85.136636636600002</v>
      </c>
      <c r="CG25">
        <v>2527</v>
      </c>
      <c r="CH25">
        <v>198</v>
      </c>
      <c r="CI25">
        <v>130.9905025722</v>
      </c>
      <c r="CJ25">
        <v>110.75757575759999</v>
      </c>
      <c r="CL25" t="s">
        <v>429</v>
      </c>
      <c r="CM25" t="s">
        <v>792</v>
      </c>
      <c r="CN25" t="s">
        <v>800</v>
      </c>
      <c r="CO25">
        <v>39</v>
      </c>
      <c r="CP25">
        <v>3</v>
      </c>
      <c r="CQ25">
        <v>51.692307692299998</v>
      </c>
      <c r="CR25">
        <v>220</v>
      </c>
      <c r="CS25">
        <v>14</v>
      </c>
      <c r="CT25">
        <v>51.768181818199999</v>
      </c>
      <c r="CU25">
        <v>74.642857142899999</v>
      </c>
      <c r="CW25" t="s">
        <v>429</v>
      </c>
      <c r="CX25" t="s">
        <v>805</v>
      </c>
      <c r="CY25" t="s">
        <v>813</v>
      </c>
      <c r="CZ25">
        <v>14</v>
      </c>
      <c r="DA25">
        <v>1</v>
      </c>
      <c r="DB25">
        <v>60.142857142899999</v>
      </c>
      <c r="DC25">
        <v>47</v>
      </c>
      <c r="DD25">
        <v>7</v>
      </c>
      <c r="DE25">
        <v>110.4042553191</v>
      </c>
      <c r="DF25">
        <v>31.142857142899999</v>
      </c>
      <c r="DH25" t="s">
        <v>429</v>
      </c>
      <c r="DI25" t="s">
        <v>779</v>
      </c>
      <c r="DJ25" t="s">
        <v>787</v>
      </c>
      <c r="DK25">
        <v>6</v>
      </c>
      <c r="DL25">
        <v>2</v>
      </c>
      <c r="DM25">
        <v>92.166666666699996</v>
      </c>
      <c r="DN25">
        <v>26</v>
      </c>
      <c r="DO25">
        <v>2</v>
      </c>
      <c r="DP25">
        <v>177.6538461538</v>
      </c>
      <c r="DQ25">
        <v>136</v>
      </c>
    </row>
    <row r="26" spans="2:121" x14ac:dyDescent="0.25">
      <c r="B26" t="s">
        <v>99</v>
      </c>
      <c r="C26">
        <v>132259</v>
      </c>
      <c r="D26">
        <v>54463</v>
      </c>
      <c r="F26" t="s">
        <v>38</v>
      </c>
      <c r="G26">
        <v>4404</v>
      </c>
      <c r="H26">
        <v>539.49613987279997</v>
      </c>
      <c r="I26">
        <v>3461</v>
      </c>
      <c r="J26">
        <v>994</v>
      </c>
      <c r="K26">
        <v>5870</v>
      </c>
      <c r="L26">
        <v>4399</v>
      </c>
      <c r="M26">
        <v>2096</v>
      </c>
      <c r="N26">
        <v>1921</v>
      </c>
      <c r="O26">
        <v>851</v>
      </c>
      <c r="P26">
        <v>741</v>
      </c>
      <c r="Q26">
        <v>2</v>
      </c>
      <c r="R26">
        <v>11</v>
      </c>
      <c r="T26" t="s">
        <v>400</v>
      </c>
      <c r="U26">
        <v>47756</v>
      </c>
      <c r="V26">
        <v>399.68362090630001</v>
      </c>
      <c r="W26">
        <v>51659</v>
      </c>
      <c r="X26">
        <v>12756</v>
      </c>
      <c r="Y26">
        <v>73934</v>
      </c>
      <c r="Z26">
        <v>41608</v>
      </c>
      <c r="AA26">
        <v>10177</v>
      </c>
      <c r="AB26">
        <v>8242</v>
      </c>
      <c r="AC26">
        <v>22335</v>
      </c>
      <c r="AD26">
        <v>14516</v>
      </c>
      <c r="AE26">
        <v>138</v>
      </c>
      <c r="AF26">
        <v>1183</v>
      </c>
      <c r="AH26" t="s">
        <v>411</v>
      </c>
      <c r="AI26">
        <v>1448</v>
      </c>
      <c r="AJ26">
        <v>202.453038674</v>
      </c>
      <c r="AK26">
        <v>5319</v>
      </c>
      <c r="AL26">
        <v>1214</v>
      </c>
      <c r="AM26">
        <v>4744</v>
      </c>
      <c r="AN26">
        <v>1179</v>
      </c>
      <c r="AO26">
        <v>324</v>
      </c>
      <c r="AP26">
        <v>233</v>
      </c>
      <c r="AQ26">
        <v>1175</v>
      </c>
      <c r="AR26">
        <v>581</v>
      </c>
      <c r="AS26">
        <v>5</v>
      </c>
      <c r="AT26">
        <v>2</v>
      </c>
      <c r="AV26" t="s">
        <v>407</v>
      </c>
      <c r="AW26">
        <v>369</v>
      </c>
      <c r="AX26">
        <v>73.216802168000001</v>
      </c>
      <c r="AY26">
        <v>541</v>
      </c>
      <c r="AZ26">
        <v>46</v>
      </c>
      <c r="BA26">
        <v>660</v>
      </c>
      <c r="BB26">
        <v>69</v>
      </c>
      <c r="BC26">
        <v>14</v>
      </c>
      <c r="BD26">
        <v>14</v>
      </c>
      <c r="BE26">
        <v>47</v>
      </c>
      <c r="BF26">
        <v>18</v>
      </c>
      <c r="BG26">
        <v>529</v>
      </c>
      <c r="BH26">
        <v>44</v>
      </c>
      <c r="BJ26" t="s">
        <v>590</v>
      </c>
      <c r="BK26" t="s">
        <v>400</v>
      </c>
      <c r="BL26">
        <v>7284</v>
      </c>
      <c r="BM26">
        <v>1799</v>
      </c>
      <c r="BN26">
        <v>97.534184514000003</v>
      </c>
      <c r="BO26">
        <v>21740</v>
      </c>
      <c r="BP26">
        <v>2152</v>
      </c>
      <c r="BQ26">
        <v>152.203173873</v>
      </c>
      <c r="BR26">
        <v>142.62871747209999</v>
      </c>
      <c r="BS26">
        <v>9012</v>
      </c>
      <c r="BT26">
        <v>3384</v>
      </c>
      <c r="BU26">
        <v>120.1173990235</v>
      </c>
      <c r="BV26">
        <v>32209</v>
      </c>
      <c r="BW26">
        <v>2852</v>
      </c>
      <c r="BX26">
        <v>177.08447949329999</v>
      </c>
      <c r="BY26">
        <v>163.26718092569999</v>
      </c>
      <c r="CA26" t="s">
        <v>401</v>
      </c>
      <c r="CB26" t="s">
        <v>817</v>
      </c>
      <c r="CC26" t="s">
        <v>1024</v>
      </c>
      <c r="CD26">
        <v>8188</v>
      </c>
      <c r="CE26">
        <v>2097</v>
      </c>
      <c r="CF26">
        <v>103.9532242306</v>
      </c>
      <c r="CG26">
        <v>28834</v>
      </c>
      <c r="CH26">
        <v>2490</v>
      </c>
      <c r="CI26">
        <v>160.8593674135</v>
      </c>
      <c r="CJ26">
        <v>147.8983935743</v>
      </c>
      <c r="CL26" t="s">
        <v>401</v>
      </c>
      <c r="CM26" t="s">
        <v>792</v>
      </c>
      <c r="CN26" t="s">
        <v>801</v>
      </c>
      <c r="CO26">
        <v>681</v>
      </c>
      <c r="CP26">
        <v>73</v>
      </c>
      <c r="CQ26">
        <v>60.759177679899999</v>
      </c>
      <c r="CR26">
        <v>5365</v>
      </c>
      <c r="CS26">
        <v>386</v>
      </c>
      <c r="CT26">
        <v>57.626840633699999</v>
      </c>
      <c r="CU26">
        <v>59.196891191699997</v>
      </c>
      <c r="CW26" t="s">
        <v>401</v>
      </c>
      <c r="CX26" t="s">
        <v>805</v>
      </c>
      <c r="CY26" t="s">
        <v>814</v>
      </c>
      <c r="CZ26">
        <v>172</v>
      </c>
      <c r="DA26">
        <v>11</v>
      </c>
      <c r="DB26">
        <v>61.360465116299999</v>
      </c>
      <c r="DC26">
        <v>504</v>
      </c>
      <c r="DD26">
        <v>43</v>
      </c>
      <c r="DE26">
        <v>132.21031746029999</v>
      </c>
      <c r="DF26">
        <v>122.7209302326</v>
      </c>
      <c r="DH26" t="s">
        <v>401</v>
      </c>
      <c r="DI26" t="s">
        <v>779</v>
      </c>
      <c r="DJ26" t="s">
        <v>788</v>
      </c>
      <c r="DK26">
        <v>133</v>
      </c>
      <c r="DL26">
        <v>12</v>
      </c>
      <c r="DM26">
        <v>69.819548872200002</v>
      </c>
      <c r="DN26">
        <v>341</v>
      </c>
      <c r="DO26">
        <v>27</v>
      </c>
      <c r="DP26">
        <v>148.29618768329999</v>
      </c>
      <c r="DQ26">
        <v>147.74074074070001</v>
      </c>
    </row>
    <row r="27" spans="2:121" x14ac:dyDescent="0.25">
      <c r="B27" t="s">
        <v>20</v>
      </c>
      <c r="C27">
        <v>380</v>
      </c>
      <c r="D27">
        <v>225</v>
      </c>
      <c r="F27" t="s">
        <v>58</v>
      </c>
      <c r="G27">
        <v>733</v>
      </c>
      <c r="H27">
        <v>148.15688949520001</v>
      </c>
      <c r="I27">
        <v>924</v>
      </c>
      <c r="J27">
        <v>290</v>
      </c>
      <c r="K27">
        <v>949</v>
      </c>
      <c r="L27">
        <v>375</v>
      </c>
      <c r="M27">
        <v>147</v>
      </c>
      <c r="N27">
        <v>123</v>
      </c>
      <c r="O27">
        <v>698</v>
      </c>
      <c r="P27">
        <v>448</v>
      </c>
      <c r="Q27">
        <v>343</v>
      </c>
      <c r="R27">
        <v>135</v>
      </c>
      <c r="T27" t="s">
        <v>379</v>
      </c>
      <c r="U27">
        <v>73982</v>
      </c>
      <c r="V27">
        <v>401.66664864429998</v>
      </c>
      <c r="W27">
        <v>72615</v>
      </c>
      <c r="X27">
        <v>19935</v>
      </c>
      <c r="Y27">
        <v>103429</v>
      </c>
      <c r="Z27">
        <v>63795</v>
      </c>
      <c r="AA27">
        <v>20205</v>
      </c>
      <c r="AB27">
        <v>15431</v>
      </c>
      <c r="AC27">
        <v>34460</v>
      </c>
      <c r="AD27">
        <v>22055</v>
      </c>
      <c r="AE27">
        <v>5952</v>
      </c>
      <c r="AF27">
        <v>163</v>
      </c>
      <c r="AH27" t="s">
        <v>399</v>
      </c>
      <c r="AI27">
        <v>5074</v>
      </c>
      <c r="AJ27">
        <v>377.21462357109999</v>
      </c>
      <c r="AK27">
        <v>3845</v>
      </c>
      <c r="AL27">
        <v>1153</v>
      </c>
      <c r="AM27">
        <v>7139</v>
      </c>
      <c r="AN27">
        <v>4845</v>
      </c>
      <c r="AO27">
        <v>1013</v>
      </c>
      <c r="AP27">
        <v>856</v>
      </c>
      <c r="AQ27">
        <v>2287</v>
      </c>
      <c r="AR27">
        <v>1350</v>
      </c>
      <c r="AS27">
        <v>12</v>
      </c>
      <c r="AT27">
        <v>145</v>
      </c>
      <c r="AV27" t="s">
        <v>384</v>
      </c>
      <c r="AW27">
        <v>417</v>
      </c>
      <c r="AX27">
        <v>99.268585131899997</v>
      </c>
      <c r="AY27">
        <v>517</v>
      </c>
      <c r="AZ27">
        <v>125</v>
      </c>
      <c r="BA27">
        <v>643</v>
      </c>
      <c r="BB27">
        <v>187</v>
      </c>
      <c r="BC27">
        <v>15</v>
      </c>
      <c r="BD27">
        <v>15</v>
      </c>
      <c r="BE27">
        <v>165</v>
      </c>
      <c r="BF27">
        <v>30</v>
      </c>
      <c r="BG27">
        <v>63</v>
      </c>
      <c r="BH27">
        <v>189</v>
      </c>
      <c r="BJ27" t="s">
        <v>649</v>
      </c>
      <c r="BK27" t="s">
        <v>400</v>
      </c>
      <c r="BL27">
        <v>2584</v>
      </c>
      <c r="BM27">
        <v>572</v>
      </c>
      <c r="BN27">
        <v>93.490712074300006</v>
      </c>
      <c r="BO27">
        <v>7475</v>
      </c>
      <c r="BP27">
        <v>681</v>
      </c>
      <c r="BQ27">
        <v>177.4153846154</v>
      </c>
      <c r="BR27">
        <v>149.9794419971</v>
      </c>
      <c r="BS27">
        <v>2756</v>
      </c>
      <c r="BT27">
        <v>598</v>
      </c>
      <c r="BU27">
        <v>95.035921625499995</v>
      </c>
      <c r="BV27">
        <v>7368</v>
      </c>
      <c r="BW27">
        <v>736</v>
      </c>
      <c r="BX27">
        <v>177.71118349619999</v>
      </c>
      <c r="BY27">
        <v>151.6277173913</v>
      </c>
      <c r="CA27" t="s">
        <v>430</v>
      </c>
      <c r="CB27" t="s">
        <v>817</v>
      </c>
      <c r="CC27" t="s">
        <v>1025</v>
      </c>
      <c r="CD27">
        <v>933</v>
      </c>
      <c r="CE27">
        <v>223</v>
      </c>
      <c r="CF27">
        <v>92.8906752412</v>
      </c>
      <c r="CG27">
        <v>3478</v>
      </c>
      <c r="CH27">
        <v>262</v>
      </c>
      <c r="CI27">
        <v>134.49108683150001</v>
      </c>
      <c r="CJ27">
        <v>127.286259542</v>
      </c>
      <c r="CL27" t="s">
        <v>430</v>
      </c>
      <c r="CM27" t="s">
        <v>792</v>
      </c>
      <c r="CN27" t="s">
        <v>802</v>
      </c>
      <c r="CO27">
        <v>59</v>
      </c>
      <c r="CP27">
        <v>5</v>
      </c>
      <c r="CQ27">
        <v>46.4237288136</v>
      </c>
      <c r="CR27">
        <v>405</v>
      </c>
      <c r="CS27">
        <v>49</v>
      </c>
      <c r="CT27">
        <v>53.686419753099997</v>
      </c>
      <c r="CU27">
        <v>56.224489795899999</v>
      </c>
      <c r="CW27" t="s">
        <v>430</v>
      </c>
      <c r="CX27" t="s">
        <v>805</v>
      </c>
      <c r="CY27" t="s">
        <v>815</v>
      </c>
      <c r="CZ27">
        <v>6</v>
      </c>
      <c r="DA27">
        <v>1</v>
      </c>
      <c r="DB27">
        <v>81.333333333300004</v>
      </c>
      <c r="DC27">
        <v>46</v>
      </c>
      <c r="DD27">
        <v>3</v>
      </c>
      <c r="DE27">
        <v>121.9347826087</v>
      </c>
      <c r="DF27">
        <v>93.333333333300004</v>
      </c>
      <c r="DH27" t="s">
        <v>430</v>
      </c>
      <c r="DI27" t="s">
        <v>779</v>
      </c>
      <c r="DJ27" t="s">
        <v>789</v>
      </c>
      <c r="DK27">
        <v>15</v>
      </c>
      <c r="DL27">
        <v>0</v>
      </c>
      <c r="DM27">
        <v>47.4</v>
      </c>
      <c r="DN27">
        <v>25</v>
      </c>
      <c r="DO27">
        <v>1</v>
      </c>
      <c r="DP27">
        <v>156.72</v>
      </c>
      <c r="DQ27">
        <v>117</v>
      </c>
    </row>
    <row r="28" spans="2:121" x14ac:dyDescent="0.25">
      <c r="B28" t="s">
        <v>112</v>
      </c>
      <c r="C28">
        <v>24341</v>
      </c>
      <c r="D28">
        <v>8117</v>
      </c>
      <c r="F28" t="s">
        <v>72</v>
      </c>
      <c r="G28">
        <v>15034</v>
      </c>
      <c r="H28">
        <v>495.309564986</v>
      </c>
      <c r="I28">
        <v>10891</v>
      </c>
      <c r="J28">
        <v>2528</v>
      </c>
      <c r="K28">
        <v>17387</v>
      </c>
      <c r="L28">
        <v>11713</v>
      </c>
      <c r="M28">
        <v>5295</v>
      </c>
      <c r="N28">
        <v>4941</v>
      </c>
      <c r="O28">
        <v>5092</v>
      </c>
      <c r="P28">
        <v>4230</v>
      </c>
      <c r="Q28">
        <v>7</v>
      </c>
      <c r="R28">
        <v>22</v>
      </c>
      <c r="T28" t="s">
        <v>8</v>
      </c>
      <c r="U28">
        <v>8759</v>
      </c>
      <c r="V28">
        <v>417.19020436120002</v>
      </c>
      <c r="W28">
        <v>4106</v>
      </c>
      <c r="X28">
        <v>1753</v>
      </c>
      <c r="Y28">
        <v>10632</v>
      </c>
      <c r="Z28">
        <v>8156</v>
      </c>
      <c r="AA28">
        <v>1358</v>
      </c>
      <c r="AB28">
        <v>1175</v>
      </c>
      <c r="AC28">
        <v>15579</v>
      </c>
      <c r="AD28">
        <v>12054</v>
      </c>
      <c r="AE28">
        <v>378</v>
      </c>
      <c r="AF28">
        <v>152</v>
      </c>
      <c r="AH28" t="s">
        <v>407</v>
      </c>
      <c r="AI28">
        <v>6077</v>
      </c>
      <c r="AJ28">
        <v>281.19861773899999</v>
      </c>
      <c r="AK28">
        <v>5546</v>
      </c>
      <c r="AL28">
        <v>1135</v>
      </c>
      <c r="AM28">
        <v>8996</v>
      </c>
      <c r="AN28">
        <v>5324</v>
      </c>
      <c r="AO28">
        <v>2140</v>
      </c>
      <c r="AP28">
        <v>1973</v>
      </c>
      <c r="AQ28">
        <v>6026</v>
      </c>
      <c r="AR28">
        <v>4515</v>
      </c>
      <c r="AS28">
        <v>12</v>
      </c>
      <c r="AT28">
        <v>103</v>
      </c>
      <c r="AV28" t="s">
        <v>391</v>
      </c>
      <c r="AW28">
        <v>1138</v>
      </c>
      <c r="AX28">
        <v>101.97100175750001</v>
      </c>
      <c r="AY28">
        <v>1088</v>
      </c>
      <c r="AZ28">
        <v>236</v>
      </c>
      <c r="BA28">
        <v>1804</v>
      </c>
      <c r="BB28">
        <v>528</v>
      </c>
      <c r="BC28">
        <v>71</v>
      </c>
      <c r="BD28">
        <v>67</v>
      </c>
      <c r="BE28">
        <v>393</v>
      </c>
      <c r="BF28">
        <v>70</v>
      </c>
      <c r="BG28">
        <v>152</v>
      </c>
      <c r="BH28">
        <v>408</v>
      </c>
      <c r="BJ28" t="s">
        <v>543</v>
      </c>
      <c r="BK28" t="s">
        <v>379</v>
      </c>
      <c r="BL28">
        <v>4624</v>
      </c>
      <c r="BM28">
        <v>1329</v>
      </c>
      <c r="BN28">
        <v>119.2742214533</v>
      </c>
      <c r="BO28">
        <v>18254</v>
      </c>
      <c r="BP28">
        <v>1650</v>
      </c>
      <c r="BQ28">
        <v>248.5977867865</v>
      </c>
      <c r="BR28">
        <v>188.0472727273</v>
      </c>
      <c r="BS28">
        <v>2804</v>
      </c>
      <c r="BT28">
        <v>354</v>
      </c>
      <c r="BU28">
        <v>81.169400855899994</v>
      </c>
      <c r="BV28">
        <v>5832</v>
      </c>
      <c r="BW28">
        <v>753</v>
      </c>
      <c r="BX28">
        <v>235.94358710559999</v>
      </c>
      <c r="BY28">
        <v>158.9096945551</v>
      </c>
      <c r="CA28" t="s">
        <v>406</v>
      </c>
      <c r="CB28" t="s">
        <v>817</v>
      </c>
      <c r="CC28" t="s">
        <v>1026</v>
      </c>
      <c r="CD28">
        <v>3770</v>
      </c>
      <c r="CE28">
        <v>926</v>
      </c>
      <c r="CF28">
        <v>93.111405835499994</v>
      </c>
      <c r="CG28">
        <v>14069</v>
      </c>
      <c r="CH28">
        <v>1310</v>
      </c>
      <c r="CI28">
        <v>155.8776743194</v>
      </c>
      <c r="CJ28">
        <v>133.92137404580001</v>
      </c>
      <c r="CL28" t="s">
        <v>406</v>
      </c>
      <c r="CM28" t="s">
        <v>792</v>
      </c>
      <c r="CN28" t="s">
        <v>803</v>
      </c>
      <c r="CO28">
        <v>250</v>
      </c>
      <c r="CP28">
        <v>13</v>
      </c>
      <c r="CQ28">
        <v>44.491999999999997</v>
      </c>
      <c r="CR28">
        <v>2137</v>
      </c>
      <c r="CS28">
        <v>156</v>
      </c>
      <c r="CT28">
        <v>43.645297145500003</v>
      </c>
      <c r="CU28">
        <v>50.878205128200001</v>
      </c>
      <c r="CW28" t="s">
        <v>406</v>
      </c>
      <c r="CX28" t="s">
        <v>805</v>
      </c>
      <c r="CY28" t="s">
        <v>816</v>
      </c>
      <c r="CZ28">
        <v>80</v>
      </c>
      <c r="DA28">
        <v>7</v>
      </c>
      <c r="DB28">
        <v>67.712500000000006</v>
      </c>
      <c r="DC28">
        <v>228</v>
      </c>
      <c r="DD28">
        <v>18</v>
      </c>
      <c r="DE28">
        <v>126.39035087720001</v>
      </c>
      <c r="DF28">
        <v>120.44444444440001</v>
      </c>
      <c r="DH28" t="s">
        <v>406</v>
      </c>
      <c r="DI28" t="s">
        <v>779</v>
      </c>
      <c r="DJ28" t="s">
        <v>790</v>
      </c>
      <c r="DK28">
        <v>62</v>
      </c>
      <c r="DL28">
        <v>8</v>
      </c>
      <c r="DM28">
        <v>83.370967741900003</v>
      </c>
      <c r="DN28">
        <v>161</v>
      </c>
      <c r="DO28">
        <v>13</v>
      </c>
      <c r="DP28">
        <v>154.9813664596</v>
      </c>
      <c r="DQ28">
        <v>134</v>
      </c>
    </row>
    <row r="29" spans="2:121" x14ac:dyDescent="0.25">
      <c r="B29" t="s">
        <v>91</v>
      </c>
      <c r="C29">
        <v>85489</v>
      </c>
      <c r="D29">
        <v>26951</v>
      </c>
      <c r="F29" t="s">
        <v>44</v>
      </c>
      <c r="G29">
        <v>1288</v>
      </c>
      <c r="H29">
        <v>125.4270186335</v>
      </c>
      <c r="I29">
        <v>2169</v>
      </c>
      <c r="J29">
        <v>532</v>
      </c>
      <c r="K29">
        <v>2422</v>
      </c>
      <c r="L29">
        <v>684</v>
      </c>
      <c r="M29">
        <v>199</v>
      </c>
      <c r="N29">
        <v>160</v>
      </c>
      <c r="O29">
        <v>2834</v>
      </c>
      <c r="P29">
        <v>2710</v>
      </c>
      <c r="Q29">
        <v>0</v>
      </c>
      <c r="R29">
        <v>11</v>
      </c>
      <c r="T29" t="s">
        <v>414</v>
      </c>
      <c r="U29">
        <v>74416</v>
      </c>
      <c r="V29">
        <v>365.628628252</v>
      </c>
      <c r="W29">
        <v>61538</v>
      </c>
      <c r="X29">
        <v>16574</v>
      </c>
      <c r="Y29">
        <v>103581</v>
      </c>
      <c r="Z29">
        <v>64333</v>
      </c>
      <c r="AA29">
        <v>18329</v>
      </c>
      <c r="AB29">
        <v>14759</v>
      </c>
      <c r="AC29">
        <v>25012</v>
      </c>
      <c r="AD29">
        <v>16506</v>
      </c>
      <c r="AE29">
        <v>87</v>
      </c>
      <c r="AF29">
        <v>608</v>
      </c>
      <c r="AH29" t="s">
        <v>428</v>
      </c>
      <c r="AI29">
        <v>1077</v>
      </c>
      <c r="AJ29">
        <v>244.98235840300001</v>
      </c>
      <c r="AK29">
        <v>943</v>
      </c>
      <c r="AL29">
        <v>118</v>
      </c>
      <c r="AM29">
        <v>1787</v>
      </c>
      <c r="AN29">
        <v>737</v>
      </c>
      <c r="AO29">
        <v>433</v>
      </c>
      <c r="AP29">
        <v>219</v>
      </c>
      <c r="AQ29">
        <v>194</v>
      </c>
      <c r="AR29">
        <v>87</v>
      </c>
      <c r="AS29">
        <v>2</v>
      </c>
      <c r="AT29">
        <v>5</v>
      </c>
      <c r="AV29" t="s">
        <v>428</v>
      </c>
      <c r="AW29">
        <v>22</v>
      </c>
      <c r="AX29">
        <v>19.9545454545</v>
      </c>
      <c r="AY29">
        <v>72</v>
      </c>
      <c r="AZ29">
        <v>1</v>
      </c>
      <c r="BA29">
        <v>44</v>
      </c>
      <c r="BB29">
        <v>2</v>
      </c>
      <c r="BC29">
        <v>0</v>
      </c>
      <c r="BE29">
        <v>3</v>
      </c>
      <c r="BG29">
        <v>73</v>
      </c>
      <c r="BH29">
        <v>5</v>
      </c>
      <c r="BJ29" t="s">
        <v>522</v>
      </c>
      <c r="BK29" t="s">
        <v>379</v>
      </c>
      <c r="BL29">
        <v>3620</v>
      </c>
      <c r="BM29">
        <v>990</v>
      </c>
      <c r="BN29">
        <v>106.2803867403</v>
      </c>
      <c r="BO29">
        <v>11306</v>
      </c>
      <c r="BP29">
        <v>1041</v>
      </c>
      <c r="BQ29">
        <v>213.24394127010001</v>
      </c>
      <c r="BR29">
        <v>171.27569644569999</v>
      </c>
      <c r="BS29">
        <v>2976</v>
      </c>
      <c r="BT29">
        <v>903</v>
      </c>
      <c r="BU29">
        <v>98.366935483899994</v>
      </c>
      <c r="BV29">
        <v>9630</v>
      </c>
      <c r="BW29">
        <v>970</v>
      </c>
      <c r="BX29">
        <v>198.2881619938</v>
      </c>
      <c r="BY29">
        <v>157.57525773200001</v>
      </c>
      <c r="CA29" t="s">
        <v>400</v>
      </c>
      <c r="CB29" t="s">
        <v>817</v>
      </c>
      <c r="CD29">
        <v>50597</v>
      </c>
      <c r="CE29">
        <v>12536</v>
      </c>
      <c r="CF29">
        <v>100.4589402534</v>
      </c>
      <c r="CG29">
        <v>181053</v>
      </c>
      <c r="CH29">
        <v>16582</v>
      </c>
      <c r="CI29">
        <v>170.86880084840001</v>
      </c>
      <c r="CJ29">
        <v>148.18906042699999</v>
      </c>
      <c r="CL29" t="s">
        <v>400</v>
      </c>
      <c r="CM29" t="s">
        <v>792</v>
      </c>
      <c r="CO29">
        <v>4018</v>
      </c>
      <c r="CP29">
        <v>342</v>
      </c>
      <c r="CQ29">
        <v>56.456694873099998</v>
      </c>
      <c r="CR29">
        <v>28776</v>
      </c>
      <c r="CS29">
        <v>2203</v>
      </c>
      <c r="CT29">
        <v>54.724388379200001</v>
      </c>
      <c r="CU29">
        <v>55.431230140700002</v>
      </c>
      <c r="CW29" t="s">
        <v>400</v>
      </c>
      <c r="CX29" t="s">
        <v>805</v>
      </c>
      <c r="CZ29">
        <v>1024</v>
      </c>
      <c r="DA29">
        <v>90</v>
      </c>
      <c r="DB29">
        <v>64.8369140625</v>
      </c>
      <c r="DC29">
        <v>3185</v>
      </c>
      <c r="DD29">
        <v>249</v>
      </c>
      <c r="DE29">
        <v>129.08571428569999</v>
      </c>
      <c r="DF29">
        <v>115.5742971888</v>
      </c>
      <c r="DH29" t="s">
        <v>400</v>
      </c>
      <c r="DI29" t="s">
        <v>779</v>
      </c>
      <c r="DK29">
        <v>904</v>
      </c>
      <c r="DL29">
        <v>83</v>
      </c>
      <c r="DM29">
        <v>69.6946902655</v>
      </c>
      <c r="DN29">
        <v>2690</v>
      </c>
      <c r="DO29">
        <v>218</v>
      </c>
      <c r="DP29">
        <v>151.53197026020001</v>
      </c>
      <c r="DQ29">
        <v>133.1697247706</v>
      </c>
    </row>
    <row r="30" spans="2:121" x14ac:dyDescent="0.25">
      <c r="B30" t="s">
        <v>120</v>
      </c>
      <c r="C30">
        <v>10930</v>
      </c>
      <c r="D30">
        <v>2423</v>
      </c>
      <c r="F30" t="s">
        <v>48</v>
      </c>
      <c r="G30">
        <v>2035</v>
      </c>
      <c r="H30">
        <v>220.9985257985</v>
      </c>
      <c r="I30">
        <v>2530</v>
      </c>
      <c r="J30">
        <v>610</v>
      </c>
      <c r="K30">
        <v>2697</v>
      </c>
      <c r="L30">
        <v>1448</v>
      </c>
      <c r="M30">
        <v>445</v>
      </c>
      <c r="N30">
        <v>354</v>
      </c>
      <c r="O30">
        <v>82</v>
      </c>
      <c r="P30">
        <v>63</v>
      </c>
      <c r="Q30">
        <v>0</v>
      </c>
      <c r="R30">
        <v>1</v>
      </c>
      <c r="T30" t="s">
        <v>390</v>
      </c>
      <c r="U30">
        <v>80989</v>
      </c>
      <c r="V30">
        <v>352.26672758030003</v>
      </c>
      <c r="W30">
        <v>74802</v>
      </c>
      <c r="X30">
        <v>21066</v>
      </c>
      <c r="Y30">
        <v>112277</v>
      </c>
      <c r="Z30">
        <v>71766</v>
      </c>
      <c r="AA30">
        <v>20982</v>
      </c>
      <c r="AB30">
        <v>16230</v>
      </c>
      <c r="AC30">
        <v>40715</v>
      </c>
      <c r="AD30">
        <v>21878</v>
      </c>
      <c r="AE30">
        <v>2837</v>
      </c>
      <c r="AF30">
        <v>1107</v>
      </c>
      <c r="AH30" t="s">
        <v>410</v>
      </c>
      <c r="AI30">
        <v>1315</v>
      </c>
      <c r="AJ30">
        <v>206.697338403</v>
      </c>
      <c r="AK30">
        <v>2014</v>
      </c>
      <c r="AL30">
        <v>323</v>
      </c>
      <c r="AM30">
        <v>2524</v>
      </c>
      <c r="AN30">
        <v>773</v>
      </c>
      <c r="AO30">
        <v>883</v>
      </c>
      <c r="AP30">
        <v>444</v>
      </c>
      <c r="AQ30">
        <v>386</v>
      </c>
      <c r="AR30">
        <v>158</v>
      </c>
      <c r="AS30">
        <v>1</v>
      </c>
      <c r="AT30">
        <v>14</v>
      </c>
      <c r="AV30" t="s">
        <v>394</v>
      </c>
      <c r="AW30">
        <v>397</v>
      </c>
      <c r="AX30">
        <v>66.8463476071</v>
      </c>
      <c r="AY30">
        <v>537</v>
      </c>
      <c r="AZ30">
        <v>27</v>
      </c>
      <c r="BA30">
        <v>691</v>
      </c>
      <c r="BB30">
        <v>71</v>
      </c>
      <c r="BC30">
        <v>13</v>
      </c>
      <c r="BD30">
        <v>13</v>
      </c>
      <c r="BE30">
        <v>56</v>
      </c>
      <c r="BF30">
        <v>18</v>
      </c>
      <c r="BG30">
        <v>473</v>
      </c>
      <c r="BH30">
        <v>71</v>
      </c>
      <c r="BJ30" t="s">
        <v>530</v>
      </c>
      <c r="BK30" t="s">
        <v>379</v>
      </c>
      <c r="BL30">
        <v>4396</v>
      </c>
      <c r="BM30">
        <v>1202</v>
      </c>
      <c r="BN30">
        <v>105.3746587807</v>
      </c>
      <c r="BO30">
        <v>12370</v>
      </c>
      <c r="BP30">
        <v>1033</v>
      </c>
      <c r="BQ30">
        <v>209.12368633790001</v>
      </c>
      <c r="BR30">
        <v>183.8635043562</v>
      </c>
      <c r="BS30">
        <v>3781</v>
      </c>
      <c r="BT30">
        <v>815</v>
      </c>
      <c r="BU30">
        <v>91.638455435099999</v>
      </c>
      <c r="BV30">
        <v>10608</v>
      </c>
      <c r="BW30">
        <v>788</v>
      </c>
      <c r="BX30">
        <v>206.9909502262</v>
      </c>
      <c r="BY30">
        <v>167.9835025381</v>
      </c>
      <c r="CA30" t="s">
        <v>383</v>
      </c>
      <c r="CB30" t="s">
        <v>866</v>
      </c>
      <c r="CC30" t="s">
        <v>992</v>
      </c>
      <c r="CD30">
        <v>1879</v>
      </c>
      <c r="CE30">
        <v>418</v>
      </c>
      <c r="CF30">
        <v>92.322511974500003</v>
      </c>
      <c r="CG30">
        <v>6296</v>
      </c>
      <c r="CH30">
        <v>582</v>
      </c>
      <c r="CI30">
        <v>151.67407878020001</v>
      </c>
      <c r="CJ30">
        <v>152.47594501719999</v>
      </c>
      <c r="CL30" t="s">
        <v>383</v>
      </c>
      <c r="CM30" t="s">
        <v>835</v>
      </c>
      <c r="CN30" t="s">
        <v>834</v>
      </c>
      <c r="CO30">
        <v>98</v>
      </c>
      <c r="CP30">
        <v>12</v>
      </c>
      <c r="CQ30">
        <v>76.520408163300004</v>
      </c>
      <c r="CR30">
        <v>818</v>
      </c>
      <c r="CS30">
        <v>61</v>
      </c>
      <c r="CT30">
        <v>75.459657701699996</v>
      </c>
      <c r="CU30">
        <v>77.901639344299994</v>
      </c>
      <c r="CW30" t="s">
        <v>383</v>
      </c>
      <c r="CX30" t="s">
        <v>851</v>
      </c>
      <c r="CY30" t="s">
        <v>850</v>
      </c>
      <c r="CZ30">
        <v>43</v>
      </c>
      <c r="DA30">
        <v>0</v>
      </c>
      <c r="DB30">
        <v>57.069767441899998</v>
      </c>
      <c r="DC30">
        <v>139</v>
      </c>
      <c r="DD30">
        <v>9</v>
      </c>
      <c r="DE30">
        <v>137.68345323739999</v>
      </c>
      <c r="DF30">
        <v>143.2222222222</v>
      </c>
      <c r="DH30" t="s">
        <v>383</v>
      </c>
      <c r="DI30" t="s">
        <v>819</v>
      </c>
      <c r="DJ30" t="s">
        <v>818</v>
      </c>
      <c r="DK30">
        <v>50</v>
      </c>
      <c r="DL30">
        <v>2</v>
      </c>
      <c r="DM30">
        <v>56.94</v>
      </c>
      <c r="DN30">
        <v>72</v>
      </c>
      <c r="DO30">
        <v>9</v>
      </c>
      <c r="DP30">
        <v>116.4166666667</v>
      </c>
      <c r="DQ30">
        <v>122.44444444440001</v>
      </c>
    </row>
    <row r="31" spans="2:121" x14ac:dyDescent="0.25">
      <c r="B31" t="s">
        <v>128</v>
      </c>
      <c r="C31">
        <v>611</v>
      </c>
      <c r="D31">
        <v>20</v>
      </c>
      <c r="F31" t="s">
        <v>76</v>
      </c>
      <c r="G31">
        <v>13977</v>
      </c>
      <c r="H31">
        <v>398.92144236960002</v>
      </c>
      <c r="I31">
        <v>7219</v>
      </c>
      <c r="J31">
        <v>1718</v>
      </c>
      <c r="K31">
        <v>19268</v>
      </c>
      <c r="L31">
        <v>13444</v>
      </c>
      <c r="M31">
        <v>4021</v>
      </c>
      <c r="N31">
        <v>3639</v>
      </c>
      <c r="O31">
        <v>5429</v>
      </c>
      <c r="P31">
        <v>4642</v>
      </c>
      <c r="Q31">
        <v>0</v>
      </c>
      <c r="R31">
        <v>147</v>
      </c>
      <c r="T31" t="s">
        <v>471</v>
      </c>
      <c r="U31">
        <v>352017</v>
      </c>
      <c r="V31">
        <v>372.03491592739999</v>
      </c>
      <c r="W31">
        <v>332613</v>
      </c>
      <c r="X31">
        <v>90510</v>
      </c>
      <c r="Y31">
        <v>498359</v>
      </c>
      <c r="Z31">
        <v>303690</v>
      </c>
      <c r="AA31">
        <v>84595</v>
      </c>
      <c r="AB31">
        <v>65401</v>
      </c>
      <c r="AC31">
        <v>161652</v>
      </c>
      <c r="AD31">
        <v>101194</v>
      </c>
      <c r="AE31">
        <v>9491</v>
      </c>
      <c r="AF31">
        <v>4405</v>
      </c>
      <c r="AH31" t="s">
        <v>423</v>
      </c>
      <c r="AI31">
        <v>4346</v>
      </c>
      <c r="AJ31">
        <v>437.84629544410001</v>
      </c>
      <c r="AK31">
        <v>3937</v>
      </c>
      <c r="AL31">
        <v>1214</v>
      </c>
      <c r="AM31">
        <v>5491</v>
      </c>
      <c r="AN31">
        <v>3597</v>
      </c>
      <c r="AO31">
        <v>540</v>
      </c>
      <c r="AP31">
        <v>465</v>
      </c>
      <c r="AQ31">
        <v>1536</v>
      </c>
      <c r="AR31">
        <v>887</v>
      </c>
      <c r="AS31">
        <v>8</v>
      </c>
      <c r="AT31">
        <v>108</v>
      </c>
      <c r="AV31" t="s">
        <v>415</v>
      </c>
      <c r="AW31">
        <v>38</v>
      </c>
      <c r="AX31">
        <v>47.315789473700001</v>
      </c>
      <c r="AY31">
        <v>130</v>
      </c>
      <c r="AZ31">
        <v>3</v>
      </c>
      <c r="BA31">
        <v>68</v>
      </c>
      <c r="BB31">
        <v>6</v>
      </c>
      <c r="BC31">
        <v>0</v>
      </c>
      <c r="BE31">
        <v>5</v>
      </c>
      <c r="BF31">
        <v>3</v>
      </c>
      <c r="BG31">
        <v>164</v>
      </c>
      <c r="BH31">
        <v>22</v>
      </c>
      <c r="BJ31" t="s">
        <v>532</v>
      </c>
      <c r="BK31" t="s">
        <v>379</v>
      </c>
      <c r="BL31">
        <v>1839</v>
      </c>
      <c r="BM31">
        <v>390</v>
      </c>
      <c r="BN31">
        <v>90.256117455099997</v>
      </c>
      <c r="BO31">
        <v>5966</v>
      </c>
      <c r="BP31">
        <v>576</v>
      </c>
      <c r="BQ31">
        <v>151.10358699299999</v>
      </c>
      <c r="BR31">
        <v>156.5260416667</v>
      </c>
      <c r="BS31">
        <v>2320</v>
      </c>
      <c r="BT31">
        <v>775</v>
      </c>
      <c r="BU31">
        <v>115.2094827586</v>
      </c>
      <c r="BV31">
        <v>9104</v>
      </c>
      <c r="BW31">
        <v>820</v>
      </c>
      <c r="BX31">
        <v>174.79393673109999</v>
      </c>
      <c r="BY31">
        <v>184.46097560979999</v>
      </c>
      <c r="CA31" t="s">
        <v>433</v>
      </c>
      <c r="CB31" t="s">
        <v>866</v>
      </c>
      <c r="CC31" t="s">
        <v>993</v>
      </c>
      <c r="CD31">
        <v>967</v>
      </c>
      <c r="CE31">
        <v>315</v>
      </c>
      <c r="CF31">
        <v>119.6173733195</v>
      </c>
      <c r="CG31">
        <v>2972</v>
      </c>
      <c r="CH31">
        <v>256</v>
      </c>
      <c r="CI31">
        <v>217.30349932710001</v>
      </c>
      <c r="CJ31">
        <v>185.203125</v>
      </c>
      <c r="CL31" t="s">
        <v>433</v>
      </c>
      <c r="CM31" t="s">
        <v>835</v>
      </c>
      <c r="CN31" t="s">
        <v>836</v>
      </c>
      <c r="CO31">
        <v>25</v>
      </c>
      <c r="CP31">
        <v>5</v>
      </c>
      <c r="CQ31">
        <v>85.72</v>
      </c>
      <c r="CR31">
        <v>289</v>
      </c>
      <c r="CS31">
        <v>15</v>
      </c>
      <c r="CT31">
        <v>84.020761245700001</v>
      </c>
      <c r="CU31">
        <v>113.46666666669999</v>
      </c>
      <c r="CW31" t="s">
        <v>433</v>
      </c>
      <c r="CX31" t="s">
        <v>851</v>
      </c>
      <c r="CY31" t="s">
        <v>852</v>
      </c>
      <c r="CZ31">
        <v>15</v>
      </c>
      <c r="DA31">
        <v>3</v>
      </c>
      <c r="DB31">
        <v>73.400000000000006</v>
      </c>
      <c r="DC31">
        <v>43</v>
      </c>
      <c r="DD31">
        <v>4</v>
      </c>
      <c r="DE31">
        <v>118.8837209302</v>
      </c>
      <c r="DF31">
        <v>114</v>
      </c>
      <c r="DH31" t="s">
        <v>433</v>
      </c>
      <c r="DI31" t="s">
        <v>819</v>
      </c>
      <c r="DJ31" t="s">
        <v>820</v>
      </c>
      <c r="DK31">
        <v>15</v>
      </c>
      <c r="DL31">
        <v>3</v>
      </c>
      <c r="DM31">
        <v>83.2</v>
      </c>
      <c r="DN31">
        <v>37</v>
      </c>
      <c r="DO31">
        <v>3</v>
      </c>
      <c r="DP31">
        <v>121.5405405405</v>
      </c>
      <c r="DQ31">
        <v>147.3333333333</v>
      </c>
    </row>
    <row r="32" spans="2:121" x14ac:dyDescent="0.25">
      <c r="B32" t="s">
        <v>96</v>
      </c>
      <c r="C32">
        <v>160</v>
      </c>
      <c r="D32">
        <v>114</v>
      </c>
      <c r="F32" t="s">
        <v>68</v>
      </c>
      <c r="G32">
        <v>4096</v>
      </c>
      <c r="H32">
        <v>466.31127929690001</v>
      </c>
      <c r="I32">
        <v>4818</v>
      </c>
      <c r="J32">
        <v>1585</v>
      </c>
      <c r="K32">
        <v>5597</v>
      </c>
      <c r="L32">
        <v>4273</v>
      </c>
      <c r="M32">
        <v>591</v>
      </c>
      <c r="N32">
        <v>517</v>
      </c>
      <c r="O32">
        <v>1113</v>
      </c>
      <c r="P32">
        <v>808</v>
      </c>
      <c r="Q32">
        <v>0</v>
      </c>
      <c r="R32">
        <v>3</v>
      </c>
      <c r="AH32" t="s">
        <v>425</v>
      </c>
      <c r="AI32">
        <v>1844</v>
      </c>
      <c r="AJ32">
        <v>383.43167028200003</v>
      </c>
      <c r="AK32">
        <v>1173</v>
      </c>
      <c r="AL32">
        <v>271</v>
      </c>
      <c r="AM32">
        <v>2515</v>
      </c>
      <c r="AN32">
        <v>1559</v>
      </c>
      <c r="AO32">
        <v>685</v>
      </c>
      <c r="AP32">
        <v>533</v>
      </c>
      <c r="AQ32">
        <v>207</v>
      </c>
      <c r="AR32">
        <v>103</v>
      </c>
      <c r="AS32">
        <v>117</v>
      </c>
      <c r="AT32">
        <v>3</v>
      </c>
      <c r="AV32" t="s">
        <v>425</v>
      </c>
      <c r="AW32">
        <v>99</v>
      </c>
      <c r="AX32">
        <v>88.252525252500007</v>
      </c>
      <c r="AY32">
        <v>94</v>
      </c>
      <c r="AZ32">
        <v>20</v>
      </c>
      <c r="BA32">
        <v>151</v>
      </c>
      <c r="BB32">
        <v>39</v>
      </c>
      <c r="BC32">
        <v>4</v>
      </c>
      <c r="BD32">
        <v>4</v>
      </c>
      <c r="BE32">
        <v>37</v>
      </c>
      <c r="BF32">
        <v>6</v>
      </c>
      <c r="BG32">
        <v>9</v>
      </c>
      <c r="BH32">
        <v>26</v>
      </c>
      <c r="BJ32" t="s">
        <v>547</v>
      </c>
      <c r="BK32" t="s">
        <v>379</v>
      </c>
      <c r="BL32">
        <v>2089</v>
      </c>
      <c r="BM32">
        <v>429</v>
      </c>
      <c r="BN32">
        <v>87.276208712300004</v>
      </c>
      <c r="BO32">
        <v>8688</v>
      </c>
      <c r="BP32">
        <v>1004</v>
      </c>
      <c r="BQ32">
        <v>142.54788213629999</v>
      </c>
      <c r="BR32">
        <v>117.7211155378</v>
      </c>
      <c r="BS32">
        <v>4280</v>
      </c>
      <c r="BT32">
        <v>1410</v>
      </c>
      <c r="BU32">
        <v>118.2460280374</v>
      </c>
      <c r="BV32">
        <v>17151</v>
      </c>
      <c r="BW32">
        <v>1715</v>
      </c>
      <c r="BX32">
        <v>177.6646259693</v>
      </c>
      <c r="BY32">
        <v>145.284548105</v>
      </c>
      <c r="CA32" t="s">
        <v>424</v>
      </c>
      <c r="CB32" t="s">
        <v>866</v>
      </c>
      <c r="CC32" t="s">
        <v>994</v>
      </c>
      <c r="CD32">
        <v>448</v>
      </c>
      <c r="CE32">
        <v>159</v>
      </c>
      <c r="CF32">
        <v>120.4375</v>
      </c>
      <c r="CG32">
        <v>1497</v>
      </c>
      <c r="CH32">
        <v>136</v>
      </c>
      <c r="CI32">
        <v>212.45023380090001</v>
      </c>
      <c r="CJ32">
        <v>191.4264705882</v>
      </c>
      <c r="CL32" t="s">
        <v>424</v>
      </c>
      <c r="CM32" t="s">
        <v>835</v>
      </c>
      <c r="CN32" t="s">
        <v>837</v>
      </c>
      <c r="CO32">
        <v>48</v>
      </c>
      <c r="CP32">
        <v>2</v>
      </c>
      <c r="CQ32">
        <v>56.895833333299997</v>
      </c>
      <c r="CR32">
        <v>173</v>
      </c>
      <c r="CS32">
        <v>11</v>
      </c>
      <c r="CT32">
        <v>87.554913294800002</v>
      </c>
      <c r="CU32">
        <v>59.363636363600001</v>
      </c>
      <c r="CW32" t="s">
        <v>424</v>
      </c>
      <c r="CX32" t="s">
        <v>851</v>
      </c>
      <c r="CY32" t="s">
        <v>853</v>
      </c>
      <c r="CZ32">
        <v>18</v>
      </c>
      <c r="DA32">
        <v>1</v>
      </c>
      <c r="DB32">
        <v>66.5</v>
      </c>
      <c r="DC32">
        <v>42</v>
      </c>
      <c r="DD32">
        <v>1</v>
      </c>
      <c r="DE32">
        <v>142.8571428571</v>
      </c>
      <c r="DF32">
        <v>134</v>
      </c>
      <c r="DH32" t="s">
        <v>424</v>
      </c>
      <c r="DI32" t="s">
        <v>819</v>
      </c>
      <c r="DJ32" t="s">
        <v>821</v>
      </c>
      <c r="DK32">
        <v>21</v>
      </c>
      <c r="DL32">
        <v>1</v>
      </c>
      <c r="DM32">
        <v>66.047619047599994</v>
      </c>
      <c r="DN32">
        <v>32</v>
      </c>
      <c r="DO32">
        <v>6</v>
      </c>
      <c r="DP32">
        <v>122.75</v>
      </c>
      <c r="DQ32">
        <v>111.8333333333</v>
      </c>
    </row>
    <row r="33" spans="2:121" x14ac:dyDescent="0.25">
      <c r="B33" t="s">
        <v>22</v>
      </c>
      <c r="C33">
        <v>200058</v>
      </c>
      <c r="D33">
        <v>48223</v>
      </c>
      <c r="F33" t="s">
        <v>70</v>
      </c>
      <c r="G33">
        <v>795</v>
      </c>
      <c r="H33">
        <v>148.5106918239</v>
      </c>
      <c r="I33">
        <v>1860</v>
      </c>
      <c r="J33">
        <v>512</v>
      </c>
      <c r="K33">
        <v>3147</v>
      </c>
      <c r="L33">
        <v>620</v>
      </c>
      <c r="M33">
        <v>1376</v>
      </c>
      <c r="N33">
        <v>268</v>
      </c>
      <c r="O33">
        <v>235</v>
      </c>
      <c r="P33">
        <v>105</v>
      </c>
      <c r="Q33">
        <v>0</v>
      </c>
      <c r="R33">
        <v>4</v>
      </c>
      <c r="AH33" t="s">
        <v>384</v>
      </c>
      <c r="AI33">
        <v>2585</v>
      </c>
      <c r="AJ33">
        <v>268.37911025149998</v>
      </c>
      <c r="AK33">
        <v>4122</v>
      </c>
      <c r="AL33">
        <v>1247</v>
      </c>
      <c r="AM33">
        <v>4158</v>
      </c>
      <c r="AN33">
        <v>1951</v>
      </c>
      <c r="AO33">
        <v>925</v>
      </c>
      <c r="AP33">
        <v>402</v>
      </c>
      <c r="AQ33">
        <v>2019</v>
      </c>
      <c r="AR33">
        <v>1108</v>
      </c>
      <c r="AS33">
        <v>518</v>
      </c>
      <c r="AT33">
        <v>6</v>
      </c>
      <c r="AV33" t="s">
        <v>436</v>
      </c>
      <c r="AW33">
        <v>129</v>
      </c>
      <c r="AX33">
        <v>40.945736434099999</v>
      </c>
      <c r="AY33">
        <v>494</v>
      </c>
      <c r="AZ33">
        <v>22</v>
      </c>
      <c r="BA33">
        <v>220</v>
      </c>
      <c r="BB33">
        <v>15</v>
      </c>
      <c r="BC33">
        <v>4</v>
      </c>
      <c r="BD33">
        <v>4</v>
      </c>
      <c r="BE33">
        <v>14</v>
      </c>
      <c r="BF33">
        <v>4</v>
      </c>
      <c r="BG33">
        <v>262</v>
      </c>
      <c r="BH33">
        <v>69</v>
      </c>
      <c r="BJ33" t="s">
        <v>632</v>
      </c>
      <c r="BK33" t="s">
        <v>379</v>
      </c>
      <c r="BL33">
        <v>1273</v>
      </c>
      <c r="BM33">
        <v>257</v>
      </c>
      <c r="BN33">
        <v>88.952867242699995</v>
      </c>
      <c r="BO33">
        <v>3711</v>
      </c>
      <c r="BP33">
        <v>359</v>
      </c>
      <c r="BQ33">
        <v>175.40420371869999</v>
      </c>
      <c r="BR33">
        <v>145.4540389972</v>
      </c>
      <c r="BS33">
        <v>1335</v>
      </c>
      <c r="BT33">
        <v>334</v>
      </c>
      <c r="BU33">
        <v>102.95730337080001</v>
      </c>
      <c r="BV33">
        <v>4460</v>
      </c>
      <c r="BW33">
        <v>400</v>
      </c>
      <c r="BX33">
        <v>191.88475336319999</v>
      </c>
      <c r="BY33">
        <v>171.23750000000001</v>
      </c>
      <c r="CA33" t="s">
        <v>426</v>
      </c>
      <c r="CB33" t="s">
        <v>866</v>
      </c>
      <c r="CC33" t="s">
        <v>995</v>
      </c>
      <c r="CD33">
        <v>1377</v>
      </c>
      <c r="CE33">
        <v>168</v>
      </c>
      <c r="CF33">
        <v>76.757443718199994</v>
      </c>
      <c r="CG33">
        <v>4217</v>
      </c>
      <c r="CH33">
        <v>466</v>
      </c>
      <c r="CI33">
        <v>127.77116433480001</v>
      </c>
      <c r="CJ33">
        <v>126.94206008579999</v>
      </c>
      <c r="CL33" t="s">
        <v>426</v>
      </c>
      <c r="CM33" t="s">
        <v>835</v>
      </c>
      <c r="CN33" t="s">
        <v>838</v>
      </c>
      <c r="CO33">
        <v>49</v>
      </c>
      <c r="CP33">
        <v>1</v>
      </c>
      <c r="CQ33">
        <v>52.857142857100001</v>
      </c>
      <c r="CR33">
        <v>512</v>
      </c>
      <c r="CS33">
        <v>39</v>
      </c>
      <c r="CT33">
        <v>65.607421875</v>
      </c>
      <c r="CU33">
        <v>76.948717948699993</v>
      </c>
      <c r="CW33" t="s">
        <v>426</v>
      </c>
      <c r="CX33" t="s">
        <v>851</v>
      </c>
      <c r="CY33" t="s">
        <v>854</v>
      </c>
      <c r="CZ33">
        <v>13</v>
      </c>
      <c r="DA33">
        <v>2</v>
      </c>
      <c r="DB33">
        <v>82.153846153800004</v>
      </c>
      <c r="DC33">
        <v>65</v>
      </c>
      <c r="DD33">
        <v>3</v>
      </c>
      <c r="DE33">
        <v>127.6615384615</v>
      </c>
      <c r="DF33">
        <v>81.333333333300004</v>
      </c>
      <c r="DH33" t="s">
        <v>426</v>
      </c>
      <c r="DI33" t="s">
        <v>819</v>
      </c>
      <c r="DJ33" t="s">
        <v>822</v>
      </c>
      <c r="DK33">
        <v>15</v>
      </c>
      <c r="DL33">
        <v>1</v>
      </c>
      <c r="DM33">
        <v>61.133333333300001</v>
      </c>
      <c r="DN33">
        <v>34</v>
      </c>
      <c r="DO33">
        <v>3</v>
      </c>
      <c r="DP33">
        <v>116.73529411760001</v>
      </c>
      <c r="DQ33">
        <v>102.6666666667</v>
      </c>
    </row>
    <row r="34" spans="2:121" x14ac:dyDescent="0.25">
      <c r="B34" t="s">
        <v>92</v>
      </c>
      <c r="C34">
        <v>6</v>
      </c>
      <c r="F34" t="s">
        <v>40</v>
      </c>
      <c r="G34">
        <v>6702</v>
      </c>
      <c r="H34">
        <v>512.14592658909999</v>
      </c>
      <c r="I34">
        <v>6649</v>
      </c>
      <c r="J34">
        <v>1998</v>
      </c>
      <c r="K34">
        <v>8093</v>
      </c>
      <c r="L34">
        <v>6105</v>
      </c>
      <c r="M34">
        <v>1362</v>
      </c>
      <c r="N34">
        <v>1322</v>
      </c>
      <c r="O34">
        <v>2350</v>
      </c>
      <c r="P34">
        <v>1827</v>
      </c>
      <c r="Q34">
        <v>1</v>
      </c>
      <c r="R34">
        <v>287</v>
      </c>
      <c r="AH34" t="s">
        <v>415</v>
      </c>
      <c r="AI34">
        <v>1853</v>
      </c>
      <c r="AJ34">
        <v>204.96492174849999</v>
      </c>
      <c r="AK34">
        <v>2871</v>
      </c>
      <c r="AL34">
        <v>881</v>
      </c>
      <c r="AM34">
        <v>2577</v>
      </c>
      <c r="AN34">
        <v>1034</v>
      </c>
      <c r="AO34">
        <v>260</v>
      </c>
      <c r="AP34">
        <v>161</v>
      </c>
      <c r="AQ34">
        <v>567</v>
      </c>
      <c r="AR34">
        <v>248</v>
      </c>
      <c r="AS34">
        <v>4</v>
      </c>
      <c r="AT34">
        <v>18</v>
      </c>
      <c r="AV34" t="s">
        <v>382</v>
      </c>
      <c r="AW34">
        <v>64</v>
      </c>
      <c r="AX34">
        <v>90.25</v>
      </c>
      <c r="AY34">
        <v>117</v>
      </c>
      <c r="AZ34">
        <v>30</v>
      </c>
      <c r="BA34">
        <v>114</v>
      </c>
      <c r="BB34">
        <v>23</v>
      </c>
      <c r="BC34">
        <v>6</v>
      </c>
      <c r="BD34">
        <v>6</v>
      </c>
      <c r="BE34">
        <v>29</v>
      </c>
      <c r="BF34">
        <v>8</v>
      </c>
      <c r="BG34">
        <v>17</v>
      </c>
      <c r="BH34">
        <v>28</v>
      </c>
      <c r="BJ34" t="s">
        <v>528</v>
      </c>
      <c r="BK34" t="s">
        <v>379</v>
      </c>
      <c r="BL34">
        <v>4650</v>
      </c>
      <c r="BM34">
        <v>1240</v>
      </c>
      <c r="BN34">
        <v>106.3277419355</v>
      </c>
      <c r="BO34">
        <v>15484</v>
      </c>
      <c r="BP34">
        <v>1363</v>
      </c>
      <c r="BQ34">
        <v>203.89931542240001</v>
      </c>
      <c r="BR34">
        <v>175.4644167278</v>
      </c>
      <c r="BS34">
        <v>4337</v>
      </c>
      <c r="BT34">
        <v>956</v>
      </c>
      <c r="BU34">
        <v>91.745215586800001</v>
      </c>
      <c r="BV34">
        <v>13117</v>
      </c>
      <c r="BW34">
        <v>1209</v>
      </c>
      <c r="BX34">
        <v>190.93573225590001</v>
      </c>
      <c r="BY34">
        <v>156.3143093466</v>
      </c>
      <c r="CA34" t="s">
        <v>386</v>
      </c>
      <c r="CB34" t="s">
        <v>866</v>
      </c>
      <c r="CC34" t="s">
        <v>996</v>
      </c>
      <c r="CD34">
        <v>5107</v>
      </c>
      <c r="CE34">
        <v>1397</v>
      </c>
      <c r="CF34">
        <v>114.0677501469</v>
      </c>
      <c r="CG34">
        <v>19899</v>
      </c>
      <c r="CH34">
        <v>1822</v>
      </c>
      <c r="CI34">
        <v>231.4426855621</v>
      </c>
      <c r="CJ34">
        <v>176.1783754116</v>
      </c>
      <c r="CL34" t="s">
        <v>386</v>
      </c>
      <c r="CM34" t="s">
        <v>835</v>
      </c>
      <c r="CN34" t="s">
        <v>839</v>
      </c>
      <c r="CO34">
        <v>250</v>
      </c>
      <c r="CP34">
        <v>32</v>
      </c>
      <c r="CQ34">
        <v>74.188000000000002</v>
      </c>
      <c r="CR34">
        <v>1756</v>
      </c>
      <c r="CS34">
        <v>154</v>
      </c>
      <c r="CT34">
        <v>85.048974943100006</v>
      </c>
      <c r="CU34">
        <v>75.292207792200003</v>
      </c>
      <c r="CW34" t="s">
        <v>386</v>
      </c>
      <c r="CX34" t="s">
        <v>851</v>
      </c>
      <c r="CY34" t="s">
        <v>855</v>
      </c>
      <c r="CZ34">
        <v>199</v>
      </c>
      <c r="DA34">
        <v>23</v>
      </c>
      <c r="DB34">
        <v>74.613065326599994</v>
      </c>
      <c r="DC34">
        <v>525</v>
      </c>
      <c r="DD34">
        <v>41</v>
      </c>
      <c r="DE34">
        <v>140.63809523809999</v>
      </c>
      <c r="DF34">
        <v>119.4146341463</v>
      </c>
      <c r="DH34" t="s">
        <v>386</v>
      </c>
      <c r="DI34" t="s">
        <v>819</v>
      </c>
      <c r="DJ34" t="s">
        <v>823</v>
      </c>
      <c r="DK34">
        <v>257</v>
      </c>
      <c r="DL34">
        <v>26</v>
      </c>
      <c r="DM34">
        <v>75.505836575900005</v>
      </c>
      <c r="DN34">
        <v>588</v>
      </c>
      <c r="DO34">
        <v>46</v>
      </c>
      <c r="DP34">
        <v>151.15476190480001</v>
      </c>
      <c r="DQ34">
        <v>166.3913043478</v>
      </c>
    </row>
    <row r="35" spans="2:121" x14ac:dyDescent="0.25">
      <c r="B35" t="s">
        <v>105</v>
      </c>
      <c r="C35">
        <v>691</v>
      </c>
      <c r="D35">
        <v>622</v>
      </c>
      <c r="F35" t="s">
        <v>74</v>
      </c>
      <c r="G35">
        <v>7908</v>
      </c>
      <c r="H35">
        <v>322.34382903390002</v>
      </c>
      <c r="I35">
        <v>11982</v>
      </c>
      <c r="J35">
        <v>2100</v>
      </c>
      <c r="K35">
        <v>15837</v>
      </c>
      <c r="L35">
        <v>6688</v>
      </c>
      <c r="M35">
        <v>1896</v>
      </c>
      <c r="N35">
        <v>1322</v>
      </c>
      <c r="O35">
        <v>1928</v>
      </c>
      <c r="P35">
        <v>1371</v>
      </c>
      <c r="Q35">
        <v>0</v>
      </c>
      <c r="R35">
        <v>68</v>
      </c>
      <c r="AH35" t="s">
        <v>63</v>
      </c>
      <c r="AI35">
        <v>5476</v>
      </c>
      <c r="AJ35">
        <v>265.77666179689999</v>
      </c>
      <c r="AK35">
        <v>9363</v>
      </c>
      <c r="AL35">
        <v>2573</v>
      </c>
      <c r="AM35">
        <v>8700</v>
      </c>
      <c r="AN35">
        <v>4216</v>
      </c>
      <c r="AO35">
        <v>2045</v>
      </c>
      <c r="AP35">
        <v>1245</v>
      </c>
      <c r="AQ35">
        <v>1571</v>
      </c>
      <c r="AR35">
        <v>793</v>
      </c>
      <c r="AS35">
        <v>1038</v>
      </c>
      <c r="AT35">
        <v>15</v>
      </c>
      <c r="AV35" t="s">
        <v>405</v>
      </c>
      <c r="AW35">
        <v>403</v>
      </c>
      <c r="AX35">
        <v>71.320099255599999</v>
      </c>
      <c r="AY35">
        <v>920</v>
      </c>
      <c r="AZ35">
        <v>73</v>
      </c>
      <c r="BA35">
        <v>782</v>
      </c>
      <c r="BB35">
        <v>93</v>
      </c>
      <c r="BC35">
        <v>10</v>
      </c>
      <c r="BD35">
        <v>10</v>
      </c>
      <c r="BE35">
        <v>66</v>
      </c>
      <c r="BF35">
        <v>14</v>
      </c>
      <c r="BG35">
        <v>646</v>
      </c>
      <c r="BH35">
        <v>84</v>
      </c>
      <c r="BJ35" t="s">
        <v>534</v>
      </c>
      <c r="BK35" t="s">
        <v>379</v>
      </c>
      <c r="BL35">
        <v>2761</v>
      </c>
      <c r="BM35">
        <v>651</v>
      </c>
      <c r="BN35">
        <v>96.640347700099994</v>
      </c>
      <c r="BO35">
        <v>6866</v>
      </c>
      <c r="BP35">
        <v>683</v>
      </c>
      <c r="BQ35">
        <v>166.50786484119999</v>
      </c>
      <c r="BR35">
        <v>170.06588579800001</v>
      </c>
      <c r="BS35">
        <v>2470</v>
      </c>
      <c r="BT35">
        <v>566</v>
      </c>
      <c r="BU35">
        <v>92.577732793500005</v>
      </c>
      <c r="BV35">
        <v>6970</v>
      </c>
      <c r="BW35">
        <v>604</v>
      </c>
      <c r="BX35">
        <v>167.60602582499999</v>
      </c>
      <c r="BY35">
        <v>170.27152317880001</v>
      </c>
      <c r="CA35" t="s">
        <v>381</v>
      </c>
      <c r="CB35" t="s">
        <v>866</v>
      </c>
      <c r="CC35" t="s">
        <v>997</v>
      </c>
      <c r="CD35">
        <v>4426</v>
      </c>
      <c r="CE35">
        <v>1230</v>
      </c>
      <c r="CF35">
        <v>105.3834161771</v>
      </c>
      <c r="CG35">
        <v>14047</v>
      </c>
      <c r="CH35">
        <v>1214</v>
      </c>
      <c r="CI35">
        <v>193.56887591660001</v>
      </c>
      <c r="CJ35">
        <v>160.52141680400001</v>
      </c>
      <c r="CL35" t="s">
        <v>381</v>
      </c>
      <c r="CM35" t="s">
        <v>835</v>
      </c>
      <c r="CN35" t="s">
        <v>840</v>
      </c>
      <c r="CO35">
        <v>196</v>
      </c>
      <c r="CP35">
        <v>20</v>
      </c>
      <c r="CQ35">
        <v>64.040816326500007</v>
      </c>
      <c r="CR35">
        <v>1530</v>
      </c>
      <c r="CS35">
        <v>120</v>
      </c>
      <c r="CT35">
        <v>70.218954248399996</v>
      </c>
      <c r="CU35">
        <v>75.5</v>
      </c>
      <c r="CW35" t="s">
        <v>381</v>
      </c>
      <c r="CX35" t="s">
        <v>851</v>
      </c>
      <c r="CY35" t="s">
        <v>856</v>
      </c>
      <c r="CZ35">
        <v>81</v>
      </c>
      <c r="DA35">
        <v>6</v>
      </c>
      <c r="DB35">
        <v>66.493827160500004</v>
      </c>
      <c r="DC35">
        <v>207</v>
      </c>
      <c r="DD35">
        <v>9</v>
      </c>
      <c r="DE35">
        <v>130.30434782610001</v>
      </c>
      <c r="DF35">
        <v>105.2222222222</v>
      </c>
      <c r="DH35" t="s">
        <v>381</v>
      </c>
      <c r="DI35" t="s">
        <v>819</v>
      </c>
      <c r="DJ35" t="s">
        <v>824</v>
      </c>
      <c r="DK35">
        <v>36</v>
      </c>
      <c r="DL35">
        <v>7</v>
      </c>
      <c r="DM35">
        <v>79.888888888899999</v>
      </c>
      <c r="DN35">
        <v>121</v>
      </c>
      <c r="DO35">
        <v>5</v>
      </c>
      <c r="DP35">
        <v>155.60330578509999</v>
      </c>
      <c r="DQ35">
        <v>132</v>
      </c>
    </row>
    <row r="36" spans="2:121" x14ac:dyDescent="0.25">
      <c r="B36" t="s">
        <v>98</v>
      </c>
      <c r="C36">
        <v>467</v>
      </c>
      <c r="D36">
        <v>355</v>
      </c>
      <c r="F36" t="s">
        <v>50</v>
      </c>
      <c r="G36">
        <v>2243</v>
      </c>
      <c r="H36">
        <v>217.91930450289999</v>
      </c>
      <c r="I36">
        <v>1973</v>
      </c>
      <c r="J36">
        <v>427</v>
      </c>
      <c r="K36">
        <v>3454</v>
      </c>
      <c r="L36">
        <v>1785</v>
      </c>
      <c r="M36">
        <v>232</v>
      </c>
      <c r="N36">
        <v>207</v>
      </c>
      <c r="O36">
        <v>1067</v>
      </c>
      <c r="P36">
        <v>816</v>
      </c>
      <c r="Q36">
        <v>2</v>
      </c>
      <c r="R36">
        <v>17</v>
      </c>
      <c r="T36" t="s">
        <v>656</v>
      </c>
      <c r="U36" t="s">
        <v>315</v>
      </c>
      <c r="V36" t="s">
        <v>139</v>
      </c>
      <c r="W36" t="s">
        <v>222</v>
      </c>
      <c r="X36" t="s">
        <v>469</v>
      </c>
      <c r="Y36" t="s">
        <v>224</v>
      </c>
      <c r="Z36" t="s">
        <v>225</v>
      </c>
      <c r="AA36" t="s">
        <v>226</v>
      </c>
      <c r="AB36" t="s">
        <v>470</v>
      </c>
      <c r="AC36" t="s">
        <v>228</v>
      </c>
      <c r="AD36" t="s">
        <v>229</v>
      </c>
      <c r="AE36" t="s">
        <v>230</v>
      </c>
      <c r="AF36" t="s">
        <v>231</v>
      </c>
      <c r="AH36" t="s">
        <v>392</v>
      </c>
      <c r="AI36">
        <v>16075</v>
      </c>
      <c r="AJ36">
        <v>327.87508553650002</v>
      </c>
      <c r="AK36">
        <v>18302</v>
      </c>
      <c r="AL36">
        <v>5222</v>
      </c>
      <c r="AM36">
        <v>21996</v>
      </c>
      <c r="AN36">
        <v>13586</v>
      </c>
      <c r="AO36">
        <v>4119</v>
      </c>
      <c r="AP36">
        <v>3574</v>
      </c>
      <c r="AQ36">
        <v>8033</v>
      </c>
      <c r="AR36">
        <v>4455</v>
      </c>
      <c r="AS36">
        <v>844</v>
      </c>
      <c r="AT36">
        <v>45</v>
      </c>
      <c r="AV36" t="s">
        <v>393</v>
      </c>
      <c r="AW36">
        <v>814</v>
      </c>
      <c r="AX36">
        <v>96.797297297300005</v>
      </c>
      <c r="AY36">
        <v>702</v>
      </c>
      <c r="AZ36">
        <v>136</v>
      </c>
      <c r="BA36">
        <v>1291</v>
      </c>
      <c r="BB36">
        <v>376</v>
      </c>
      <c r="BC36">
        <v>22</v>
      </c>
      <c r="BD36">
        <v>17</v>
      </c>
      <c r="BE36">
        <v>242</v>
      </c>
      <c r="BF36">
        <v>34</v>
      </c>
      <c r="BG36">
        <v>105</v>
      </c>
      <c r="BH36">
        <v>248</v>
      </c>
      <c r="BJ36" t="s">
        <v>379</v>
      </c>
      <c r="BK36" t="s">
        <v>379</v>
      </c>
      <c r="BL36">
        <v>70144</v>
      </c>
      <c r="BM36">
        <v>19451</v>
      </c>
      <c r="BN36">
        <v>107.7039803832</v>
      </c>
      <c r="BO36">
        <v>240009</v>
      </c>
      <c r="BP36">
        <v>21560</v>
      </c>
      <c r="BQ36">
        <v>191.410551271</v>
      </c>
      <c r="BR36">
        <v>159.26961966600001</v>
      </c>
      <c r="BS36">
        <v>69411</v>
      </c>
      <c r="BT36">
        <v>18831</v>
      </c>
      <c r="BU36">
        <v>106.115961447</v>
      </c>
      <c r="BV36">
        <v>237003</v>
      </c>
      <c r="BW36">
        <v>21046</v>
      </c>
      <c r="BX36">
        <v>188.93600081010001</v>
      </c>
      <c r="BY36">
        <v>158.64116696759999</v>
      </c>
      <c r="CA36" t="s">
        <v>425</v>
      </c>
      <c r="CB36" t="s">
        <v>866</v>
      </c>
      <c r="CC36" t="s">
        <v>998</v>
      </c>
      <c r="CD36">
        <v>1284</v>
      </c>
      <c r="CE36">
        <v>265</v>
      </c>
      <c r="CF36">
        <v>91.729750778799996</v>
      </c>
      <c r="CG36">
        <v>3842</v>
      </c>
      <c r="CH36">
        <v>366</v>
      </c>
      <c r="CI36">
        <v>174.20718375850001</v>
      </c>
      <c r="CJ36">
        <v>153.106557377</v>
      </c>
      <c r="CL36" t="s">
        <v>425</v>
      </c>
      <c r="CM36" t="s">
        <v>835</v>
      </c>
      <c r="CN36" t="s">
        <v>841</v>
      </c>
      <c r="CO36">
        <v>54</v>
      </c>
      <c r="CP36">
        <v>6</v>
      </c>
      <c r="CQ36">
        <v>76.685185185199998</v>
      </c>
      <c r="CR36">
        <v>432</v>
      </c>
      <c r="CS36">
        <v>28</v>
      </c>
      <c r="CT36">
        <v>73.159722222200003</v>
      </c>
      <c r="CU36">
        <v>72.928571428599994</v>
      </c>
      <c r="CW36" t="s">
        <v>425</v>
      </c>
      <c r="CX36" t="s">
        <v>851</v>
      </c>
      <c r="CY36" t="s">
        <v>857</v>
      </c>
      <c r="CZ36">
        <v>11</v>
      </c>
      <c r="DA36">
        <v>3</v>
      </c>
      <c r="DB36">
        <v>73.909090909100001</v>
      </c>
      <c r="DC36">
        <v>62</v>
      </c>
      <c r="DD36">
        <v>5</v>
      </c>
      <c r="DE36">
        <v>120.25806451610001</v>
      </c>
      <c r="DF36">
        <v>100.4</v>
      </c>
      <c r="DH36" t="s">
        <v>425</v>
      </c>
      <c r="DI36" t="s">
        <v>819</v>
      </c>
      <c r="DJ36" t="s">
        <v>825</v>
      </c>
      <c r="DK36">
        <v>15</v>
      </c>
      <c r="DL36">
        <v>2</v>
      </c>
      <c r="DM36">
        <v>94.666666666699996</v>
      </c>
      <c r="DN36">
        <v>28</v>
      </c>
      <c r="DO36">
        <v>5</v>
      </c>
      <c r="DP36">
        <v>152.46428571429999</v>
      </c>
      <c r="DQ36">
        <v>122.2</v>
      </c>
    </row>
    <row r="37" spans="2:121" x14ac:dyDescent="0.25">
      <c r="B37" t="s">
        <v>121</v>
      </c>
      <c r="C37">
        <v>3380</v>
      </c>
      <c r="D37">
        <v>811</v>
      </c>
      <c r="F37" t="s">
        <v>85</v>
      </c>
      <c r="G37">
        <v>831</v>
      </c>
      <c r="H37">
        <v>326.97593261129998</v>
      </c>
      <c r="I37">
        <v>828</v>
      </c>
      <c r="J37">
        <v>257</v>
      </c>
      <c r="K37">
        <v>887</v>
      </c>
      <c r="L37">
        <v>429</v>
      </c>
      <c r="M37">
        <v>9</v>
      </c>
      <c r="N37">
        <v>8</v>
      </c>
      <c r="O37">
        <v>268</v>
      </c>
      <c r="P37">
        <v>131</v>
      </c>
      <c r="Q37">
        <v>0</v>
      </c>
      <c r="R37">
        <v>0</v>
      </c>
      <c r="T37" t="s">
        <v>400</v>
      </c>
      <c r="U37">
        <v>2375</v>
      </c>
      <c r="V37">
        <v>66.816842105299997</v>
      </c>
      <c r="W37">
        <v>4990</v>
      </c>
      <c r="X37">
        <v>386</v>
      </c>
      <c r="Y37">
        <v>4307</v>
      </c>
      <c r="Z37">
        <v>443</v>
      </c>
      <c r="AA37">
        <v>61</v>
      </c>
      <c r="AB37">
        <v>56</v>
      </c>
      <c r="AC37">
        <v>312</v>
      </c>
      <c r="AD37">
        <v>97</v>
      </c>
      <c r="AE37">
        <v>4034</v>
      </c>
      <c r="AF37">
        <v>468</v>
      </c>
      <c r="AH37" t="s">
        <v>429</v>
      </c>
      <c r="AI37">
        <v>242</v>
      </c>
      <c r="AJ37">
        <v>222.07851239670001</v>
      </c>
      <c r="AK37">
        <v>655</v>
      </c>
      <c r="AL37">
        <v>135</v>
      </c>
      <c r="AM37">
        <v>563</v>
      </c>
      <c r="AN37">
        <v>148</v>
      </c>
      <c r="AO37">
        <v>80</v>
      </c>
      <c r="AP37">
        <v>42</v>
      </c>
      <c r="AQ37">
        <v>113</v>
      </c>
      <c r="AR37">
        <v>43</v>
      </c>
      <c r="AS37">
        <v>0</v>
      </c>
      <c r="AT37">
        <v>0</v>
      </c>
      <c r="AV37" t="s">
        <v>401</v>
      </c>
      <c r="AW37">
        <v>516</v>
      </c>
      <c r="AX37">
        <v>76.645348837200004</v>
      </c>
      <c r="AY37">
        <v>1006</v>
      </c>
      <c r="AZ37">
        <v>103</v>
      </c>
      <c r="BA37">
        <v>930</v>
      </c>
      <c r="BB37">
        <v>125</v>
      </c>
      <c r="BC37">
        <v>18</v>
      </c>
      <c r="BD37">
        <v>14</v>
      </c>
      <c r="BE37">
        <v>59</v>
      </c>
      <c r="BF37">
        <v>19</v>
      </c>
      <c r="BG37">
        <v>616</v>
      </c>
      <c r="BH37">
        <v>70</v>
      </c>
      <c r="BJ37" t="s">
        <v>536</v>
      </c>
      <c r="BK37" t="s">
        <v>379</v>
      </c>
      <c r="BL37">
        <v>7576</v>
      </c>
      <c r="BM37">
        <v>2813</v>
      </c>
      <c r="BN37">
        <v>128.89849524819999</v>
      </c>
      <c r="BO37">
        <v>26841</v>
      </c>
      <c r="BP37">
        <v>2193</v>
      </c>
      <c r="BQ37">
        <v>226.75835475580001</v>
      </c>
      <c r="BR37">
        <v>171.38349293210001</v>
      </c>
      <c r="BS37">
        <v>7839</v>
      </c>
      <c r="BT37">
        <v>2945</v>
      </c>
      <c r="BU37">
        <v>131.2274524812</v>
      </c>
      <c r="BV37">
        <v>27540</v>
      </c>
      <c r="BW37">
        <v>2329</v>
      </c>
      <c r="BX37">
        <v>225.11314451710001</v>
      </c>
      <c r="BY37">
        <v>171.6848432804</v>
      </c>
      <c r="CA37" t="s">
        <v>384</v>
      </c>
      <c r="CB37" t="s">
        <v>866</v>
      </c>
      <c r="CC37" t="s">
        <v>999</v>
      </c>
      <c r="CD37">
        <v>4110</v>
      </c>
      <c r="CE37">
        <v>1215</v>
      </c>
      <c r="CF37">
        <v>111.2542579075</v>
      </c>
      <c r="CG37">
        <v>12673</v>
      </c>
      <c r="CH37">
        <v>1177</v>
      </c>
      <c r="CI37">
        <v>190.7898682238</v>
      </c>
      <c r="CJ37">
        <v>169.0118946474</v>
      </c>
      <c r="CL37" t="s">
        <v>384</v>
      </c>
      <c r="CM37" t="s">
        <v>835</v>
      </c>
      <c r="CN37" t="s">
        <v>842</v>
      </c>
      <c r="CO37">
        <v>263</v>
      </c>
      <c r="CP37">
        <v>33</v>
      </c>
      <c r="CQ37">
        <v>67.992395437300004</v>
      </c>
      <c r="CR37">
        <v>1925</v>
      </c>
      <c r="CS37">
        <v>145</v>
      </c>
      <c r="CT37">
        <v>79.021818181800001</v>
      </c>
      <c r="CU37">
        <v>89.744827586200003</v>
      </c>
      <c r="CW37" t="s">
        <v>384</v>
      </c>
      <c r="CX37" t="s">
        <v>851</v>
      </c>
      <c r="CY37" t="s">
        <v>858</v>
      </c>
      <c r="CZ37">
        <v>74</v>
      </c>
      <c r="DA37">
        <v>8</v>
      </c>
      <c r="DB37">
        <v>66.013513513500001</v>
      </c>
      <c r="DC37">
        <v>218</v>
      </c>
      <c r="DD37">
        <v>20</v>
      </c>
      <c r="DE37">
        <v>134.9311926606</v>
      </c>
      <c r="DF37">
        <v>117.75</v>
      </c>
      <c r="DH37" t="s">
        <v>384</v>
      </c>
      <c r="DI37" t="s">
        <v>819</v>
      </c>
      <c r="DJ37" t="s">
        <v>826</v>
      </c>
      <c r="DK37">
        <v>60</v>
      </c>
      <c r="DL37">
        <v>10</v>
      </c>
      <c r="DM37">
        <v>75.233333333299996</v>
      </c>
      <c r="DN37">
        <v>172</v>
      </c>
      <c r="DO37">
        <v>10</v>
      </c>
      <c r="DP37">
        <v>140.56395348839999</v>
      </c>
      <c r="DQ37">
        <v>116.4</v>
      </c>
    </row>
    <row r="38" spans="2:121" x14ac:dyDescent="0.25">
      <c r="B38" t="s">
        <v>102</v>
      </c>
      <c r="C38">
        <v>13900</v>
      </c>
      <c r="D38">
        <v>1462</v>
      </c>
      <c r="F38" t="s">
        <v>52</v>
      </c>
      <c r="G38">
        <v>4168</v>
      </c>
      <c r="H38">
        <v>387.15307101730002</v>
      </c>
      <c r="I38">
        <v>3981</v>
      </c>
      <c r="J38">
        <v>1548</v>
      </c>
      <c r="K38">
        <v>6189</v>
      </c>
      <c r="L38">
        <v>4001</v>
      </c>
      <c r="M38">
        <v>1952</v>
      </c>
      <c r="N38">
        <v>1483</v>
      </c>
      <c r="O38">
        <v>2250</v>
      </c>
      <c r="P38">
        <v>1345</v>
      </c>
      <c r="Q38">
        <v>88</v>
      </c>
      <c r="R38">
        <v>173</v>
      </c>
      <c r="T38" t="s">
        <v>390</v>
      </c>
      <c r="U38">
        <v>6520</v>
      </c>
      <c r="V38">
        <v>95.718558282199993</v>
      </c>
      <c r="W38">
        <v>6138</v>
      </c>
      <c r="X38">
        <v>1101</v>
      </c>
      <c r="Y38">
        <v>10739</v>
      </c>
      <c r="Z38">
        <v>2765</v>
      </c>
      <c r="AA38">
        <v>278</v>
      </c>
      <c r="AB38">
        <v>256</v>
      </c>
      <c r="AC38">
        <v>1606</v>
      </c>
      <c r="AD38">
        <v>285</v>
      </c>
      <c r="AE38">
        <v>1830</v>
      </c>
      <c r="AF38">
        <v>1544</v>
      </c>
      <c r="AH38" t="s">
        <v>401</v>
      </c>
      <c r="AI38">
        <v>9129</v>
      </c>
      <c r="AJ38">
        <v>484.27790557560002</v>
      </c>
      <c r="AK38">
        <v>8457</v>
      </c>
      <c r="AL38">
        <v>2154</v>
      </c>
      <c r="AM38">
        <v>12669</v>
      </c>
      <c r="AN38">
        <v>9281</v>
      </c>
      <c r="AO38">
        <v>1597</v>
      </c>
      <c r="AP38">
        <v>1501</v>
      </c>
      <c r="AQ38">
        <v>5904</v>
      </c>
      <c r="AR38">
        <v>3463</v>
      </c>
      <c r="AS38">
        <v>43</v>
      </c>
      <c r="AT38">
        <v>341</v>
      </c>
      <c r="AV38" t="s">
        <v>406</v>
      </c>
      <c r="AW38">
        <v>231</v>
      </c>
      <c r="AX38">
        <v>59.831168831200003</v>
      </c>
      <c r="AY38">
        <v>321</v>
      </c>
      <c r="AZ38">
        <v>16</v>
      </c>
      <c r="BA38">
        <v>398</v>
      </c>
      <c r="BB38">
        <v>27</v>
      </c>
      <c r="BC38">
        <v>3</v>
      </c>
      <c r="BD38">
        <v>3</v>
      </c>
      <c r="BE38">
        <v>20</v>
      </c>
      <c r="BF38">
        <v>4</v>
      </c>
      <c r="BG38">
        <v>363</v>
      </c>
      <c r="BH38">
        <v>29</v>
      </c>
      <c r="BJ38" t="s">
        <v>539</v>
      </c>
      <c r="BK38" t="s">
        <v>379</v>
      </c>
      <c r="BL38">
        <v>4839</v>
      </c>
      <c r="BM38">
        <v>1583</v>
      </c>
      <c r="BN38">
        <v>127.2459185782</v>
      </c>
      <c r="BO38">
        <v>12312</v>
      </c>
      <c r="BP38">
        <v>982</v>
      </c>
      <c r="BQ38">
        <v>209.64286874589999</v>
      </c>
      <c r="BR38">
        <v>197.40224032590001</v>
      </c>
      <c r="BS38">
        <v>4723</v>
      </c>
      <c r="BT38">
        <v>1659</v>
      </c>
      <c r="BU38">
        <v>133.72623332629999</v>
      </c>
      <c r="BV38">
        <v>10844</v>
      </c>
      <c r="BW38">
        <v>951</v>
      </c>
      <c r="BX38">
        <v>204.89118406489999</v>
      </c>
      <c r="BY38">
        <v>191.356466877</v>
      </c>
      <c r="CA38" t="s">
        <v>63</v>
      </c>
      <c r="CB38" t="s">
        <v>866</v>
      </c>
      <c r="CC38" t="s">
        <v>528</v>
      </c>
      <c r="CD38">
        <v>9093</v>
      </c>
      <c r="CE38">
        <v>2495</v>
      </c>
      <c r="CF38">
        <v>108.1969646981</v>
      </c>
      <c r="CG38">
        <v>29874</v>
      </c>
      <c r="CH38">
        <v>2541</v>
      </c>
      <c r="CI38">
        <v>197.56396866840001</v>
      </c>
      <c r="CJ38">
        <v>171.1770956316</v>
      </c>
      <c r="CL38" t="s">
        <v>63</v>
      </c>
      <c r="CM38" t="s">
        <v>835</v>
      </c>
      <c r="CN38" t="s">
        <v>843</v>
      </c>
      <c r="CO38">
        <v>613</v>
      </c>
      <c r="CP38">
        <v>75</v>
      </c>
      <c r="CQ38">
        <v>70.722675366999994</v>
      </c>
      <c r="CR38">
        <v>4606</v>
      </c>
      <c r="CS38">
        <v>374</v>
      </c>
      <c r="CT38">
        <v>70.177377333899997</v>
      </c>
      <c r="CU38">
        <v>74.671122994699999</v>
      </c>
      <c r="CW38" t="s">
        <v>63</v>
      </c>
      <c r="CX38" t="s">
        <v>851</v>
      </c>
      <c r="CY38" t="s">
        <v>859</v>
      </c>
      <c r="CZ38">
        <v>207</v>
      </c>
      <c r="DA38">
        <v>20</v>
      </c>
      <c r="DB38">
        <v>63.6859903382</v>
      </c>
      <c r="DC38">
        <v>528</v>
      </c>
      <c r="DD38">
        <v>34</v>
      </c>
      <c r="DE38">
        <v>134.61553030300001</v>
      </c>
      <c r="DF38">
        <v>133.1470588235</v>
      </c>
      <c r="DH38" t="s">
        <v>63</v>
      </c>
      <c r="DI38" t="s">
        <v>819</v>
      </c>
      <c r="DJ38" t="s">
        <v>827</v>
      </c>
      <c r="DK38">
        <v>142</v>
      </c>
      <c r="DL38">
        <v>17</v>
      </c>
      <c r="DM38">
        <v>74.781690140799995</v>
      </c>
      <c r="DN38">
        <v>416</v>
      </c>
      <c r="DO38">
        <v>30</v>
      </c>
      <c r="DP38">
        <v>148.16105769230001</v>
      </c>
      <c r="DQ38">
        <v>127.6333333333</v>
      </c>
    </row>
    <row r="39" spans="2:121" x14ac:dyDescent="0.25">
      <c r="B39" t="s">
        <v>130</v>
      </c>
      <c r="C39">
        <v>3347</v>
      </c>
      <c r="D39">
        <v>546</v>
      </c>
      <c r="F39" t="s">
        <v>55</v>
      </c>
      <c r="G39">
        <v>7498</v>
      </c>
      <c r="H39">
        <v>390.71392371299999</v>
      </c>
      <c r="I39">
        <v>9675</v>
      </c>
      <c r="J39">
        <v>3164</v>
      </c>
      <c r="K39">
        <v>9234</v>
      </c>
      <c r="L39">
        <v>6247</v>
      </c>
      <c r="M39">
        <v>906</v>
      </c>
      <c r="N39">
        <v>848</v>
      </c>
      <c r="O39">
        <v>5598</v>
      </c>
      <c r="P39">
        <v>3873</v>
      </c>
      <c r="Q39">
        <v>2</v>
      </c>
      <c r="R39">
        <v>36</v>
      </c>
      <c r="T39" t="s">
        <v>379</v>
      </c>
      <c r="U39">
        <v>6442</v>
      </c>
      <c r="V39">
        <v>97.467711890700002</v>
      </c>
      <c r="W39">
        <v>7127</v>
      </c>
      <c r="X39">
        <v>1657</v>
      </c>
      <c r="Y39">
        <v>10286</v>
      </c>
      <c r="Z39">
        <v>2984</v>
      </c>
      <c r="AA39">
        <v>457</v>
      </c>
      <c r="AB39">
        <v>441</v>
      </c>
      <c r="AC39">
        <v>2305</v>
      </c>
      <c r="AD39">
        <v>385</v>
      </c>
      <c r="AE39">
        <v>831</v>
      </c>
      <c r="AF39">
        <v>2104</v>
      </c>
      <c r="AH39" t="s">
        <v>422</v>
      </c>
      <c r="AI39">
        <v>4503</v>
      </c>
      <c r="AJ39">
        <v>280.5407506107</v>
      </c>
      <c r="AK39">
        <v>7043</v>
      </c>
      <c r="AL39">
        <v>1552</v>
      </c>
      <c r="AM39">
        <v>7258</v>
      </c>
      <c r="AN39">
        <v>3008</v>
      </c>
      <c r="AO39">
        <v>1165</v>
      </c>
      <c r="AP39">
        <v>594</v>
      </c>
      <c r="AQ39">
        <v>1218</v>
      </c>
      <c r="AR39">
        <v>450</v>
      </c>
      <c r="AS39">
        <v>6</v>
      </c>
      <c r="AT39">
        <v>64</v>
      </c>
      <c r="AV39" t="s">
        <v>424</v>
      </c>
      <c r="AW39">
        <v>36</v>
      </c>
      <c r="AX39">
        <v>92.972222222200003</v>
      </c>
      <c r="AY39">
        <v>52</v>
      </c>
      <c r="AZ39">
        <v>5</v>
      </c>
      <c r="BA39">
        <v>56</v>
      </c>
      <c r="BB39">
        <v>15</v>
      </c>
      <c r="BC39">
        <v>4</v>
      </c>
      <c r="BD39">
        <v>4</v>
      </c>
      <c r="BE39">
        <v>17</v>
      </c>
      <c r="BF39">
        <v>3</v>
      </c>
      <c r="BG39">
        <v>9</v>
      </c>
      <c r="BH39">
        <v>11</v>
      </c>
      <c r="BJ39" t="s">
        <v>524</v>
      </c>
      <c r="BK39" t="s">
        <v>379</v>
      </c>
      <c r="BL39">
        <v>1989</v>
      </c>
      <c r="BM39">
        <v>516</v>
      </c>
      <c r="BN39">
        <v>90.503267973899995</v>
      </c>
      <c r="BO39">
        <v>22129</v>
      </c>
      <c r="BP39">
        <v>1704</v>
      </c>
      <c r="BQ39">
        <v>55.045867413800003</v>
      </c>
      <c r="BR39">
        <v>48.187793427199999</v>
      </c>
      <c r="BS39">
        <v>3098</v>
      </c>
      <c r="BT39">
        <v>1246</v>
      </c>
      <c r="BU39">
        <v>138.21045836019999</v>
      </c>
      <c r="BV39">
        <v>27490</v>
      </c>
      <c r="BW39">
        <v>2166</v>
      </c>
      <c r="BX39">
        <v>86.1145871226</v>
      </c>
      <c r="BY39">
        <v>91.576177285300005</v>
      </c>
      <c r="CA39" t="s">
        <v>392</v>
      </c>
      <c r="CB39" t="s">
        <v>866</v>
      </c>
      <c r="CC39" t="s">
        <v>1000</v>
      </c>
      <c r="CD39">
        <v>17028</v>
      </c>
      <c r="CE39">
        <v>5045</v>
      </c>
      <c r="CF39">
        <v>112.38325111579999</v>
      </c>
      <c r="CG39">
        <v>54923</v>
      </c>
      <c r="CH39">
        <v>4935</v>
      </c>
      <c r="CI39">
        <v>194.72390437519999</v>
      </c>
      <c r="CJ39">
        <v>162.91205673760001</v>
      </c>
      <c r="CL39" t="s">
        <v>392</v>
      </c>
      <c r="CM39" t="s">
        <v>835</v>
      </c>
      <c r="CN39" t="s">
        <v>844</v>
      </c>
      <c r="CO39">
        <v>651</v>
      </c>
      <c r="CP39">
        <v>86</v>
      </c>
      <c r="CQ39">
        <v>69.720430107499993</v>
      </c>
      <c r="CR39">
        <v>4969</v>
      </c>
      <c r="CS39">
        <v>403</v>
      </c>
      <c r="CT39">
        <v>76.006037432100001</v>
      </c>
      <c r="CU39">
        <v>73.714640198500007</v>
      </c>
      <c r="CW39" t="s">
        <v>392</v>
      </c>
      <c r="CX39" t="s">
        <v>851</v>
      </c>
      <c r="CY39" t="s">
        <v>860</v>
      </c>
      <c r="CZ39">
        <v>503</v>
      </c>
      <c r="DA39">
        <v>61</v>
      </c>
      <c r="DB39">
        <v>73.240556659999996</v>
      </c>
      <c r="DC39">
        <v>1219</v>
      </c>
      <c r="DD39">
        <v>97</v>
      </c>
      <c r="DE39">
        <v>141.7858900738</v>
      </c>
      <c r="DF39">
        <v>148.3608247423</v>
      </c>
      <c r="DH39" t="s">
        <v>392</v>
      </c>
      <c r="DI39" t="s">
        <v>819</v>
      </c>
      <c r="DJ39" t="s">
        <v>828</v>
      </c>
      <c r="DK39">
        <v>1038</v>
      </c>
      <c r="DL39">
        <v>96</v>
      </c>
      <c r="DM39">
        <v>67.1965317919</v>
      </c>
      <c r="DN39">
        <v>1661</v>
      </c>
      <c r="DO39">
        <v>144</v>
      </c>
      <c r="DP39">
        <v>128.60686333530001</v>
      </c>
      <c r="DQ39">
        <v>132.93055555559999</v>
      </c>
    </row>
    <row r="40" spans="2:121" x14ac:dyDescent="0.25">
      <c r="B40" t="s">
        <v>111</v>
      </c>
      <c r="C40">
        <v>6600</v>
      </c>
      <c r="D40">
        <v>5052</v>
      </c>
      <c r="F40" t="s">
        <v>63</v>
      </c>
      <c r="G40">
        <v>3166</v>
      </c>
      <c r="H40">
        <v>271.11023373339998</v>
      </c>
      <c r="I40">
        <v>4518</v>
      </c>
      <c r="J40">
        <v>1234</v>
      </c>
      <c r="K40">
        <v>4849</v>
      </c>
      <c r="L40">
        <v>2609</v>
      </c>
      <c r="M40">
        <v>1730</v>
      </c>
      <c r="N40">
        <v>1160</v>
      </c>
      <c r="O40">
        <v>283</v>
      </c>
      <c r="P40">
        <v>203</v>
      </c>
      <c r="Q40">
        <v>0</v>
      </c>
      <c r="R40">
        <v>10</v>
      </c>
      <c r="T40" t="s">
        <v>8</v>
      </c>
      <c r="U40">
        <v>214</v>
      </c>
      <c r="V40">
        <v>93.705607476599994</v>
      </c>
      <c r="W40">
        <v>177</v>
      </c>
      <c r="X40">
        <v>74</v>
      </c>
      <c r="Y40">
        <v>472</v>
      </c>
      <c r="Z40">
        <v>199</v>
      </c>
      <c r="AA40">
        <v>36</v>
      </c>
      <c r="AB40">
        <v>33</v>
      </c>
      <c r="AC40">
        <v>124</v>
      </c>
      <c r="AD40">
        <v>36</v>
      </c>
      <c r="AE40">
        <v>60</v>
      </c>
      <c r="AF40">
        <v>21</v>
      </c>
      <c r="AH40" t="s">
        <v>419</v>
      </c>
      <c r="AI40">
        <v>9398</v>
      </c>
      <c r="AJ40">
        <v>396.5524579698</v>
      </c>
      <c r="AK40">
        <v>5145</v>
      </c>
      <c r="AL40">
        <v>1865</v>
      </c>
      <c r="AM40">
        <v>12428</v>
      </c>
      <c r="AN40">
        <v>8213</v>
      </c>
      <c r="AO40">
        <v>3647</v>
      </c>
      <c r="AP40">
        <v>2992</v>
      </c>
      <c r="AQ40">
        <v>1749</v>
      </c>
      <c r="AR40">
        <v>664</v>
      </c>
      <c r="AS40">
        <v>3</v>
      </c>
      <c r="AT40">
        <v>76</v>
      </c>
      <c r="AV40" t="s">
        <v>420</v>
      </c>
      <c r="AW40">
        <v>466</v>
      </c>
      <c r="AX40">
        <v>44.828326180300003</v>
      </c>
      <c r="AY40">
        <v>1384</v>
      </c>
      <c r="AZ40">
        <v>39</v>
      </c>
      <c r="BA40">
        <v>972</v>
      </c>
      <c r="BB40">
        <v>88</v>
      </c>
      <c r="BC40">
        <v>12</v>
      </c>
      <c r="BD40">
        <v>11</v>
      </c>
      <c r="BE40">
        <v>58</v>
      </c>
      <c r="BF40">
        <v>33</v>
      </c>
      <c r="BG40">
        <v>941</v>
      </c>
      <c r="BH40">
        <v>271</v>
      </c>
      <c r="BJ40" t="s">
        <v>545</v>
      </c>
      <c r="BK40" t="s">
        <v>379</v>
      </c>
      <c r="BL40">
        <v>10593</v>
      </c>
      <c r="BM40">
        <v>2542</v>
      </c>
      <c r="BN40">
        <v>96.646653450399995</v>
      </c>
      <c r="BO40">
        <v>35946</v>
      </c>
      <c r="BP40">
        <v>3397</v>
      </c>
      <c r="BQ40">
        <v>207.4548211206</v>
      </c>
      <c r="BR40">
        <v>166.34147777449999</v>
      </c>
      <c r="BS40">
        <v>10361</v>
      </c>
      <c r="BT40">
        <v>2121</v>
      </c>
      <c r="BU40">
        <v>89.847505067100002</v>
      </c>
      <c r="BV40">
        <v>34722</v>
      </c>
      <c r="BW40">
        <v>3358</v>
      </c>
      <c r="BX40">
        <v>196.54322907669999</v>
      </c>
      <c r="BY40">
        <v>158.86033353190001</v>
      </c>
      <c r="CA40" t="s">
        <v>385</v>
      </c>
      <c r="CB40" t="s">
        <v>866</v>
      </c>
      <c r="CC40" t="s">
        <v>1001</v>
      </c>
      <c r="CD40">
        <v>9275</v>
      </c>
      <c r="CE40">
        <v>2944</v>
      </c>
      <c r="CF40">
        <v>119.1455525606</v>
      </c>
      <c r="CG40">
        <v>30921</v>
      </c>
      <c r="CH40">
        <v>2529</v>
      </c>
      <c r="CI40">
        <v>209.10575337149999</v>
      </c>
      <c r="CJ40">
        <v>162.92724396989999</v>
      </c>
      <c r="CL40" t="s">
        <v>385</v>
      </c>
      <c r="CM40" t="s">
        <v>835</v>
      </c>
      <c r="CN40" t="s">
        <v>845</v>
      </c>
      <c r="CO40">
        <v>776</v>
      </c>
      <c r="CP40">
        <v>80</v>
      </c>
      <c r="CQ40">
        <v>64.404639175300005</v>
      </c>
      <c r="CR40">
        <v>5505</v>
      </c>
      <c r="CS40">
        <v>392</v>
      </c>
      <c r="CT40">
        <v>68.665213442300001</v>
      </c>
      <c r="CU40">
        <v>72.198979591799997</v>
      </c>
      <c r="CW40" t="s">
        <v>385</v>
      </c>
      <c r="CX40" t="s">
        <v>851</v>
      </c>
      <c r="CY40" t="s">
        <v>861</v>
      </c>
      <c r="CZ40">
        <v>165</v>
      </c>
      <c r="DA40">
        <v>19</v>
      </c>
      <c r="DB40">
        <v>72.254545454500004</v>
      </c>
      <c r="DC40">
        <v>472</v>
      </c>
      <c r="DD40">
        <v>35</v>
      </c>
      <c r="DE40">
        <v>132.02542372880001</v>
      </c>
      <c r="DF40">
        <v>134.05714285709999</v>
      </c>
      <c r="DH40" t="s">
        <v>385</v>
      </c>
      <c r="DI40" t="s">
        <v>819</v>
      </c>
      <c r="DJ40" t="s">
        <v>829</v>
      </c>
      <c r="DK40">
        <v>92</v>
      </c>
      <c r="DL40">
        <v>9</v>
      </c>
      <c r="DM40">
        <v>73</v>
      </c>
      <c r="DN40">
        <v>326</v>
      </c>
      <c r="DO40">
        <v>33</v>
      </c>
      <c r="DP40">
        <v>153.28220858899999</v>
      </c>
      <c r="DQ40">
        <v>172.51515151519999</v>
      </c>
    </row>
    <row r="41" spans="2:121" x14ac:dyDescent="0.25">
      <c r="B41" t="s">
        <v>119</v>
      </c>
      <c r="C41">
        <v>13870</v>
      </c>
      <c r="D41">
        <v>2950</v>
      </c>
      <c r="F41" t="s">
        <v>25</v>
      </c>
      <c r="G41">
        <v>12986</v>
      </c>
      <c r="H41">
        <v>345.40497458800002</v>
      </c>
      <c r="I41">
        <v>15100</v>
      </c>
      <c r="J41">
        <v>4281</v>
      </c>
      <c r="K41">
        <v>18164</v>
      </c>
      <c r="L41">
        <v>12173</v>
      </c>
      <c r="M41">
        <v>4546</v>
      </c>
      <c r="N41">
        <v>3981</v>
      </c>
      <c r="O41">
        <v>20188</v>
      </c>
      <c r="P41">
        <v>9805</v>
      </c>
      <c r="Q41">
        <v>62</v>
      </c>
      <c r="R41">
        <v>25</v>
      </c>
      <c r="T41" t="s">
        <v>395</v>
      </c>
      <c r="U41">
        <v>1314</v>
      </c>
      <c r="V41">
        <v>59.681126331800002</v>
      </c>
      <c r="W41">
        <v>2894</v>
      </c>
      <c r="X41">
        <v>116</v>
      </c>
      <c r="Y41">
        <v>2499</v>
      </c>
      <c r="Z41">
        <v>261</v>
      </c>
      <c r="AA41">
        <v>36</v>
      </c>
      <c r="AB41">
        <v>35</v>
      </c>
      <c r="AC41">
        <v>179</v>
      </c>
      <c r="AD41">
        <v>76</v>
      </c>
      <c r="AE41">
        <v>2503</v>
      </c>
      <c r="AF41">
        <v>485</v>
      </c>
      <c r="AH41" t="s">
        <v>8</v>
      </c>
      <c r="AI41">
        <v>8759</v>
      </c>
      <c r="AJ41">
        <v>417.19020436120002</v>
      </c>
      <c r="AK41">
        <v>4106</v>
      </c>
      <c r="AL41">
        <v>1753</v>
      </c>
      <c r="AM41">
        <v>10632</v>
      </c>
      <c r="AN41">
        <v>8156</v>
      </c>
      <c r="AO41">
        <v>1358</v>
      </c>
      <c r="AP41">
        <v>1175</v>
      </c>
      <c r="AQ41">
        <v>15579</v>
      </c>
      <c r="AR41">
        <v>12054</v>
      </c>
      <c r="AS41">
        <v>378</v>
      </c>
      <c r="AT41">
        <v>152</v>
      </c>
      <c r="AV41" t="s">
        <v>421</v>
      </c>
      <c r="AW41">
        <v>162</v>
      </c>
      <c r="AX41">
        <v>77.074074074099997</v>
      </c>
      <c r="AY41">
        <v>198</v>
      </c>
      <c r="AZ41">
        <v>9</v>
      </c>
      <c r="BA41">
        <v>279</v>
      </c>
      <c r="BB41">
        <v>36</v>
      </c>
      <c r="BC41">
        <v>5</v>
      </c>
      <c r="BD41">
        <v>5</v>
      </c>
      <c r="BE41">
        <v>19</v>
      </c>
      <c r="BF41">
        <v>4</v>
      </c>
      <c r="BG41">
        <v>273</v>
      </c>
      <c r="BH41">
        <v>19</v>
      </c>
      <c r="BJ41" t="s">
        <v>637</v>
      </c>
      <c r="BK41" t="s">
        <v>379</v>
      </c>
      <c r="BL41">
        <v>1350</v>
      </c>
      <c r="BM41">
        <v>151</v>
      </c>
      <c r="BN41">
        <v>75.6466666667</v>
      </c>
      <c r="BO41">
        <v>4144</v>
      </c>
      <c r="BP41">
        <v>458</v>
      </c>
      <c r="BQ41">
        <v>130.4317084942</v>
      </c>
      <c r="BR41">
        <v>130</v>
      </c>
      <c r="BS41">
        <v>4284</v>
      </c>
      <c r="BT41">
        <v>1201</v>
      </c>
      <c r="BU41">
        <v>117.1554621849</v>
      </c>
      <c r="BV41">
        <v>18237</v>
      </c>
      <c r="BW41">
        <v>1664</v>
      </c>
      <c r="BX41">
        <v>210.7195262379</v>
      </c>
      <c r="BY41">
        <v>177.5306490385</v>
      </c>
      <c r="CA41" t="s">
        <v>382</v>
      </c>
      <c r="CB41" t="s">
        <v>866</v>
      </c>
      <c r="CC41" t="s">
        <v>1002</v>
      </c>
      <c r="CD41">
        <v>914</v>
      </c>
      <c r="CE41">
        <v>265</v>
      </c>
      <c r="CF41">
        <v>99.564551422299999</v>
      </c>
      <c r="CG41">
        <v>2845</v>
      </c>
      <c r="CH41">
        <v>224</v>
      </c>
      <c r="CI41">
        <v>115.92407732860001</v>
      </c>
      <c r="CJ41">
        <v>122.83482142859999</v>
      </c>
      <c r="CL41" t="s">
        <v>382</v>
      </c>
      <c r="CM41" t="s">
        <v>835</v>
      </c>
      <c r="CN41" t="s">
        <v>846</v>
      </c>
      <c r="CO41">
        <v>65</v>
      </c>
      <c r="CP41">
        <v>7</v>
      </c>
      <c r="CQ41">
        <v>60.0615384615</v>
      </c>
      <c r="CR41">
        <v>339</v>
      </c>
      <c r="CS41">
        <v>28</v>
      </c>
      <c r="CT41">
        <v>68.5221238938</v>
      </c>
      <c r="CU41">
        <v>69.285714285699996</v>
      </c>
      <c r="CW41" t="s">
        <v>382</v>
      </c>
      <c r="CX41" t="s">
        <v>851</v>
      </c>
      <c r="CY41" t="s">
        <v>862</v>
      </c>
      <c r="CZ41">
        <v>11</v>
      </c>
      <c r="DA41">
        <v>1</v>
      </c>
      <c r="DB41">
        <v>68.454545454500007</v>
      </c>
      <c r="DC41">
        <v>28</v>
      </c>
      <c r="DD41">
        <v>0</v>
      </c>
      <c r="DE41">
        <v>100.3928571429</v>
      </c>
      <c r="DF41">
        <v>0</v>
      </c>
      <c r="DH41" t="s">
        <v>382</v>
      </c>
      <c r="DI41" t="s">
        <v>819</v>
      </c>
      <c r="DJ41" t="s">
        <v>830</v>
      </c>
      <c r="DK41">
        <v>6</v>
      </c>
      <c r="DL41">
        <v>0</v>
      </c>
      <c r="DM41">
        <v>53.666666666700003</v>
      </c>
      <c r="DN41">
        <v>14</v>
      </c>
      <c r="DO41">
        <v>1</v>
      </c>
      <c r="DP41">
        <v>135.71428571429999</v>
      </c>
      <c r="DQ41">
        <v>3</v>
      </c>
    </row>
    <row r="42" spans="2:121" x14ac:dyDescent="0.25">
      <c r="B42" t="s">
        <v>118</v>
      </c>
      <c r="C42">
        <v>5557</v>
      </c>
      <c r="D42">
        <v>288</v>
      </c>
      <c r="F42" t="s">
        <v>69</v>
      </c>
      <c r="G42">
        <v>8396</v>
      </c>
      <c r="H42">
        <v>401.00107193899998</v>
      </c>
      <c r="I42">
        <v>4918</v>
      </c>
      <c r="J42">
        <v>1814</v>
      </c>
      <c r="K42">
        <v>10444</v>
      </c>
      <c r="L42">
        <v>7068</v>
      </c>
      <c r="M42">
        <v>3808</v>
      </c>
      <c r="N42">
        <v>3177</v>
      </c>
      <c r="O42">
        <v>1492</v>
      </c>
      <c r="P42">
        <v>664</v>
      </c>
      <c r="Q42">
        <v>0</v>
      </c>
      <c r="R42">
        <v>74</v>
      </c>
      <c r="T42" t="s">
        <v>414</v>
      </c>
      <c r="U42">
        <v>975</v>
      </c>
      <c r="V42">
        <v>42.965128205100001</v>
      </c>
      <c r="W42">
        <v>3803</v>
      </c>
      <c r="X42">
        <v>131</v>
      </c>
      <c r="Y42">
        <v>1868</v>
      </c>
      <c r="Z42">
        <v>146</v>
      </c>
      <c r="AA42">
        <v>21</v>
      </c>
      <c r="AB42">
        <v>19</v>
      </c>
      <c r="AC42">
        <v>135</v>
      </c>
      <c r="AD42">
        <v>71</v>
      </c>
      <c r="AE42">
        <v>2037</v>
      </c>
      <c r="AF42">
        <v>570</v>
      </c>
      <c r="AH42" t="s">
        <v>385</v>
      </c>
      <c r="AI42">
        <v>7813</v>
      </c>
      <c r="AJ42">
        <v>401.35581722770002</v>
      </c>
      <c r="AK42">
        <v>9460</v>
      </c>
      <c r="AL42">
        <v>2968</v>
      </c>
      <c r="AM42">
        <v>11582</v>
      </c>
      <c r="AN42">
        <v>7608</v>
      </c>
      <c r="AO42">
        <v>1015</v>
      </c>
      <c r="AP42">
        <v>720</v>
      </c>
      <c r="AQ42">
        <v>5848</v>
      </c>
      <c r="AR42">
        <v>3088</v>
      </c>
      <c r="AS42">
        <v>981</v>
      </c>
      <c r="AT42">
        <v>10</v>
      </c>
      <c r="AV42" t="s">
        <v>63</v>
      </c>
      <c r="AW42">
        <v>1106</v>
      </c>
      <c r="AX42">
        <v>97.5542495479</v>
      </c>
      <c r="AY42">
        <v>1459</v>
      </c>
      <c r="AZ42">
        <v>329</v>
      </c>
      <c r="BA42">
        <v>1847</v>
      </c>
      <c r="BB42">
        <v>522</v>
      </c>
      <c r="BC42">
        <v>58</v>
      </c>
      <c r="BD42">
        <v>56</v>
      </c>
      <c r="BE42">
        <v>351</v>
      </c>
      <c r="BF42">
        <v>61</v>
      </c>
      <c r="BG42">
        <v>112</v>
      </c>
      <c r="BH42">
        <v>329</v>
      </c>
      <c r="BJ42" t="s">
        <v>639</v>
      </c>
      <c r="BK42" t="s">
        <v>379</v>
      </c>
      <c r="BL42">
        <v>364</v>
      </c>
      <c r="BM42">
        <v>113</v>
      </c>
      <c r="BN42">
        <v>103.4395604396</v>
      </c>
      <c r="BO42">
        <v>1425</v>
      </c>
      <c r="BP42">
        <v>112</v>
      </c>
      <c r="BQ42">
        <v>167.01333333330001</v>
      </c>
      <c r="BR42">
        <v>133.33928571429999</v>
      </c>
      <c r="BS42">
        <v>651</v>
      </c>
      <c r="BT42">
        <v>258</v>
      </c>
      <c r="BU42">
        <v>118.1674347158</v>
      </c>
      <c r="BV42">
        <v>2185</v>
      </c>
      <c r="BW42">
        <v>184</v>
      </c>
      <c r="BX42">
        <v>187.84576659039999</v>
      </c>
      <c r="BY42">
        <v>152.59782608699999</v>
      </c>
      <c r="CA42" t="s">
        <v>427</v>
      </c>
      <c r="CB42" t="s">
        <v>866</v>
      </c>
      <c r="CC42" t="s">
        <v>1003</v>
      </c>
      <c r="CD42">
        <v>400</v>
      </c>
      <c r="CE42">
        <v>119</v>
      </c>
      <c r="CF42">
        <v>102.0475</v>
      </c>
      <c r="CG42">
        <v>1428</v>
      </c>
      <c r="CH42">
        <v>115</v>
      </c>
      <c r="CI42">
        <v>162.3529411765</v>
      </c>
      <c r="CJ42">
        <v>122.6869565217</v>
      </c>
      <c r="CL42" t="s">
        <v>427</v>
      </c>
      <c r="CM42" t="s">
        <v>835</v>
      </c>
      <c r="CN42" t="s">
        <v>847</v>
      </c>
      <c r="CO42">
        <v>17</v>
      </c>
      <c r="CP42">
        <v>2</v>
      </c>
      <c r="CQ42">
        <v>65.176470588200004</v>
      </c>
      <c r="CR42">
        <v>123</v>
      </c>
      <c r="CS42">
        <v>10</v>
      </c>
      <c r="CT42">
        <v>85</v>
      </c>
      <c r="CU42">
        <v>71.2</v>
      </c>
      <c r="CW42" t="s">
        <v>427</v>
      </c>
      <c r="CX42" t="s">
        <v>851</v>
      </c>
      <c r="CY42" t="s">
        <v>863</v>
      </c>
      <c r="CZ42">
        <v>5</v>
      </c>
      <c r="DA42">
        <v>0</v>
      </c>
      <c r="DB42">
        <v>30.8</v>
      </c>
      <c r="DC42">
        <v>22</v>
      </c>
      <c r="DD42">
        <v>0</v>
      </c>
      <c r="DE42">
        <v>134.9090909091</v>
      </c>
      <c r="DF42">
        <v>0</v>
      </c>
      <c r="DH42" t="s">
        <v>427</v>
      </c>
      <c r="DI42" t="s">
        <v>819</v>
      </c>
      <c r="DJ42" t="s">
        <v>831</v>
      </c>
      <c r="DK42">
        <v>6</v>
      </c>
      <c r="DL42">
        <v>1</v>
      </c>
      <c r="DM42">
        <v>55</v>
      </c>
      <c r="DN42">
        <v>16</v>
      </c>
      <c r="DO42">
        <v>0</v>
      </c>
      <c r="DP42">
        <v>154</v>
      </c>
      <c r="DQ42">
        <v>0</v>
      </c>
    </row>
    <row r="43" spans="2:121" x14ac:dyDescent="0.25">
      <c r="B43" t="s">
        <v>133</v>
      </c>
      <c r="C43">
        <v>64651</v>
      </c>
      <c r="D43">
        <v>51051</v>
      </c>
      <c r="F43" t="s">
        <v>78</v>
      </c>
      <c r="G43">
        <v>4970</v>
      </c>
      <c r="H43">
        <v>265.76519114690001</v>
      </c>
      <c r="I43">
        <v>4956</v>
      </c>
      <c r="J43">
        <v>998</v>
      </c>
      <c r="K43">
        <v>7573</v>
      </c>
      <c r="L43">
        <v>4654</v>
      </c>
      <c r="M43">
        <v>2230</v>
      </c>
      <c r="N43">
        <v>2131</v>
      </c>
      <c r="O43">
        <v>5596</v>
      </c>
      <c r="P43">
        <v>4666</v>
      </c>
      <c r="Q43">
        <v>42</v>
      </c>
      <c r="R43">
        <v>99</v>
      </c>
      <c r="AH43" t="s">
        <v>437</v>
      </c>
      <c r="AI43">
        <v>2792</v>
      </c>
      <c r="AJ43">
        <v>299.46275071629998</v>
      </c>
      <c r="AK43">
        <v>2721</v>
      </c>
      <c r="AL43">
        <v>913</v>
      </c>
      <c r="AM43">
        <v>4753</v>
      </c>
      <c r="AN43">
        <v>3140</v>
      </c>
      <c r="AO43">
        <v>753</v>
      </c>
      <c r="AP43">
        <v>628</v>
      </c>
      <c r="AQ43">
        <v>1699</v>
      </c>
      <c r="AR43">
        <v>870</v>
      </c>
      <c r="AS43">
        <v>219</v>
      </c>
      <c r="AT43">
        <v>4</v>
      </c>
      <c r="AV43" t="s">
        <v>426</v>
      </c>
      <c r="AW43">
        <v>113</v>
      </c>
      <c r="AX43">
        <v>94.787610619500001</v>
      </c>
      <c r="AY43">
        <v>79</v>
      </c>
      <c r="AZ43">
        <v>9</v>
      </c>
      <c r="BA43">
        <v>189</v>
      </c>
      <c r="BB43">
        <v>53</v>
      </c>
      <c r="BC43">
        <v>4</v>
      </c>
      <c r="BD43">
        <v>3</v>
      </c>
      <c r="BE43">
        <v>41</v>
      </c>
      <c r="BF43">
        <v>8</v>
      </c>
      <c r="BG43">
        <v>16</v>
      </c>
      <c r="BH43">
        <v>26</v>
      </c>
      <c r="BJ43" t="s">
        <v>653</v>
      </c>
      <c r="BK43" t="s">
        <v>379</v>
      </c>
      <c r="BL43">
        <v>843</v>
      </c>
      <c r="BM43">
        <v>258</v>
      </c>
      <c r="BN43">
        <v>110.7366548043</v>
      </c>
      <c r="BO43">
        <v>2502</v>
      </c>
      <c r="BP43">
        <v>234</v>
      </c>
      <c r="BQ43">
        <v>221.1942446043</v>
      </c>
      <c r="BR43">
        <v>184.08974358969999</v>
      </c>
      <c r="BS43">
        <v>594</v>
      </c>
      <c r="BT43">
        <v>123</v>
      </c>
      <c r="BU43">
        <v>93.378787878799997</v>
      </c>
      <c r="BV43">
        <v>1947</v>
      </c>
      <c r="BW43">
        <v>147</v>
      </c>
      <c r="BX43">
        <v>228.51823317930001</v>
      </c>
      <c r="BY43">
        <v>205.80272108840001</v>
      </c>
      <c r="CA43" t="s">
        <v>388</v>
      </c>
      <c r="CB43" t="s">
        <v>866</v>
      </c>
      <c r="CC43" t="s">
        <v>1004</v>
      </c>
      <c r="CD43">
        <v>10811</v>
      </c>
      <c r="CE43">
        <v>2782</v>
      </c>
      <c r="CF43">
        <v>101.1449449635</v>
      </c>
      <c r="CG43">
        <v>38560</v>
      </c>
      <c r="CH43">
        <v>3578</v>
      </c>
      <c r="CI43">
        <v>197.22813796680001</v>
      </c>
      <c r="CJ43">
        <v>159.49748462829999</v>
      </c>
      <c r="CL43" t="s">
        <v>388</v>
      </c>
      <c r="CM43" t="s">
        <v>835</v>
      </c>
      <c r="CN43" t="s">
        <v>848</v>
      </c>
      <c r="CO43">
        <v>451</v>
      </c>
      <c r="CP43">
        <v>56</v>
      </c>
      <c r="CQ43">
        <v>73.325942350299997</v>
      </c>
      <c r="CR43">
        <v>3075</v>
      </c>
      <c r="CS43">
        <v>245</v>
      </c>
      <c r="CT43">
        <v>81.065040650399993</v>
      </c>
      <c r="CU43">
        <v>75.302040816300007</v>
      </c>
      <c r="CW43" t="s">
        <v>388</v>
      </c>
      <c r="CX43" t="s">
        <v>851</v>
      </c>
      <c r="CY43" t="s">
        <v>864</v>
      </c>
      <c r="CZ43">
        <v>522</v>
      </c>
      <c r="DA43">
        <v>91</v>
      </c>
      <c r="DB43">
        <v>85.197318007700005</v>
      </c>
      <c r="DC43">
        <v>1408</v>
      </c>
      <c r="DD43">
        <v>114</v>
      </c>
      <c r="DE43">
        <v>148.27485795449999</v>
      </c>
      <c r="DF43">
        <v>145.62280701750001</v>
      </c>
      <c r="DH43" t="s">
        <v>388</v>
      </c>
      <c r="DI43" t="s">
        <v>819</v>
      </c>
      <c r="DJ43" t="s">
        <v>832</v>
      </c>
      <c r="DK43">
        <v>839</v>
      </c>
      <c r="DL43">
        <v>102</v>
      </c>
      <c r="DM43">
        <v>76.632896305100004</v>
      </c>
      <c r="DN43">
        <v>1659</v>
      </c>
      <c r="DO43">
        <v>122</v>
      </c>
      <c r="DP43">
        <v>141.2061482821</v>
      </c>
      <c r="DQ43">
        <v>145.98360655740001</v>
      </c>
    </row>
    <row r="44" spans="2:121" x14ac:dyDescent="0.25">
      <c r="B44" t="s">
        <v>132</v>
      </c>
      <c r="C44">
        <v>9597</v>
      </c>
      <c r="D44">
        <v>6658</v>
      </c>
      <c r="F44" t="s">
        <v>35</v>
      </c>
      <c r="G44">
        <v>2164</v>
      </c>
      <c r="H44">
        <v>484.18576709799999</v>
      </c>
      <c r="I44">
        <v>880</v>
      </c>
      <c r="J44">
        <v>121</v>
      </c>
      <c r="K44">
        <v>2786</v>
      </c>
      <c r="L44">
        <v>2036</v>
      </c>
      <c r="M44">
        <v>1909</v>
      </c>
      <c r="N44">
        <v>1732</v>
      </c>
      <c r="O44">
        <v>180</v>
      </c>
      <c r="P44">
        <v>108</v>
      </c>
      <c r="Q44">
        <v>0</v>
      </c>
      <c r="R44">
        <v>2</v>
      </c>
      <c r="AH44" t="s">
        <v>382</v>
      </c>
      <c r="AI44">
        <v>465</v>
      </c>
      <c r="AJ44">
        <v>238.0301075269</v>
      </c>
      <c r="AK44">
        <v>899</v>
      </c>
      <c r="AL44">
        <v>270</v>
      </c>
      <c r="AM44">
        <v>1080</v>
      </c>
      <c r="AN44">
        <v>388</v>
      </c>
      <c r="AO44">
        <v>337</v>
      </c>
      <c r="AP44">
        <v>120</v>
      </c>
      <c r="AQ44">
        <v>129</v>
      </c>
      <c r="AR44">
        <v>57</v>
      </c>
      <c r="AS44">
        <v>119</v>
      </c>
      <c r="AT44">
        <v>2</v>
      </c>
      <c r="AV44" t="s">
        <v>404</v>
      </c>
      <c r="AW44">
        <v>322</v>
      </c>
      <c r="AX44">
        <v>69.1614906832</v>
      </c>
      <c r="AY44">
        <v>672</v>
      </c>
      <c r="AZ44">
        <v>65</v>
      </c>
      <c r="BA44">
        <v>545</v>
      </c>
      <c r="BB44">
        <v>61</v>
      </c>
      <c r="BC44">
        <v>7</v>
      </c>
      <c r="BD44">
        <v>6</v>
      </c>
      <c r="BE44">
        <v>56</v>
      </c>
      <c r="BF44">
        <v>15</v>
      </c>
      <c r="BG44">
        <v>570</v>
      </c>
      <c r="BH44">
        <v>49</v>
      </c>
      <c r="BJ44" t="s">
        <v>553</v>
      </c>
      <c r="BK44" t="s">
        <v>379</v>
      </c>
      <c r="BL44">
        <v>17338</v>
      </c>
      <c r="BM44">
        <v>4987</v>
      </c>
      <c r="BN44">
        <v>109.77754066209999</v>
      </c>
      <c r="BO44">
        <v>52065</v>
      </c>
      <c r="BP44">
        <v>4771</v>
      </c>
      <c r="BQ44">
        <v>204.3313934505</v>
      </c>
      <c r="BR44">
        <v>168.73737162020001</v>
      </c>
      <c r="BS44">
        <v>13558</v>
      </c>
      <c r="BT44">
        <v>3165</v>
      </c>
      <c r="BU44">
        <v>96.455450656400004</v>
      </c>
      <c r="BV44">
        <v>37166</v>
      </c>
      <c r="BW44">
        <v>2988</v>
      </c>
      <c r="BX44">
        <v>210.37364795779999</v>
      </c>
      <c r="BY44">
        <v>169.26271753680001</v>
      </c>
      <c r="CA44" t="s">
        <v>389</v>
      </c>
      <c r="CB44" t="s">
        <v>866</v>
      </c>
      <c r="CC44" t="s">
        <v>1005</v>
      </c>
      <c r="CD44">
        <v>2163</v>
      </c>
      <c r="CE44">
        <v>466</v>
      </c>
      <c r="CF44">
        <v>91.427646786899999</v>
      </c>
      <c r="CG44">
        <v>9049</v>
      </c>
      <c r="CH44">
        <v>1015</v>
      </c>
      <c r="CI44">
        <v>146.3581611228</v>
      </c>
      <c r="CJ44">
        <v>119.78620689660001</v>
      </c>
      <c r="CL44" t="s">
        <v>389</v>
      </c>
      <c r="CM44" t="s">
        <v>835</v>
      </c>
      <c r="CN44" t="s">
        <v>849</v>
      </c>
      <c r="CO44">
        <v>125</v>
      </c>
      <c r="CP44">
        <v>20</v>
      </c>
      <c r="CQ44">
        <v>79.823999999999998</v>
      </c>
      <c r="CR44">
        <v>894</v>
      </c>
      <c r="CS44">
        <v>80</v>
      </c>
      <c r="CT44">
        <v>77.570469798700003</v>
      </c>
      <c r="CU44">
        <v>80.987499999999997</v>
      </c>
      <c r="CW44" t="s">
        <v>389</v>
      </c>
      <c r="CX44" t="s">
        <v>851</v>
      </c>
      <c r="CY44" t="s">
        <v>865</v>
      </c>
      <c r="CZ44">
        <v>18</v>
      </c>
      <c r="DA44">
        <v>2</v>
      </c>
      <c r="DB44">
        <v>65.944444444400006</v>
      </c>
      <c r="DC44">
        <v>62</v>
      </c>
      <c r="DD44">
        <v>1</v>
      </c>
      <c r="DE44">
        <v>126.5806451613</v>
      </c>
      <c r="DF44">
        <v>107</v>
      </c>
      <c r="DH44" t="s">
        <v>389</v>
      </c>
      <c r="DI44" t="s">
        <v>819</v>
      </c>
      <c r="DJ44" t="s">
        <v>833</v>
      </c>
      <c r="DK44">
        <v>23</v>
      </c>
      <c r="DL44">
        <v>2</v>
      </c>
      <c r="DM44">
        <v>76.956521739099998</v>
      </c>
      <c r="DN44">
        <v>58</v>
      </c>
      <c r="DO44">
        <v>3</v>
      </c>
      <c r="DP44">
        <v>157.775862069</v>
      </c>
      <c r="DQ44">
        <v>138</v>
      </c>
    </row>
    <row r="45" spans="2:121" x14ac:dyDescent="0.25">
      <c r="B45" t="s">
        <v>106</v>
      </c>
      <c r="C45">
        <v>191</v>
      </c>
      <c r="D45">
        <v>189</v>
      </c>
      <c r="F45" t="s">
        <v>66</v>
      </c>
      <c r="G45">
        <v>5462</v>
      </c>
      <c r="H45">
        <v>398.74533138039999</v>
      </c>
      <c r="I45">
        <v>9913</v>
      </c>
      <c r="J45">
        <v>3237</v>
      </c>
      <c r="K45">
        <v>8448</v>
      </c>
      <c r="L45">
        <v>5433</v>
      </c>
      <c r="M45">
        <v>1757</v>
      </c>
      <c r="N45">
        <v>720</v>
      </c>
      <c r="O45">
        <v>7455</v>
      </c>
      <c r="P45">
        <v>4032</v>
      </c>
      <c r="Q45">
        <v>8662</v>
      </c>
      <c r="R45">
        <v>0</v>
      </c>
      <c r="AH45" t="s">
        <v>393</v>
      </c>
      <c r="AI45">
        <v>11958</v>
      </c>
      <c r="AJ45">
        <v>332.23256397390003</v>
      </c>
      <c r="AK45">
        <v>9763</v>
      </c>
      <c r="AL45">
        <v>2536</v>
      </c>
      <c r="AM45">
        <v>16844</v>
      </c>
      <c r="AN45">
        <v>11334</v>
      </c>
      <c r="AO45">
        <v>2308</v>
      </c>
      <c r="AP45">
        <v>1109</v>
      </c>
      <c r="AQ45">
        <v>2848</v>
      </c>
      <c r="AR45">
        <v>1565</v>
      </c>
      <c r="AS45">
        <v>423</v>
      </c>
      <c r="AT45">
        <v>62</v>
      </c>
      <c r="AV45" t="s">
        <v>431</v>
      </c>
      <c r="AW45">
        <v>6</v>
      </c>
      <c r="AX45">
        <v>29.833333333300001</v>
      </c>
      <c r="AY45">
        <v>29</v>
      </c>
      <c r="BA45">
        <v>19</v>
      </c>
      <c r="BB45">
        <v>3</v>
      </c>
      <c r="BC45">
        <v>0</v>
      </c>
      <c r="BE45">
        <v>1</v>
      </c>
      <c r="BF45">
        <v>1</v>
      </c>
      <c r="BG45">
        <v>39</v>
      </c>
      <c r="BH45">
        <v>4</v>
      </c>
      <c r="BJ45" t="s">
        <v>8</v>
      </c>
      <c r="BK45" t="s">
        <v>8</v>
      </c>
      <c r="BL45">
        <v>545</v>
      </c>
      <c r="BM45">
        <v>248</v>
      </c>
      <c r="BN45">
        <v>139.22385321100001</v>
      </c>
      <c r="BO45">
        <v>985</v>
      </c>
      <c r="BP45">
        <v>180</v>
      </c>
      <c r="BQ45">
        <v>203.2781725888</v>
      </c>
      <c r="BR45">
        <v>186.21666666670001</v>
      </c>
      <c r="BS45">
        <v>36</v>
      </c>
      <c r="BT45">
        <v>6</v>
      </c>
      <c r="BU45">
        <v>117.1666666667</v>
      </c>
      <c r="BV45">
        <v>6031</v>
      </c>
      <c r="BW45">
        <v>40</v>
      </c>
      <c r="BX45">
        <v>178.4735533079</v>
      </c>
      <c r="BY45">
        <v>118.825</v>
      </c>
      <c r="CA45" t="s">
        <v>379</v>
      </c>
      <c r="CB45" t="s">
        <v>866</v>
      </c>
      <c r="CD45">
        <v>69282</v>
      </c>
      <c r="CE45">
        <v>19283</v>
      </c>
      <c r="CF45">
        <v>108.2305793713</v>
      </c>
      <c r="CG45">
        <v>233043</v>
      </c>
      <c r="CH45">
        <v>20956</v>
      </c>
      <c r="CI45">
        <v>194.91296026910001</v>
      </c>
      <c r="CJ45">
        <v>161.1490742508</v>
      </c>
      <c r="CL45" t="s">
        <v>379</v>
      </c>
      <c r="CM45" t="s">
        <v>835</v>
      </c>
      <c r="CO45">
        <v>3681</v>
      </c>
      <c r="CP45">
        <v>437</v>
      </c>
      <c r="CQ45">
        <v>69.237707144799998</v>
      </c>
      <c r="CR45">
        <v>26946</v>
      </c>
      <c r="CS45">
        <v>2105</v>
      </c>
      <c r="CT45">
        <v>74.462591850400003</v>
      </c>
      <c r="CU45">
        <v>75.693111638999994</v>
      </c>
      <c r="CW45" t="s">
        <v>379</v>
      </c>
      <c r="CX45" t="s">
        <v>851</v>
      </c>
      <c r="CZ45">
        <v>1885</v>
      </c>
      <c r="DA45">
        <v>240</v>
      </c>
      <c r="DB45">
        <v>74.410610079600005</v>
      </c>
      <c r="DC45">
        <v>5040</v>
      </c>
      <c r="DD45">
        <v>373</v>
      </c>
      <c r="DE45">
        <v>139.85218253970001</v>
      </c>
      <c r="DF45">
        <v>137.10723860589999</v>
      </c>
      <c r="DH45" t="s">
        <v>379</v>
      </c>
      <c r="DI45" t="s">
        <v>819</v>
      </c>
      <c r="DK45">
        <v>2615</v>
      </c>
      <c r="DL45">
        <v>279</v>
      </c>
      <c r="DM45">
        <v>72.052007648200004</v>
      </c>
      <c r="DN45">
        <v>5234</v>
      </c>
      <c r="DO45">
        <v>420</v>
      </c>
      <c r="DP45">
        <v>139.45854031330001</v>
      </c>
      <c r="DQ45">
        <v>141.6738095238</v>
      </c>
    </row>
    <row r="46" spans="2:121" x14ac:dyDescent="0.25">
      <c r="B46" t="s">
        <v>114</v>
      </c>
      <c r="C46">
        <v>538</v>
      </c>
      <c r="D46">
        <v>467</v>
      </c>
      <c r="F46" t="s">
        <v>81</v>
      </c>
      <c r="G46">
        <v>1513</v>
      </c>
      <c r="H46">
        <v>229.0627891606</v>
      </c>
      <c r="I46">
        <v>1167</v>
      </c>
      <c r="J46">
        <v>149</v>
      </c>
      <c r="K46">
        <v>2260</v>
      </c>
      <c r="L46">
        <v>1033</v>
      </c>
      <c r="M46">
        <v>964</v>
      </c>
      <c r="N46">
        <v>546</v>
      </c>
      <c r="O46">
        <v>934</v>
      </c>
      <c r="P46">
        <v>858</v>
      </c>
      <c r="Q46">
        <v>0</v>
      </c>
      <c r="R46">
        <v>0</v>
      </c>
      <c r="AH46" t="s">
        <v>430</v>
      </c>
      <c r="AI46">
        <v>533</v>
      </c>
      <c r="AJ46">
        <v>197.05440900560001</v>
      </c>
      <c r="AK46">
        <v>909</v>
      </c>
      <c r="AL46">
        <v>225</v>
      </c>
      <c r="AM46">
        <v>1130</v>
      </c>
      <c r="AN46">
        <v>251</v>
      </c>
      <c r="AO46">
        <v>384</v>
      </c>
      <c r="AP46">
        <v>99</v>
      </c>
      <c r="AQ46">
        <v>119</v>
      </c>
      <c r="AR46">
        <v>51</v>
      </c>
      <c r="AS46">
        <v>1</v>
      </c>
      <c r="AT46">
        <v>2</v>
      </c>
      <c r="AV46" t="s">
        <v>399</v>
      </c>
      <c r="AW46">
        <v>177</v>
      </c>
      <c r="AX46">
        <v>87.858757062099997</v>
      </c>
      <c r="AY46">
        <v>217</v>
      </c>
      <c r="AZ46">
        <v>21</v>
      </c>
      <c r="BA46">
        <v>309</v>
      </c>
      <c r="BB46">
        <v>50</v>
      </c>
      <c r="BC46">
        <v>10</v>
      </c>
      <c r="BD46">
        <v>10</v>
      </c>
      <c r="BE46">
        <v>38</v>
      </c>
      <c r="BF46">
        <v>10</v>
      </c>
      <c r="BG46">
        <v>262</v>
      </c>
      <c r="BH46">
        <v>29</v>
      </c>
      <c r="BJ46" t="s">
        <v>696</v>
      </c>
      <c r="BK46" t="s">
        <v>8</v>
      </c>
      <c r="BL46">
        <v>545</v>
      </c>
      <c r="BM46">
        <v>248</v>
      </c>
      <c r="BN46">
        <v>139.22385321100001</v>
      </c>
      <c r="BO46">
        <v>985</v>
      </c>
      <c r="BP46">
        <v>180</v>
      </c>
      <c r="BQ46">
        <v>203.2781725888</v>
      </c>
      <c r="BR46">
        <v>186.21666666670001</v>
      </c>
      <c r="BS46">
        <v>36</v>
      </c>
      <c r="BT46">
        <v>6</v>
      </c>
      <c r="BU46">
        <v>117.1666666667</v>
      </c>
      <c r="BV46">
        <v>6031</v>
      </c>
      <c r="BW46">
        <v>40</v>
      </c>
      <c r="BX46">
        <v>178.4735533079</v>
      </c>
      <c r="BY46">
        <v>118.825</v>
      </c>
      <c r="CA46" t="s">
        <v>8</v>
      </c>
      <c r="CB46" t="s">
        <v>696</v>
      </c>
      <c r="CC46" t="s">
        <v>696</v>
      </c>
      <c r="CD46">
        <v>3711</v>
      </c>
      <c r="CE46">
        <v>1535</v>
      </c>
      <c r="CF46">
        <v>148.434384263</v>
      </c>
      <c r="CG46">
        <v>9824</v>
      </c>
      <c r="CH46">
        <v>950</v>
      </c>
      <c r="CI46">
        <v>206.02616042349999</v>
      </c>
      <c r="CJ46">
        <v>196.76526315789999</v>
      </c>
      <c r="CL46" t="s">
        <v>8</v>
      </c>
      <c r="CM46" t="s">
        <v>868</v>
      </c>
      <c r="CN46" t="s">
        <v>868</v>
      </c>
      <c r="CO46">
        <v>166</v>
      </c>
      <c r="CP46">
        <v>39</v>
      </c>
      <c r="CQ46">
        <v>93.783132530100005</v>
      </c>
      <c r="CR46">
        <v>1016</v>
      </c>
      <c r="CS46">
        <v>90</v>
      </c>
      <c r="CT46">
        <v>97.404527559100003</v>
      </c>
      <c r="CU46">
        <v>101.9555555556</v>
      </c>
      <c r="CW46" t="s">
        <v>8</v>
      </c>
      <c r="CX46" t="s">
        <v>869</v>
      </c>
      <c r="CY46" t="s">
        <v>869</v>
      </c>
      <c r="CZ46">
        <v>21</v>
      </c>
      <c r="DA46">
        <v>5</v>
      </c>
      <c r="DB46">
        <v>73.095238095200003</v>
      </c>
      <c r="DC46">
        <v>62</v>
      </c>
      <c r="DD46">
        <v>6</v>
      </c>
      <c r="DE46">
        <v>143.74193548389999</v>
      </c>
      <c r="DF46">
        <v>144.8333333333</v>
      </c>
      <c r="DH46" t="s">
        <v>8</v>
      </c>
      <c r="DI46" t="s">
        <v>867</v>
      </c>
      <c r="DJ46" t="s">
        <v>867</v>
      </c>
      <c r="DK46">
        <v>65</v>
      </c>
      <c r="DL46">
        <v>9</v>
      </c>
      <c r="DM46">
        <v>74.046153846199999</v>
      </c>
      <c r="DN46">
        <v>179</v>
      </c>
      <c r="DO46">
        <v>8</v>
      </c>
      <c r="DP46">
        <v>148.5754189944</v>
      </c>
      <c r="DQ46">
        <v>149.625</v>
      </c>
    </row>
    <row r="47" spans="2:121" x14ac:dyDescent="0.25">
      <c r="B47" t="s">
        <v>107</v>
      </c>
      <c r="C47">
        <v>17836</v>
      </c>
      <c r="D47">
        <v>13077</v>
      </c>
      <c r="F47" t="s">
        <v>84</v>
      </c>
      <c r="G47">
        <v>1549</v>
      </c>
      <c r="H47">
        <v>154.6326662363</v>
      </c>
      <c r="I47">
        <v>2448</v>
      </c>
      <c r="J47">
        <v>569</v>
      </c>
      <c r="K47">
        <v>2341</v>
      </c>
      <c r="L47">
        <v>1017</v>
      </c>
      <c r="M47">
        <v>480</v>
      </c>
      <c r="N47">
        <v>244</v>
      </c>
      <c r="O47">
        <v>165</v>
      </c>
      <c r="P47">
        <v>88</v>
      </c>
      <c r="Q47">
        <v>0</v>
      </c>
      <c r="R47">
        <v>10</v>
      </c>
      <c r="AH47" t="s">
        <v>394</v>
      </c>
      <c r="AI47">
        <v>7374</v>
      </c>
      <c r="AJ47">
        <v>267.95321399509999</v>
      </c>
      <c r="AK47">
        <v>9650</v>
      </c>
      <c r="AL47">
        <v>2306</v>
      </c>
      <c r="AM47">
        <v>10293</v>
      </c>
      <c r="AN47">
        <v>5736</v>
      </c>
      <c r="AO47">
        <v>1496</v>
      </c>
      <c r="AP47">
        <v>1196</v>
      </c>
      <c r="AQ47">
        <v>1896</v>
      </c>
      <c r="AR47">
        <v>1107</v>
      </c>
      <c r="AS47">
        <v>32</v>
      </c>
      <c r="AT47">
        <v>228</v>
      </c>
      <c r="AV47" t="s">
        <v>433</v>
      </c>
      <c r="AW47">
        <v>55</v>
      </c>
      <c r="AX47">
        <v>100.69090909090001</v>
      </c>
      <c r="AY47">
        <v>61</v>
      </c>
      <c r="AZ47">
        <v>17</v>
      </c>
      <c r="BA47">
        <v>81</v>
      </c>
      <c r="BB47">
        <v>26</v>
      </c>
      <c r="BC47">
        <v>10</v>
      </c>
      <c r="BD47">
        <v>9</v>
      </c>
      <c r="BE47">
        <v>38</v>
      </c>
      <c r="BF47">
        <v>6</v>
      </c>
      <c r="BG47">
        <v>6</v>
      </c>
      <c r="BH47">
        <v>24</v>
      </c>
      <c r="BJ47" t="s">
        <v>596</v>
      </c>
      <c r="BK47" t="s">
        <v>414</v>
      </c>
      <c r="BL47">
        <v>2785</v>
      </c>
      <c r="BM47">
        <v>786</v>
      </c>
      <c r="BN47">
        <v>105.5120287253</v>
      </c>
      <c r="BO47">
        <v>8297</v>
      </c>
      <c r="BP47">
        <v>904</v>
      </c>
      <c r="BQ47">
        <v>176.4828251175</v>
      </c>
      <c r="BR47">
        <v>145.0542035398</v>
      </c>
      <c r="BS47">
        <v>2403</v>
      </c>
      <c r="BT47">
        <v>634</v>
      </c>
      <c r="BU47">
        <v>100.3404078236</v>
      </c>
      <c r="BV47">
        <v>8260</v>
      </c>
      <c r="BW47">
        <v>804</v>
      </c>
      <c r="BX47">
        <v>178.92711864410001</v>
      </c>
      <c r="BY47">
        <v>143.31218905470001</v>
      </c>
      <c r="CA47" t="s">
        <v>8</v>
      </c>
      <c r="CB47" t="s">
        <v>696</v>
      </c>
      <c r="CC47" t="s">
        <v>696</v>
      </c>
      <c r="CD47">
        <v>3711</v>
      </c>
      <c r="CE47">
        <v>1535</v>
      </c>
      <c r="CF47">
        <v>148.434384263</v>
      </c>
      <c r="CG47">
        <v>9824</v>
      </c>
      <c r="CH47">
        <v>950</v>
      </c>
      <c r="CI47">
        <v>206.02616042349999</v>
      </c>
      <c r="CJ47">
        <v>196.76526315789999</v>
      </c>
      <c r="CL47" t="s">
        <v>8</v>
      </c>
      <c r="CM47" t="s">
        <v>868</v>
      </c>
      <c r="CN47" t="s">
        <v>868</v>
      </c>
      <c r="CO47">
        <v>166</v>
      </c>
      <c r="CP47">
        <v>39</v>
      </c>
      <c r="CQ47">
        <v>93.783132530100005</v>
      </c>
      <c r="CR47">
        <v>1016</v>
      </c>
      <c r="CS47">
        <v>90</v>
      </c>
      <c r="CT47">
        <v>97.404527559100003</v>
      </c>
      <c r="CU47">
        <v>101.9555555556</v>
      </c>
      <c r="CW47" t="s">
        <v>8</v>
      </c>
      <c r="CX47" t="s">
        <v>869</v>
      </c>
      <c r="CY47" t="s">
        <v>869</v>
      </c>
      <c r="CZ47">
        <v>21</v>
      </c>
      <c r="DA47">
        <v>5</v>
      </c>
      <c r="DB47">
        <v>73.095238095200003</v>
      </c>
      <c r="DC47">
        <v>62</v>
      </c>
      <c r="DD47">
        <v>6</v>
      </c>
      <c r="DE47">
        <v>143.74193548389999</v>
      </c>
      <c r="DF47">
        <v>144.8333333333</v>
      </c>
      <c r="DH47" t="s">
        <v>8</v>
      </c>
      <c r="DI47" t="s">
        <v>867</v>
      </c>
      <c r="DJ47" t="s">
        <v>867</v>
      </c>
      <c r="DK47">
        <v>65</v>
      </c>
      <c r="DL47">
        <v>9</v>
      </c>
      <c r="DM47">
        <v>74.046153846199999</v>
      </c>
      <c r="DN47">
        <v>179</v>
      </c>
      <c r="DO47">
        <v>8</v>
      </c>
      <c r="DP47">
        <v>148.5754189944</v>
      </c>
      <c r="DQ47">
        <v>149.625</v>
      </c>
    </row>
    <row r="48" spans="2:121" x14ac:dyDescent="0.25">
      <c r="B48" t="s">
        <v>123</v>
      </c>
      <c r="C48">
        <v>3466</v>
      </c>
      <c r="D48">
        <v>848</v>
      </c>
      <c r="F48" t="s">
        <v>79</v>
      </c>
      <c r="G48">
        <v>4861</v>
      </c>
      <c r="H48">
        <v>351.62950010290001</v>
      </c>
      <c r="I48">
        <v>10171</v>
      </c>
      <c r="J48">
        <v>2154</v>
      </c>
      <c r="K48">
        <v>12454</v>
      </c>
      <c r="L48">
        <v>4419</v>
      </c>
      <c r="M48">
        <v>459</v>
      </c>
      <c r="N48">
        <v>334</v>
      </c>
      <c r="O48">
        <v>1380</v>
      </c>
      <c r="P48">
        <v>709</v>
      </c>
      <c r="Q48">
        <v>22</v>
      </c>
      <c r="R48">
        <v>0</v>
      </c>
      <c r="AH48" t="s">
        <v>420</v>
      </c>
      <c r="AI48">
        <v>32637</v>
      </c>
      <c r="AJ48">
        <v>331.32873732270002</v>
      </c>
      <c r="AK48">
        <v>36576</v>
      </c>
      <c r="AL48">
        <v>10438</v>
      </c>
      <c r="AM48">
        <v>46033</v>
      </c>
      <c r="AN48">
        <v>26214</v>
      </c>
      <c r="AO48">
        <v>4961</v>
      </c>
      <c r="AP48">
        <v>3574</v>
      </c>
      <c r="AQ48">
        <v>9412</v>
      </c>
      <c r="AR48">
        <v>5206</v>
      </c>
      <c r="AS48">
        <v>29</v>
      </c>
      <c r="AT48">
        <v>445</v>
      </c>
      <c r="AV48" t="s">
        <v>429</v>
      </c>
      <c r="AW48">
        <v>14</v>
      </c>
      <c r="AX48">
        <v>42.571428571399998</v>
      </c>
      <c r="AY48">
        <v>32</v>
      </c>
      <c r="AZ48">
        <v>1</v>
      </c>
      <c r="BA48">
        <v>22</v>
      </c>
      <c r="BC48">
        <v>1</v>
      </c>
      <c r="BD48">
        <v>1</v>
      </c>
      <c r="BE48">
        <v>0</v>
      </c>
      <c r="BG48">
        <v>39</v>
      </c>
      <c r="BH48">
        <v>6</v>
      </c>
      <c r="BJ48" t="s">
        <v>655</v>
      </c>
      <c r="BK48" t="s">
        <v>414</v>
      </c>
      <c r="BL48">
        <v>1012</v>
      </c>
      <c r="BM48">
        <v>126</v>
      </c>
      <c r="BN48">
        <v>73.845849802399997</v>
      </c>
      <c r="BO48">
        <v>3122</v>
      </c>
      <c r="BP48">
        <v>334</v>
      </c>
      <c r="BQ48">
        <v>147.3484945548</v>
      </c>
      <c r="BR48">
        <v>136.6766467066</v>
      </c>
      <c r="BS48">
        <v>1128</v>
      </c>
      <c r="BT48">
        <v>230</v>
      </c>
      <c r="BU48">
        <v>83.871453900700004</v>
      </c>
      <c r="BV48">
        <v>3138</v>
      </c>
      <c r="BW48">
        <v>361</v>
      </c>
      <c r="BX48">
        <v>149.79955385599999</v>
      </c>
      <c r="BY48">
        <v>142.9916897507</v>
      </c>
      <c r="CA48" t="s">
        <v>8</v>
      </c>
      <c r="CB48" t="s">
        <v>696</v>
      </c>
      <c r="CC48" t="s">
        <v>696</v>
      </c>
      <c r="CD48">
        <v>3711</v>
      </c>
      <c r="CE48">
        <v>1535</v>
      </c>
      <c r="CF48">
        <v>148.434384263</v>
      </c>
      <c r="CG48">
        <v>9824</v>
      </c>
      <c r="CH48">
        <v>950</v>
      </c>
      <c r="CI48">
        <v>206.02616042349999</v>
      </c>
      <c r="CJ48">
        <v>196.76526315789999</v>
      </c>
      <c r="CL48" t="s">
        <v>8</v>
      </c>
      <c r="CM48" t="s">
        <v>868</v>
      </c>
      <c r="CN48" t="s">
        <v>868</v>
      </c>
      <c r="CO48">
        <v>166</v>
      </c>
      <c r="CP48">
        <v>39</v>
      </c>
      <c r="CQ48">
        <v>93.783132530100005</v>
      </c>
      <c r="CR48">
        <v>1016</v>
      </c>
      <c r="CS48">
        <v>90</v>
      </c>
      <c r="CT48">
        <v>97.404527559100003</v>
      </c>
      <c r="CU48">
        <v>101.9555555556</v>
      </c>
      <c r="CW48" t="s">
        <v>8</v>
      </c>
      <c r="CX48" t="s">
        <v>869</v>
      </c>
      <c r="CY48" t="s">
        <v>869</v>
      </c>
      <c r="CZ48">
        <v>21</v>
      </c>
      <c r="DA48">
        <v>5</v>
      </c>
      <c r="DB48">
        <v>73.095238095200003</v>
      </c>
      <c r="DC48">
        <v>62</v>
      </c>
      <c r="DD48">
        <v>6</v>
      </c>
      <c r="DE48">
        <v>143.74193548389999</v>
      </c>
      <c r="DF48">
        <v>144.8333333333</v>
      </c>
      <c r="DH48" t="s">
        <v>8</v>
      </c>
      <c r="DI48" t="s">
        <v>867</v>
      </c>
      <c r="DJ48" t="s">
        <v>867</v>
      </c>
      <c r="DK48">
        <v>65</v>
      </c>
      <c r="DL48">
        <v>9</v>
      </c>
      <c r="DM48">
        <v>74.046153846199999</v>
      </c>
      <c r="DN48">
        <v>179</v>
      </c>
      <c r="DO48">
        <v>8</v>
      </c>
      <c r="DP48">
        <v>148.5754189944</v>
      </c>
      <c r="DQ48">
        <v>149.625</v>
      </c>
    </row>
    <row r="49" spans="2:121" x14ac:dyDescent="0.25">
      <c r="B49" t="s">
        <v>21</v>
      </c>
      <c r="C49">
        <v>39207</v>
      </c>
      <c r="D49">
        <v>13544</v>
      </c>
      <c r="F49" t="s">
        <v>43</v>
      </c>
      <c r="G49">
        <v>6862</v>
      </c>
      <c r="H49">
        <v>423.34173710290003</v>
      </c>
      <c r="I49">
        <v>7096</v>
      </c>
      <c r="J49">
        <v>2713</v>
      </c>
      <c r="K49">
        <v>9039</v>
      </c>
      <c r="L49">
        <v>6169</v>
      </c>
      <c r="M49">
        <v>2038</v>
      </c>
      <c r="N49">
        <v>1769</v>
      </c>
      <c r="O49">
        <v>5027</v>
      </c>
      <c r="P49">
        <v>3809</v>
      </c>
      <c r="Q49">
        <v>0</v>
      </c>
      <c r="R49">
        <v>65</v>
      </c>
      <c r="AH49" t="s">
        <v>416</v>
      </c>
      <c r="AI49">
        <v>2227</v>
      </c>
      <c r="AJ49">
        <v>314.95823978449999</v>
      </c>
      <c r="AK49">
        <v>1843</v>
      </c>
      <c r="AL49">
        <v>431</v>
      </c>
      <c r="AM49">
        <v>3642</v>
      </c>
      <c r="AN49">
        <v>1827</v>
      </c>
      <c r="AO49">
        <v>568</v>
      </c>
      <c r="AP49">
        <v>423</v>
      </c>
      <c r="AQ49">
        <v>223</v>
      </c>
      <c r="AR49">
        <v>118</v>
      </c>
      <c r="AS49">
        <v>0</v>
      </c>
      <c r="AT49">
        <v>5</v>
      </c>
      <c r="AV49" t="s">
        <v>388</v>
      </c>
      <c r="AW49">
        <v>732</v>
      </c>
      <c r="AX49">
        <v>101.9986338798</v>
      </c>
      <c r="AY49">
        <v>642</v>
      </c>
      <c r="AZ49">
        <v>152</v>
      </c>
      <c r="BA49">
        <v>1120</v>
      </c>
      <c r="BB49">
        <v>331</v>
      </c>
      <c r="BC49">
        <v>161</v>
      </c>
      <c r="BD49">
        <v>160</v>
      </c>
      <c r="BE49">
        <v>238</v>
      </c>
      <c r="BF49">
        <v>43</v>
      </c>
      <c r="BG49">
        <v>110</v>
      </c>
      <c r="BH49">
        <v>275</v>
      </c>
      <c r="BJ49" t="s">
        <v>611</v>
      </c>
      <c r="BK49" t="s">
        <v>414</v>
      </c>
      <c r="BL49">
        <v>1501</v>
      </c>
      <c r="BM49">
        <v>365</v>
      </c>
      <c r="BN49">
        <v>96.071952031999999</v>
      </c>
      <c r="BO49">
        <v>4422</v>
      </c>
      <c r="BP49">
        <v>381</v>
      </c>
      <c r="BQ49">
        <v>147.40072365450001</v>
      </c>
      <c r="BR49">
        <v>161.8057742782</v>
      </c>
      <c r="BS49">
        <v>1665</v>
      </c>
      <c r="BT49">
        <v>506</v>
      </c>
      <c r="BU49">
        <v>113.6660660661</v>
      </c>
      <c r="BV49">
        <v>5931</v>
      </c>
      <c r="BW49">
        <v>495</v>
      </c>
      <c r="BX49">
        <v>166.55285786549999</v>
      </c>
      <c r="BY49">
        <v>185.2</v>
      </c>
      <c r="CA49" t="s">
        <v>8</v>
      </c>
      <c r="CB49" t="s">
        <v>696</v>
      </c>
      <c r="CD49">
        <v>3711</v>
      </c>
      <c r="CE49">
        <v>1535</v>
      </c>
      <c r="CF49">
        <v>148.434384263</v>
      </c>
      <c r="CG49">
        <v>9824</v>
      </c>
      <c r="CH49">
        <v>950</v>
      </c>
      <c r="CI49">
        <v>206.02616042349999</v>
      </c>
      <c r="CJ49">
        <v>196.76526315789999</v>
      </c>
      <c r="CL49" t="s">
        <v>8</v>
      </c>
      <c r="CM49" t="s">
        <v>868</v>
      </c>
      <c r="CO49">
        <v>166</v>
      </c>
      <c r="CP49">
        <v>39</v>
      </c>
      <c r="CQ49">
        <v>93.783132530100005</v>
      </c>
      <c r="CR49">
        <v>1016</v>
      </c>
      <c r="CS49">
        <v>90</v>
      </c>
      <c r="CT49">
        <v>97.404527559100003</v>
      </c>
      <c r="CU49">
        <v>101.9555555556</v>
      </c>
      <c r="CW49" t="s">
        <v>8</v>
      </c>
      <c r="CX49" t="s">
        <v>869</v>
      </c>
      <c r="CZ49">
        <v>21</v>
      </c>
      <c r="DA49">
        <v>5</v>
      </c>
      <c r="DB49">
        <v>73.095238095200003</v>
      </c>
      <c r="DC49">
        <v>62</v>
      </c>
      <c r="DD49">
        <v>6</v>
      </c>
      <c r="DE49">
        <v>143.74193548389999</v>
      </c>
      <c r="DF49">
        <v>144.8333333333</v>
      </c>
      <c r="DH49" t="s">
        <v>8</v>
      </c>
      <c r="DI49" t="s">
        <v>867</v>
      </c>
      <c r="DK49">
        <v>65</v>
      </c>
      <c r="DL49">
        <v>9</v>
      </c>
      <c r="DM49">
        <v>74.046153846199999</v>
      </c>
      <c r="DN49">
        <v>179</v>
      </c>
      <c r="DO49">
        <v>8</v>
      </c>
      <c r="DP49">
        <v>148.5754189944</v>
      </c>
      <c r="DQ49">
        <v>149.625</v>
      </c>
    </row>
    <row r="50" spans="2:121" x14ac:dyDescent="0.25">
      <c r="B50" t="s">
        <v>104</v>
      </c>
      <c r="C50">
        <v>222910</v>
      </c>
      <c r="D50">
        <v>159271</v>
      </c>
      <c r="F50" t="s">
        <v>56</v>
      </c>
      <c r="G50">
        <v>10301</v>
      </c>
      <c r="H50">
        <v>467.31064945150001</v>
      </c>
      <c r="I50">
        <v>6134</v>
      </c>
      <c r="J50">
        <v>2879</v>
      </c>
      <c r="K50">
        <v>14195</v>
      </c>
      <c r="L50">
        <v>9472</v>
      </c>
      <c r="M50">
        <v>3158</v>
      </c>
      <c r="N50">
        <v>2518</v>
      </c>
      <c r="O50">
        <v>698</v>
      </c>
      <c r="P50">
        <v>523</v>
      </c>
      <c r="Q50">
        <v>81</v>
      </c>
      <c r="R50">
        <v>254</v>
      </c>
      <c r="AH50" t="s">
        <v>427</v>
      </c>
      <c r="AI50">
        <v>495</v>
      </c>
      <c r="AJ50">
        <v>337.1232323232</v>
      </c>
      <c r="AK50">
        <v>409</v>
      </c>
      <c r="AL50">
        <v>123</v>
      </c>
      <c r="AM50">
        <v>835</v>
      </c>
      <c r="AN50">
        <v>458</v>
      </c>
      <c r="AO50">
        <v>168</v>
      </c>
      <c r="AP50">
        <v>97</v>
      </c>
      <c r="AQ50">
        <v>94</v>
      </c>
      <c r="AR50">
        <v>56</v>
      </c>
      <c r="AS50">
        <v>47</v>
      </c>
      <c r="AT50">
        <v>1</v>
      </c>
      <c r="AV50" t="s">
        <v>383</v>
      </c>
      <c r="AW50">
        <v>163</v>
      </c>
      <c r="AX50">
        <v>81.300613496899999</v>
      </c>
      <c r="AY50">
        <v>251</v>
      </c>
      <c r="AZ50">
        <v>61</v>
      </c>
      <c r="BA50">
        <v>246</v>
      </c>
      <c r="BB50">
        <v>56</v>
      </c>
      <c r="BC50">
        <v>7</v>
      </c>
      <c r="BD50">
        <v>7</v>
      </c>
      <c r="BE50">
        <v>74</v>
      </c>
      <c r="BF50">
        <v>17</v>
      </c>
      <c r="BG50">
        <v>15</v>
      </c>
      <c r="BH50">
        <v>69</v>
      </c>
      <c r="BJ50" t="s">
        <v>651</v>
      </c>
      <c r="BK50" t="s">
        <v>414</v>
      </c>
      <c r="BL50">
        <v>2519</v>
      </c>
      <c r="BM50">
        <v>607</v>
      </c>
      <c r="BN50">
        <v>101.8070662961</v>
      </c>
      <c r="BO50">
        <v>7790</v>
      </c>
      <c r="BP50">
        <v>567</v>
      </c>
      <c r="BQ50">
        <v>195.0160462131</v>
      </c>
      <c r="BR50">
        <v>193.46384479720001</v>
      </c>
      <c r="BS50">
        <v>2382</v>
      </c>
      <c r="BT50">
        <v>496</v>
      </c>
      <c r="BU50">
        <v>93.971872376199997</v>
      </c>
      <c r="BV50">
        <v>6315</v>
      </c>
      <c r="BW50">
        <v>428</v>
      </c>
      <c r="BX50">
        <v>190.58432304039999</v>
      </c>
      <c r="BY50">
        <v>192.99065420560001</v>
      </c>
      <c r="CA50" t="s">
        <v>434</v>
      </c>
      <c r="CB50" t="s">
        <v>900</v>
      </c>
      <c r="CC50" t="s">
        <v>1027</v>
      </c>
      <c r="CD50">
        <v>1027</v>
      </c>
      <c r="CE50">
        <v>142</v>
      </c>
      <c r="CF50">
        <v>76.406037001000001</v>
      </c>
      <c r="CG50">
        <v>4026</v>
      </c>
      <c r="CH50">
        <v>405</v>
      </c>
      <c r="CI50">
        <v>129.83358171879999</v>
      </c>
      <c r="CJ50">
        <v>121.0740740741</v>
      </c>
      <c r="CL50" t="s">
        <v>434</v>
      </c>
      <c r="CM50" t="s">
        <v>881</v>
      </c>
      <c r="CN50" t="s">
        <v>880</v>
      </c>
      <c r="CO50">
        <v>28</v>
      </c>
      <c r="CP50">
        <v>4</v>
      </c>
      <c r="CQ50">
        <v>64.857142857100001</v>
      </c>
      <c r="CR50">
        <v>203</v>
      </c>
      <c r="CS50">
        <v>21</v>
      </c>
      <c r="CT50">
        <v>61.684729064000003</v>
      </c>
      <c r="CU50">
        <v>89.952380952400006</v>
      </c>
      <c r="CW50" t="s">
        <v>434</v>
      </c>
      <c r="CX50" t="s">
        <v>891</v>
      </c>
      <c r="CY50" t="s">
        <v>890</v>
      </c>
      <c r="CZ50">
        <v>21</v>
      </c>
      <c r="DA50">
        <v>2</v>
      </c>
      <c r="DB50">
        <v>70.523809523799997</v>
      </c>
      <c r="DC50">
        <v>95</v>
      </c>
      <c r="DD50">
        <v>8</v>
      </c>
      <c r="DE50">
        <v>124.05263157890001</v>
      </c>
      <c r="DF50">
        <v>108.625</v>
      </c>
      <c r="DH50" t="s">
        <v>434</v>
      </c>
      <c r="DI50" t="s">
        <v>871</v>
      </c>
      <c r="DJ50" t="s">
        <v>870</v>
      </c>
      <c r="DK50">
        <v>45</v>
      </c>
      <c r="DL50">
        <v>2</v>
      </c>
      <c r="DM50">
        <v>69.599999999999994</v>
      </c>
      <c r="DN50">
        <v>117</v>
      </c>
      <c r="DO50">
        <v>11</v>
      </c>
      <c r="DP50">
        <v>169.88034188029999</v>
      </c>
      <c r="DQ50">
        <v>114.9090909091</v>
      </c>
    </row>
    <row r="51" spans="2:121" x14ac:dyDescent="0.25">
      <c r="B51" t="s">
        <v>126</v>
      </c>
      <c r="C51">
        <v>538</v>
      </c>
      <c r="D51">
        <v>529</v>
      </c>
      <c r="F51" t="s">
        <v>75</v>
      </c>
      <c r="G51">
        <v>2208</v>
      </c>
      <c r="H51">
        <v>264.2527173913</v>
      </c>
      <c r="I51">
        <v>2686</v>
      </c>
      <c r="J51">
        <v>928</v>
      </c>
      <c r="K51">
        <v>3697</v>
      </c>
      <c r="L51">
        <v>2640</v>
      </c>
      <c r="M51">
        <v>678</v>
      </c>
      <c r="N51">
        <v>616</v>
      </c>
      <c r="O51">
        <v>1406</v>
      </c>
      <c r="P51">
        <v>794</v>
      </c>
      <c r="Q51">
        <v>0</v>
      </c>
      <c r="R51">
        <v>5</v>
      </c>
      <c r="AH51" t="s">
        <v>388</v>
      </c>
      <c r="AI51">
        <v>17801</v>
      </c>
      <c r="AJ51">
        <v>471.79602269539998</v>
      </c>
      <c r="AK51">
        <v>12154</v>
      </c>
      <c r="AL51">
        <v>2975</v>
      </c>
      <c r="AM51">
        <v>22426</v>
      </c>
      <c r="AN51">
        <v>14980</v>
      </c>
      <c r="AO51">
        <v>5142</v>
      </c>
      <c r="AP51">
        <v>4607</v>
      </c>
      <c r="AQ51">
        <v>5674</v>
      </c>
      <c r="AR51">
        <v>4196</v>
      </c>
      <c r="AS51">
        <v>646</v>
      </c>
      <c r="AT51">
        <v>35</v>
      </c>
      <c r="AV51" t="s">
        <v>416</v>
      </c>
      <c r="AW51">
        <v>36</v>
      </c>
      <c r="AX51">
        <v>44.138888888899999</v>
      </c>
      <c r="AY51">
        <v>159</v>
      </c>
      <c r="AZ51">
        <v>5</v>
      </c>
      <c r="BA51">
        <v>75</v>
      </c>
      <c r="BB51">
        <v>6</v>
      </c>
      <c r="BC51">
        <v>0</v>
      </c>
      <c r="BE51">
        <v>5</v>
      </c>
      <c r="BF51">
        <v>5</v>
      </c>
      <c r="BG51">
        <v>106</v>
      </c>
      <c r="BH51">
        <v>18</v>
      </c>
      <c r="BJ51" t="s">
        <v>603</v>
      </c>
      <c r="BK51" t="s">
        <v>414</v>
      </c>
      <c r="BL51">
        <v>9770</v>
      </c>
      <c r="BM51">
        <v>3140</v>
      </c>
      <c r="BN51">
        <v>115.7373592631</v>
      </c>
      <c r="BO51">
        <v>31773</v>
      </c>
      <c r="BP51">
        <v>2965</v>
      </c>
      <c r="BQ51">
        <v>216.6081578699</v>
      </c>
      <c r="BR51">
        <v>159.84182124789999</v>
      </c>
      <c r="BS51">
        <v>7206</v>
      </c>
      <c r="BT51">
        <v>1709</v>
      </c>
      <c r="BU51">
        <v>92.961282264800005</v>
      </c>
      <c r="BV51">
        <v>21121</v>
      </c>
      <c r="BW51">
        <v>2083</v>
      </c>
      <c r="BX51">
        <v>218.91141517919999</v>
      </c>
      <c r="BY51">
        <v>136.94527124339999</v>
      </c>
      <c r="CA51" t="s">
        <v>436</v>
      </c>
      <c r="CB51" t="s">
        <v>900</v>
      </c>
      <c r="CC51" t="s">
        <v>1028</v>
      </c>
      <c r="CD51">
        <v>6093</v>
      </c>
      <c r="CE51">
        <v>1510</v>
      </c>
      <c r="CF51">
        <v>96.644838339100005</v>
      </c>
      <c r="CG51">
        <v>21341</v>
      </c>
      <c r="CH51">
        <v>1867</v>
      </c>
      <c r="CI51">
        <v>167.46979991570001</v>
      </c>
      <c r="CJ51">
        <v>152.98071772899999</v>
      </c>
      <c r="CL51" t="s">
        <v>436</v>
      </c>
      <c r="CM51" t="s">
        <v>881</v>
      </c>
      <c r="CN51" t="s">
        <v>882</v>
      </c>
      <c r="CO51">
        <v>552</v>
      </c>
      <c r="CP51">
        <v>48</v>
      </c>
      <c r="CQ51">
        <v>54.054347826099999</v>
      </c>
      <c r="CR51">
        <v>3449</v>
      </c>
      <c r="CS51">
        <v>310</v>
      </c>
      <c r="CT51">
        <v>69.480719049000001</v>
      </c>
      <c r="CU51">
        <v>67.854838709700005</v>
      </c>
      <c r="CW51" t="s">
        <v>436</v>
      </c>
      <c r="CX51" t="s">
        <v>891</v>
      </c>
      <c r="CY51" t="s">
        <v>892</v>
      </c>
      <c r="CZ51">
        <v>195</v>
      </c>
      <c r="DA51">
        <v>27</v>
      </c>
      <c r="DB51">
        <v>76.7076923077</v>
      </c>
      <c r="DC51">
        <v>495</v>
      </c>
      <c r="DD51">
        <v>44</v>
      </c>
      <c r="DE51">
        <v>140.2363636364</v>
      </c>
      <c r="DF51">
        <v>134.2272727273</v>
      </c>
      <c r="DH51" t="s">
        <v>436</v>
      </c>
      <c r="DI51" t="s">
        <v>871</v>
      </c>
      <c r="DJ51" t="s">
        <v>872</v>
      </c>
      <c r="DK51">
        <v>114</v>
      </c>
      <c r="DL51">
        <v>13</v>
      </c>
      <c r="DM51">
        <v>73.5438596491</v>
      </c>
      <c r="DN51">
        <v>423</v>
      </c>
      <c r="DO51">
        <v>22</v>
      </c>
      <c r="DP51">
        <v>172.32387706860001</v>
      </c>
      <c r="DQ51">
        <v>132.9090909091</v>
      </c>
    </row>
    <row r="52" spans="2:121" x14ac:dyDescent="0.25">
      <c r="B52" t="s">
        <v>131</v>
      </c>
      <c r="C52">
        <v>20786</v>
      </c>
      <c r="D52">
        <v>3031</v>
      </c>
      <c r="F52" t="s">
        <v>53</v>
      </c>
      <c r="G52">
        <v>2517</v>
      </c>
      <c r="H52">
        <v>126.414382201</v>
      </c>
      <c r="I52">
        <v>1826</v>
      </c>
      <c r="J52">
        <v>303</v>
      </c>
      <c r="K52">
        <v>4725</v>
      </c>
      <c r="L52">
        <v>992</v>
      </c>
      <c r="M52">
        <v>589</v>
      </c>
      <c r="N52">
        <v>456</v>
      </c>
      <c r="O52">
        <v>308</v>
      </c>
      <c r="P52">
        <v>183</v>
      </c>
      <c r="Q52">
        <v>0</v>
      </c>
      <c r="R52">
        <v>14</v>
      </c>
      <c r="AH52" t="s">
        <v>83</v>
      </c>
      <c r="AI52">
        <v>14278</v>
      </c>
      <c r="AJ52">
        <v>398.66788065560002</v>
      </c>
      <c r="AK52">
        <v>7005</v>
      </c>
      <c r="AL52">
        <v>1798</v>
      </c>
      <c r="AM52">
        <v>20470</v>
      </c>
      <c r="AN52">
        <v>13525</v>
      </c>
      <c r="AO52">
        <v>3591</v>
      </c>
      <c r="AP52">
        <v>3195</v>
      </c>
      <c r="AQ52">
        <v>5293</v>
      </c>
      <c r="AR52">
        <v>4245</v>
      </c>
      <c r="AS52">
        <v>9</v>
      </c>
      <c r="AT52">
        <v>143</v>
      </c>
      <c r="AV52" t="s">
        <v>402</v>
      </c>
      <c r="AW52">
        <v>243</v>
      </c>
      <c r="AX52">
        <v>68.9176954733</v>
      </c>
      <c r="AY52">
        <v>520</v>
      </c>
      <c r="AZ52">
        <v>45</v>
      </c>
      <c r="BA52">
        <v>455</v>
      </c>
      <c r="BB52">
        <v>53</v>
      </c>
      <c r="BC52">
        <v>5</v>
      </c>
      <c r="BD52">
        <v>5</v>
      </c>
      <c r="BE52">
        <v>42</v>
      </c>
      <c r="BF52">
        <v>21</v>
      </c>
      <c r="BG52">
        <v>370</v>
      </c>
      <c r="BH52">
        <v>40</v>
      </c>
      <c r="BJ52" t="s">
        <v>625</v>
      </c>
      <c r="BK52" t="s">
        <v>414</v>
      </c>
      <c r="BL52">
        <v>857</v>
      </c>
      <c r="BM52">
        <v>278</v>
      </c>
      <c r="BN52">
        <v>117.81913652279999</v>
      </c>
      <c r="BO52">
        <v>3765</v>
      </c>
      <c r="BP52">
        <v>420</v>
      </c>
      <c r="BQ52">
        <v>163.88658698539999</v>
      </c>
      <c r="BR52">
        <v>145.20476190479999</v>
      </c>
      <c r="BS52">
        <v>1375</v>
      </c>
      <c r="BT52">
        <v>619</v>
      </c>
      <c r="BU52">
        <v>163.3970909091</v>
      </c>
      <c r="BV52">
        <v>7041</v>
      </c>
      <c r="BW52">
        <v>696</v>
      </c>
      <c r="BX52">
        <v>209.6707853998</v>
      </c>
      <c r="BY52">
        <v>185.7442528736</v>
      </c>
      <c r="CA52" t="s">
        <v>417</v>
      </c>
      <c r="CB52" t="s">
        <v>900</v>
      </c>
      <c r="CC52" t="s">
        <v>1029</v>
      </c>
      <c r="CD52">
        <v>29830</v>
      </c>
      <c r="CE52">
        <v>8060</v>
      </c>
      <c r="CF52">
        <v>105.82309755279999</v>
      </c>
      <c r="CG52">
        <v>99403</v>
      </c>
      <c r="CH52">
        <v>8991</v>
      </c>
      <c r="CI52">
        <v>194.9068136777</v>
      </c>
      <c r="CJ52">
        <v>156.57780002219999</v>
      </c>
      <c r="CL52" t="s">
        <v>417</v>
      </c>
      <c r="CM52" t="s">
        <v>881</v>
      </c>
      <c r="CN52" t="s">
        <v>883</v>
      </c>
      <c r="CO52">
        <v>2240</v>
      </c>
      <c r="CP52">
        <v>119</v>
      </c>
      <c r="CQ52">
        <v>48.920982142900002</v>
      </c>
      <c r="CR52">
        <v>13748</v>
      </c>
      <c r="CS52">
        <v>1320</v>
      </c>
      <c r="CT52">
        <v>63.112089031099998</v>
      </c>
      <c r="CU52">
        <v>61.5590909091</v>
      </c>
      <c r="CW52" t="s">
        <v>417</v>
      </c>
      <c r="CX52" t="s">
        <v>891</v>
      </c>
      <c r="CY52" t="s">
        <v>893</v>
      </c>
      <c r="CZ52">
        <v>1209</v>
      </c>
      <c r="DA52">
        <v>138</v>
      </c>
      <c r="DB52">
        <v>65.808105872599995</v>
      </c>
      <c r="DC52">
        <v>3668</v>
      </c>
      <c r="DD52">
        <v>252</v>
      </c>
      <c r="DE52">
        <v>116.3879498364</v>
      </c>
      <c r="DF52">
        <v>100.05952380950001</v>
      </c>
      <c r="DH52" t="s">
        <v>417</v>
      </c>
      <c r="DI52" t="s">
        <v>871</v>
      </c>
      <c r="DJ52" t="s">
        <v>873</v>
      </c>
      <c r="DK52">
        <v>645</v>
      </c>
      <c r="DL52">
        <v>49</v>
      </c>
      <c r="DM52">
        <v>62.666666666700003</v>
      </c>
      <c r="DN52">
        <v>1794</v>
      </c>
      <c r="DO52">
        <v>104</v>
      </c>
      <c r="DP52">
        <v>162.6086956522</v>
      </c>
      <c r="DQ52">
        <v>126.9230769231</v>
      </c>
    </row>
    <row r="53" spans="2:121" x14ac:dyDescent="0.25">
      <c r="B53" t="s">
        <v>109</v>
      </c>
      <c r="C53">
        <v>1130</v>
      </c>
      <c r="D53">
        <v>366</v>
      </c>
      <c r="F53" t="s">
        <v>51</v>
      </c>
      <c r="G53">
        <v>9820</v>
      </c>
      <c r="H53">
        <v>574.52219959269996</v>
      </c>
      <c r="I53">
        <v>4715</v>
      </c>
      <c r="J53">
        <v>1155</v>
      </c>
      <c r="K53">
        <v>15760</v>
      </c>
      <c r="L53">
        <v>9208</v>
      </c>
      <c r="M53">
        <v>997</v>
      </c>
      <c r="N53">
        <v>854</v>
      </c>
      <c r="O53">
        <v>1907</v>
      </c>
      <c r="P53">
        <v>1369</v>
      </c>
      <c r="Q53">
        <v>3</v>
      </c>
      <c r="R53">
        <v>208</v>
      </c>
      <c r="AH53" t="s">
        <v>389</v>
      </c>
      <c r="AI53">
        <v>2310</v>
      </c>
      <c r="AJ53">
        <v>251.3255411255</v>
      </c>
      <c r="AK53">
        <v>2168</v>
      </c>
      <c r="AL53">
        <v>497</v>
      </c>
      <c r="AM53">
        <v>3505</v>
      </c>
      <c r="AN53">
        <v>1868</v>
      </c>
      <c r="AO53">
        <v>320</v>
      </c>
      <c r="AP53">
        <v>265</v>
      </c>
      <c r="AQ53">
        <v>1125</v>
      </c>
      <c r="AR53">
        <v>703</v>
      </c>
      <c r="AS53">
        <v>284</v>
      </c>
      <c r="AT53">
        <v>19</v>
      </c>
      <c r="AV53" t="s">
        <v>411</v>
      </c>
      <c r="AW53">
        <v>102</v>
      </c>
      <c r="AX53">
        <v>32.245098039200002</v>
      </c>
      <c r="AY53">
        <v>297</v>
      </c>
      <c r="AZ53">
        <v>9</v>
      </c>
      <c r="BA53">
        <v>171</v>
      </c>
      <c r="BB53">
        <v>2</v>
      </c>
      <c r="BC53">
        <v>1</v>
      </c>
      <c r="BD53">
        <v>1</v>
      </c>
      <c r="BE53">
        <v>4</v>
      </c>
      <c r="BF53">
        <v>1</v>
      </c>
      <c r="BG53">
        <v>391</v>
      </c>
      <c r="BH53">
        <v>46</v>
      </c>
      <c r="BJ53" t="s">
        <v>601</v>
      </c>
      <c r="BK53" t="s">
        <v>414</v>
      </c>
      <c r="BL53">
        <v>10946</v>
      </c>
      <c r="BM53">
        <v>3190</v>
      </c>
      <c r="BN53">
        <v>110.9115658688</v>
      </c>
      <c r="BO53">
        <v>35295</v>
      </c>
      <c r="BP53">
        <v>3370</v>
      </c>
      <c r="BQ53">
        <v>223.38832695849999</v>
      </c>
      <c r="BR53">
        <v>174.84154302670001</v>
      </c>
      <c r="BS53">
        <v>6724</v>
      </c>
      <c r="BT53">
        <v>1294</v>
      </c>
      <c r="BU53">
        <v>87.540303390800005</v>
      </c>
      <c r="BV53">
        <v>20843</v>
      </c>
      <c r="BW53">
        <v>1805</v>
      </c>
      <c r="BX53">
        <v>229.48745382140001</v>
      </c>
      <c r="BY53">
        <v>166.44321329639999</v>
      </c>
      <c r="CA53" t="s">
        <v>438</v>
      </c>
      <c r="CB53" t="s">
        <v>900</v>
      </c>
      <c r="CC53" t="s">
        <v>1030</v>
      </c>
      <c r="CD53">
        <v>1975</v>
      </c>
      <c r="CE53">
        <v>438</v>
      </c>
      <c r="CF53">
        <v>96.822784810100003</v>
      </c>
      <c r="CG53">
        <v>7482</v>
      </c>
      <c r="CH53">
        <v>579</v>
      </c>
      <c r="CI53">
        <v>165.2695803261</v>
      </c>
      <c r="CJ53">
        <v>156.15025906739999</v>
      </c>
      <c r="CL53" t="s">
        <v>438</v>
      </c>
      <c r="CM53" t="s">
        <v>881</v>
      </c>
      <c r="CN53" t="s">
        <v>884</v>
      </c>
      <c r="CO53">
        <v>56</v>
      </c>
      <c r="CP53">
        <v>5</v>
      </c>
      <c r="CQ53">
        <v>56.178571428600002</v>
      </c>
      <c r="CR53">
        <v>358</v>
      </c>
      <c r="CS53">
        <v>35</v>
      </c>
      <c r="CT53">
        <v>67.455307262600002</v>
      </c>
      <c r="CU53">
        <v>77.971428571399997</v>
      </c>
      <c r="CW53" t="s">
        <v>438</v>
      </c>
      <c r="CX53" t="s">
        <v>891</v>
      </c>
      <c r="CY53" t="s">
        <v>894</v>
      </c>
      <c r="CZ53">
        <v>26</v>
      </c>
      <c r="DA53">
        <v>1</v>
      </c>
      <c r="DB53">
        <v>65.923076923099998</v>
      </c>
      <c r="DC53">
        <v>107</v>
      </c>
      <c r="DD53">
        <v>7</v>
      </c>
      <c r="DE53">
        <v>127.8411214953</v>
      </c>
      <c r="DF53">
        <v>125.57142857140001</v>
      </c>
      <c r="DH53" t="s">
        <v>438</v>
      </c>
      <c r="DI53" t="s">
        <v>871</v>
      </c>
      <c r="DJ53" t="s">
        <v>874</v>
      </c>
      <c r="DK53">
        <v>65</v>
      </c>
      <c r="DL53">
        <v>6</v>
      </c>
      <c r="DM53">
        <v>65.984615384600005</v>
      </c>
      <c r="DN53">
        <v>243</v>
      </c>
      <c r="DO53">
        <v>9</v>
      </c>
      <c r="DP53">
        <v>161.49794238679999</v>
      </c>
      <c r="DQ53">
        <v>117.55555555559999</v>
      </c>
    </row>
    <row r="54" spans="2:121" x14ac:dyDescent="0.25">
      <c r="F54" t="s">
        <v>440</v>
      </c>
      <c r="G54">
        <v>37873</v>
      </c>
      <c r="H54">
        <v>452.3603886674</v>
      </c>
      <c r="I54">
        <v>718</v>
      </c>
      <c r="J54">
        <v>298</v>
      </c>
      <c r="K54">
        <v>38407</v>
      </c>
      <c r="L54">
        <v>37183</v>
      </c>
      <c r="M54">
        <v>120</v>
      </c>
      <c r="N54">
        <v>111</v>
      </c>
      <c r="O54">
        <v>1616</v>
      </c>
      <c r="P54">
        <v>1440</v>
      </c>
      <c r="Q54">
        <v>0</v>
      </c>
      <c r="R54">
        <v>2</v>
      </c>
      <c r="AH54" t="s">
        <v>406</v>
      </c>
      <c r="AI54">
        <v>5040</v>
      </c>
      <c r="AJ54">
        <v>234.4751984127</v>
      </c>
      <c r="AK54">
        <v>3843</v>
      </c>
      <c r="AL54">
        <v>949</v>
      </c>
      <c r="AM54">
        <v>6851</v>
      </c>
      <c r="AN54">
        <v>3517</v>
      </c>
      <c r="AO54">
        <v>330</v>
      </c>
      <c r="AP54">
        <v>260</v>
      </c>
      <c r="AQ54">
        <v>751</v>
      </c>
      <c r="AR54">
        <v>374</v>
      </c>
      <c r="AS54">
        <v>7</v>
      </c>
      <c r="AT54">
        <v>9</v>
      </c>
      <c r="AV54" t="s">
        <v>434</v>
      </c>
      <c r="AW54">
        <v>5</v>
      </c>
      <c r="AX54">
        <v>18.399999999999999</v>
      </c>
      <c r="AY54">
        <v>9</v>
      </c>
      <c r="BA54">
        <v>16</v>
      </c>
      <c r="BB54">
        <v>1</v>
      </c>
      <c r="BC54">
        <v>0</v>
      </c>
      <c r="BE54">
        <v>0</v>
      </c>
      <c r="BG54">
        <v>30</v>
      </c>
      <c r="BH54">
        <v>7</v>
      </c>
      <c r="BJ54" t="s">
        <v>414</v>
      </c>
      <c r="BK54" t="s">
        <v>414</v>
      </c>
      <c r="BL54">
        <v>60845</v>
      </c>
      <c r="BM54">
        <v>16349</v>
      </c>
      <c r="BN54">
        <v>103.88401676389999</v>
      </c>
      <c r="BO54">
        <v>236283</v>
      </c>
      <c r="BP54">
        <v>21392</v>
      </c>
      <c r="BQ54">
        <v>175.44265562909999</v>
      </c>
      <c r="BR54">
        <v>141.8631731488</v>
      </c>
      <c r="BS54">
        <v>56133</v>
      </c>
      <c r="BT54">
        <v>13886</v>
      </c>
      <c r="BU54">
        <v>99.264960005700004</v>
      </c>
      <c r="BV54">
        <v>217689</v>
      </c>
      <c r="BW54">
        <v>19593</v>
      </c>
      <c r="BX54">
        <v>173.02566964799999</v>
      </c>
      <c r="BY54">
        <v>138.7753789619</v>
      </c>
      <c r="CA54" t="s">
        <v>418</v>
      </c>
      <c r="CB54" t="s">
        <v>900</v>
      </c>
      <c r="CC54" t="s">
        <v>1031</v>
      </c>
      <c r="CD54">
        <v>1579</v>
      </c>
      <c r="CE54">
        <v>399</v>
      </c>
      <c r="CF54">
        <v>98.507283090599998</v>
      </c>
      <c r="CG54">
        <v>4893</v>
      </c>
      <c r="CH54">
        <v>444</v>
      </c>
      <c r="CI54">
        <v>148.17535254449999</v>
      </c>
      <c r="CJ54">
        <v>162.45945945950001</v>
      </c>
      <c r="CL54" t="s">
        <v>418</v>
      </c>
      <c r="CM54" t="s">
        <v>881</v>
      </c>
      <c r="CN54" t="s">
        <v>885</v>
      </c>
      <c r="CO54">
        <v>93</v>
      </c>
      <c r="CP54">
        <v>12</v>
      </c>
      <c r="CQ54">
        <v>61.344086021499997</v>
      </c>
      <c r="CR54">
        <v>800</v>
      </c>
      <c r="CS54">
        <v>71</v>
      </c>
      <c r="CT54">
        <v>59.328749999999999</v>
      </c>
      <c r="CU54">
        <v>67.492957746499997</v>
      </c>
      <c r="CW54" t="s">
        <v>418</v>
      </c>
      <c r="CX54" t="s">
        <v>891</v>
      </c>
      <c r="CY54" t="s">
        <v>895</v>
      </c>
      <c r="CZ54">
        <v>32</v>
      </c>
      <c r="DA54">
        <v>2</v>
      </c>
      <c r="DB54">
        <v>57.84375</v>
      </c>
      <c r="DC54">
        <v>116</v>
      </c>
      <c r="DD54">
        <v>6</v>
      </c>
      <c r="DE54">
        <v>129.14655172409999</v>
      </c>
      <c r="DF54">
        <v>138.6666666667</v>
      </c>
      <c r="DH54" t="s">
        <v>418</v>
      </c>
      <c r="DI54" t="s">
        <v>871</v>
      </c>
      <c r="DJ54" t="s">
        <v>875</v>
      </c>
      <c r="DK54">
        <v>39</v>
      </c>
      <c r="DL54">
        <v>2</v>
      </c>
      <c r="DM54">
        <v>58.743589743599998</v>
      </c>
      <c r="DN54">
        <v>70</v>
      </c>
      <c r="DO54">
        <v>11</v>
      </c>
      <c r="DP54">
        <v>164.81428571430001</v>
      </c>
      <c r="DQ54">
        <v>120.1818181818</v>
      </c>
    </row>
    <row r="55" spans="2:121" x14ac:dyDescent="0.25">
      <c r="F55" t="s">
        <v>45</v>
      </c>
      <c r="G55">
        <v>2967</v>
      </c>
      <c r="H55">
        <v>234.5143242332</v>
      </c>
      <c r="I55">
        <v>6960</v>
      </c>
      <c r="J55">
        <v>1958</v>
      </c>
      <c r="K55">
        <v>6136</v>
      </c>
      <c r="L55">
        <v>2434</v>
      </c>
      <c r="M55">
        <v>912</v>
      </c>
      <c r="N55">
        <v>733</v>
      </c>
      <c r="O55">
        <v>679</v>
      </c>
      <c r="P55">
        <v>440</v>
      </c>
      <c r="Q55">
        <v>3</v>
      </c>
      <c r="R55">
        <v>203</v>
      </c>
      <c r="AH55" t="s">
        <v>431</v>
      </c>
      <c r="AI55">
        <v>736</v>
      </c>
      <c r="AJ55">
        <v>282.29619565220003</v>
      </c>
      <c r="AK55">
        <v>920</v>
      </c>
      <c r="AL55">
        <v>216</v>
      </c>
      <c r="AM55">
        <v>1182</v>
      </c>
      <c r="AN55">
        <v>553</v>
      </c>
      <c r="AO55">
        <v>200</v>
      </c>
      <c r="AP55">
        <v>120</v>
      </c>
      <c r="AQ55">
        <v>176</v>
      </c>
      <c r="AR55">
        <v>73</v>
      </c>
      <c r="AS55">
        <v>26</v>
      </c>
      <c r="AT55">
        <v>6</v>
      </c>
      <c r="AV55" t="s">
        <v>389</v>
      </c>
      <c r="AW55">
        <v>245</v>
      </c>
      <c r="AX55">
        <v>104.4775510204</v>
      </c>
      <c r="AY55">
        <v>188</v>
      </c>
      <c r="AZ55">
        <v>39</v>
      </c>
      <c r="BA55">
        <v>352</v>
      </c>
      <c r="BB55">
        <v>109</v>
      </c>
      <c r="BC55">
        <v>11</v>
      </c>
      <c r="BD55">
        <v>11</v>
      </c>
      <c r="BE55">
        <v>85</v>
      </c>
      <c r="BF55">
        <v>10</v>
      </c>
      <c r="BG55">
        <v>39</v>
      </c>
      <c r="BH55">
        <v>69</v>
      </c>
      <c r="BJ55" t="s">
        <v>605</v>
      </c>
      <c r="BK55" t="s">
        <v>414</v>
      </c>
      <c r="BL55">
        <v>5135</v>
      </c>
      <c r="BM55">
        <v>1225</v>
      </c>
      <c r="BN55">
        <v>95.431353456699995</v>
      </c>
      <c r="BO55">
        <v>18602</v>
      </c>
      <c r="BP55">
        <v>1585</v>
      </c>
      <c r="BQ55">
        <v>171.9850553704</v>
      </c>
      <c r="BR55">
        <v>160.20504731860001</v>
      </c>
      <c r="BS55">
        <v>7510</v>
      </c>
      <c r="BT55">
        <v>2068</v>
      </c>
      <c r="BU55">
        <v>106.7711051931</v>
      </c>
      <c r="BV55">
        <v>26652</v>
      </c>
      <c r="BW55">
        <v>2310</v>
      </c>
      <c r="BX55">
        <v>187.35111811499999</v>
      </c>
      <c r="BY55">
        <v>173.63333333329999</v>
      </c>
      <c r="CA55" t="s">
        <v>423</v>
      </c>
      <c r="CB55" t="s">
        <v>900</v>
      </c>
      <c r="CC55" t="s">
        <v>1032</v>
      </c>
      <c r="CD55">
        <v>3837</v>
      </c>
      <c r="CE55">
        <v>1231</v>
      </c>
      <c r="CF55">
        <v>120.0992963253</v>
      </c>
      <c r="CG55">
        <v>12169</v>
      </c>
      <c r="CH55">
        <v>1050</v>
      </c>
      <c r="CI55">
        <v>225.51992768509999</v>
      </c>
      <c r="CJ55">
        <v>171.82380952380001</v>
      </c>
      <c r="CL55" t="s">
        <v>423</v>
      </c>
      <c r="CM55" t="s">
        <v>881</v>
      </c>
      <c r="CN55" t="s">
        <v>886</v>
      </c>
      <c r="CO55">
        <v>244</v>
      </c>
      <c r="CP55">
        <v>13</v>
      </c>
      <c r="CQ55">
        <v>49.372950819700002</v>
      </c>
      <c r="CR55">
        <v>1552</v>
      </c>
      <c r="CS55">
        <v>142</v>
      </c>
      <c r="CT55">
        <v>70.875</v>
      </c>
      <c r="CU55">
        <v>60.690140845099997</v>
      </c>
      <c r="CW55" t="s">
        <v>423</v>
      </c>
      <c r="CX55" t="s">
        <v>891</v>
      </c>
      <c r="CY55" t="s">
        <v>896</v>
      </c>
      <c r="CZ55">
        <v>78</v>
      </c>
      <c r="DA55">
        <v>10</v>
      </c>
      <c r="DB55">
        <v>71.628205128199994</v>
      </c>
      <c r="DC55">
        <v>261</v>
      </c>
      <c r="DD55">
        <v>17</v>
      </c>
      <c r="DE55">
        <v>122.83141762450001</v>
      </c>
      <c r="DF55">
        <v>129.3529411765</v>
      </c>
      <c r="DH55" t="s">
        <v>423</v>
      </c>
      <c r="DI55" t="s">
        <v>871</v>
      </c>
      <c r="DJ55" t="s">
        <v>876</v>
      </c>
      <c r="DK55">
        <v>70</v>
      </c>
      <c r="DL55">
        <v>3</v>
      </c>
      <c r="DM55">
        <v>66.857142857100001</v>
      </c>
      <c r="DN55">
        <v>288</v>
      </c>
      <c r="DO55">
        <v>18</v>
      </c>
      <c r="DP55">
        <v>165.125</v>
      </c>
      <c r="DQ55">
        <v>134.3333333333</v>
      </c>
    </row>
    <row r="56" spans="2:121" x14ac:dyDescent="0.25">
      <c r="F56" t="s">
        <v>65</v>
      </c>
      <c r="G56">
        <v>11270</v>
      </c>
      <c r="H56">
        <v>379.45953859799999</v>
      </c>
      <c r="I56">
        <v>10860</v>
      </c>
      <c r="J56">
        <v>3143</v>
      </c>
      <c r="K56">
        <v>14683</v>
      </c>
      <c r="L56">
        <v>10170</v>
      </c>
      <c r="M56">
        <v>5073</v>
      </c>
      <c r="N56">
        <v>3699</v>
      </c>
      <c r="O56">
        <v>3564</v>
      </c>
      <c r="P56">
        <v>2677</v>
      </c>
      <c r="Q56">
        <v>0</v>
      </c>
      <c r="R56">
        <v>46</v>
      </c>
      <c r="BJ56" t="s">
        <v>613</v>
      </c>
      <c r="BK56" t="s">
        <v>414</v>
      </c>
      <c r="BL56">
        <v>5115</v>
      </c>
      <c r="BM56">
        <v>1835</v>
      </c>
      <c r="BN56">
        <v>117.1474095797</v>
      </c>
      <c r="BO56">
        <v>16880</v>
      </c>
      <c r="BP56">
        <v>1747</v>
      </c>
      <c r="BQ56">
        <v>187.5565165877</v>
      </c>
      <c r="BR56">
        <v>150.80194619349999</v>
      </c>
      <c r="BS56">
        <v>4628</v>
      </c>
      <c r="BT56">
        <v>1590</v>
      </c>
      <c r="BU56">
        <v>116.834485739</v>
      </c>
      <c r="BV56">
        <v>16631</v>
      </c>
      <c r="BW56">
        <v>1658</v>
      </c>
      <c r="BX56">
        <v>189.2399735434</v>
      </c>
      <c r="BY56">
        <v>158.55548854040001</v>
      </c>
      <c r="CA56" t="s">
        <v>415</v>
      </c>
      <c r="CB56" t="s">
        <v>900</v>
      </c>
      <c r="CC56" t="s">
        <v>1033</v>
      </c>
      <c r="CD56">
        <v>2746</v>
      </c>
      <c r="CE56">
        <v>838</v>
      </c>
      <c r="CF56">
        <v>112.1314639476</v>
      </c>
      <c r="CG56">
        <v>8907</v>
      </c>
      <c r="CH56">
        <v>962</v>
      </c>
      <c r="CI56">
        <v>172.37768047599999</v>
      </c>
      <c r="CJ56">
        <v>143.18399168400001</v>
      </c>
      <c r="CL56" t="s">
        <v>415</v>
      </c>
      <c r="CM56" t="s">
        <v>881</v>
      </c>
      <c r="CN56" t="s">
        <v>887</v>
      </c>
      <c r="CO56">
        <v>179</v>
      </c>
      <c r="CP56">
        <v>15</v>
      </c>
      <c r="CQ56">
        <v>59.178770949700002</v>
      </c>
      <c r="CR56">
        <v>1245</v>
      </c>
      <c r="CS56">
        <v>113</v>
      </c>
      <c r="CT56">
        <v>61.211244979900002</v>
      </c>
      <c r="CU56">
        <v>75.265486725700001</v>
      </c>
      <c r="CW56" t="s">
        <v>415</v>
      </c>
      <c r="CX56" t="s">
        <v>891</v>
      </c>
      <c r="CY56" t="s">
        <v>897</v>
      </c>
      <c r="CZ56">
        <v>58</v>
      </c>
      <c r="DA56">
        <v>15</v>
      </c>
      <c r="DB56">
        <v>97.948275862100004</v>
      </c>
      <c r="DC56">
        <v>142</v>
      </c>
      <c r="DD56">
        <v>10</v>
      </c>
      <c r="DE56">
        <v>127.28169014079999</v>
      </c>
      <c r="DF56">
        <v>145.6</v>
      </c>
      <c r="DH56" t="s">
        <v>415</v>
      </c>
      <c r="DI56" t="s">
        <v>871</v>
      </c>
      <c r="DJ56" t="s">
        <v>877</v>
      </c>
      <c r="DK56">
        <v>50</v>
      </c>
      <c r="DL56">
        <v>4</v>
      </c>
      <c r="DM56">
        <v>84.7</v>
      </c>
      <c r="DN56">
        <v>150</v>
      </c>
      <c r="DO56">
        <v>10</v>
      </c>
      <c r="DP56">
        <v>163.57333333330001</v>
      </c>
      <c r="DQ56">
        <v>101</v>
      </c>
    </row>
    <row r="57" spans="2:121" x14ac:dyDescent="0.25">
      <c r="F57" t="s">
        <v>67</v>
      </c>
      <c r="G57">
        <v>5560</v>
      </c>
      <c r="H57">
        <v>261.42697841730001</v>
      </c>
      <c r="I57">
        <v>4952</v>
      </c>
      <c r="J57">
        <v>1200</v>
      </c>
      <c r="K57">
        <v>6582</v>
      </c>
      <c r="L57">
        <v>3678</v>
      </c>
      <c r="M57">
        <v>253</v>
      </c>
      <c r="N57">
        <v>195</v>
      </c>
      <c r="O57">
        <v>2891</v>
      </c>
      <c r="P57">
        <v>2300</v>
      </c>
      <c r="Q57">
        <v>0</v>
      </c>
      <c r="R57">
        <v>70</v>
      </c>
      <c r="BJ57" t="s">
        <v>621</v>
      </c>
      <c r="BK57" t="s">
        <v>414</v>
      </c>
      <c r="BL57">
        <v>3657</v>
      </c>
      <c r="BM57">
        <v>1196</v>
      </c>
      <c r="BN57">
        <v>119.8928083128</v>
      </c>
      <c r="BO57">
        <v>11473</v>
      </c>
      <c r="BP57">
        <v>1011</v>
      </c>
      <c r="BQ57">
        <v>235.72160725180001</v>
      </c>
      <c r="BR57">
        <v>181.31157270029999</v>
      </c>
      <c r="BS57">
        <v>2458</v>
      </c>
      <c r="BT57">
        <v>463</v>
      </c>
      <c r="BU57">
        <v>93.194467046400007</v>
      </c>
      <c r="BV57">
        <v>5722</v>
      </c>
      <c r="BW57">
        <v>514</v>
      </c>
      <c r="BX57">
        <v>262.03827333100003</v>
      </c>
      <c r="BY57">
        <v>177.96692607</v>
      </c>
      <c r="CA57" t="s">
        <v>419</v>
      </c>
      <c r="CB57" t="s">
        <v>900</v>
      </c>
      <c r="CC57" t="s">
        <v>1034</v>
      </c>
      <c r="CD57">
        <v>5109</v>
      </c>
      <c r="CE57">
        <v>1857</v>
      </c>
      <c r="CF57">
        <v>117.2374241535</v>
      </c>
      <c r="CG57">
        <v>17416</v>
      </c>
      <c r="CH57">
        <v>1741</v>
      </c>
      <c r="CI57">
        <v>186.26917776760001</v>
      </c>
      <c r="CJ57">
        <v>151.77943710509999</v>
      </c>
      <c r="CL57" t="s">
        <v>419</v>
      </c>
      <c r="CM57" t="s">
        <v>881</v>
      </c>
      <c r="CN57" t="s">
        <v>888</v>
      </c>
      <c r="CO57">
        <v>311</v>
      </c>
      <c r="CP57">
        <v>24</v>
      </c>
      <c r="CQ57">
        <v>57.057877813499999</v>
      </c>
      <c r="CR57">
        <v>2180</v>
      </c>
      <c r="CS57">
        <v>193</v>
      </c>
      <c r="CT57">
        <v>65.193577981700003</v>
      </c>
      <c r="CU57">
        <v>62.533678756500002</v>
      </c>
      <c r="CW57" t="s">
        <v>419</v>
      </c>
      <c r="CX57" t="s">
        <v>891</v>
      </c>
      <c r="CY57" t="s">
        <v>898</v>
      </c>
      <c r="CZ57">
        <v>98</v>
      </c>
      <c r="DA57">
        <v>6</v>
      </c>
      <c r="DB57">
        <v>62.836734693899999</v>
      </c>
      <c r="DC57">
        <v>236</v>
      </c>
      <c r="DD57">
        <v>32</v>
      </c>
      <c r="DE57">
        <v>115.3093220339</v>
      </c>
      <c r="DF57">
        <v>84.6875</v>
      </c>
      <c r="DH57" t="s">
        <v>419</v>
      </c>
      <c r="DI57" t="s">
        <v>871</v>
      </c>
      <c r="DJ57" t="s">
        <v>878</v>
      </c>
      <c r="DK57">
        <v>32</v>
      </c>
      <c r="DL57">
        <v>3</v>
      </c>
      <c r="DM57">
        <v>75.8125</v>
      </c>
      <c r="DN57">
        <v>147</v>
      </c>
      <c r="DO57">
        <v>8</v>
      </c>
      <c r="DP57">
        <v>159.14965986390001</v>
      </c>
      <c r="DQ57">
        <v>148.75</v>
      </c>
    </row>
    <row r="58" spans="2:121" x14ac:dyDescent="0.25">
      <c r="F58" t="s">
        <v>57</v>
      </c>
      <c r="G58">
        <v>1760</v>
      </c>
      <c r="H58">
        <v>381.02443181820001</v>
      </c>
      <c r="I58">
        <v>1109</v>
      </c>
      <c r="J58">
        <v>251</v>
      </c>
      <c r="K58">
        <v>2133</v>
      </c>
      <c r="L58">
        <v>1453</v>
      </c>
      <c r="M58">
        <v>555</v>
      </c>
      <c r="N58">
        <v>534</v>
      </c>
      <c r="O58">
        <v>138</v>
      </c>
      <c r="P58">
        <v>83</v>
      </c>
      <c r="Q58">
        <v>0</v>
      </c>
      <c r="R58">
        <v>1</v>
      </c>
      <c r="BJ58" t="s">
        <v>634</v>
      </c>
      <c r="BK58" t="s">
        <v>414</v>
      </c>
      <c r="BL58">
        <v>9753</v>
      </c>
      <c r="BM58">
        <v>1840</v>
      </c>
      <c r="BN58">
        <v>85.863426638000007</v>
      </c>
      <c r="BO58">
        <v>30104</v>
      </c>
      <c r="BP58">
        <v>2653</v>
      </c>
      <c r="BQ58">
        <v>156.03325139520001</v>
      </c>
      <c r="BR58">
        <v>142.99133056919999</v>
      </c>
      <c r="BS58">
        <v>11070</v>
      </c>
      <c r="BT58">
        <v>2716</v>
      </c>
      <c r="BU58">
        <v>100.4446251129</v>
      </c>
      <c r="BV58">
        <v>37073</v>
      </c>
      <c r="BW58">
        <v>3195</v>
      </c>
      <c r="BX58">
        <v>172.5915356189</v>
      </c>
      <c r="BY58">
        <v>155.0798122066</v>
      </c>
      <c r="CA58" t="s">
        <v>83</v>
      </c>
      <c r="CB58" t="s">
        <v>900</v>
      </c>
      <c r="CC58" t="s">
        <v>1035</v>
      </c>
      <c r="CD58">
        <v>6495</v>
      </c>
      <c r="CE58">
        <v>1763</v>
      </c>
      <c r="CF58">
        <v>108.6872979215</v>
      </c>
      <c r="CG58">
        <v>30071</v>
      </c>
      <c r="CH58">
        <v>2839</v>
      </c>
      <c r="CI58">
        <v>219.86927604670001</v>
      </c>
      <c r="CJ58">
        <v>147.6023247622</v>
      </c>
      <c r="CL58" t="s">
        <v>83</v>
      </c>
      <c r="CM58" t="s">
        <v>881</v>
      </c>
      <c r="CN58" t="s">
        <v>889</v>
      </c>
      <c r="CO58">
        <v>572</v>
      </c>
      <c r="CP58">
        <v>47</v>
      </c>
      <c r="CQ58">
        <v>55.972027971999999</v>
      </c>
      <c r="CR58">
        <v>3401</v>
      </c>
      <c r="CS58">
        <v>304</v>
      </c>
      <c r="CT58">
        <v>68.754778006500004</v>
      </c>
      <c r="CU58">
        <v>67.634868421099995</v>
      </c>
      <c r="CW58" t="s">
        <v>83</v>
      </c>
      <c r="CX58" t="s">
        <v>891</v>
      </c>
      <c r="CY58" t="s">
        <v>899</v>
      </c>
      <c r="CZ58">
        <v>221</v>
      </c>
      <c r="DA58">
        <v>20</v>
      </c>
      <c r="DB58">
        <v>60.289592760200001</v>
      </c>
      <c r="DC58">
        <v>850</v>
      </c>
      <c r="DD58">
        <v>49</v>
      </c>
      <c r="DE58">
        <v>123.5294117647</v>
      </c>
      <c r="DF58">
        <v>100.2244897959</v>
      </c>
      <c r="DH58" t="s">
        <v>83</v>
      </c>
      <c r="DI58" t="s">
        <v>871</v>
      </c>
      <c r="DJ58" t="s">
        <v>879</v>
      </c>
      <c r="DK58">
        <v>395</v>
      </c>
      <c r="DL58">
        <v>27</v>
      </c>
      <c r="DM58">
        <v>68.549367088599993</v>
      </c>
      <c r="DN58">
        <v>1231</v>
      </c>
      <c r="DO58">
        <v>119</v>
      </c>
      <c r="DP58">
        <v>161.2502030869</v>
      </c>
      <c r="DQ58">
        <v>126.6722689076</v>
      </c>
    </row>
    <row r="59" spans="2:121" x14ac:dyDescent="0.25">
      <c r="F59" t="s">
        <v>49</v>
      </c>
      <c r="G59">
        <v>13062</v>
      </c>
      <c r="H59">
        <v>338.7978870005</v>
      </c>
      <c r="I59">
        <v>16492</v>
      </c>
      <c r="J59">
        <v>5146</v>
      </c>
      <c r="K59">
        <v>17278</v>
      </c>
      <c r="L59">
        <v>11366</v>
      </c>
      <c r="M59">
        <v>1769</v>
      </c>
      <c r="N59">
        <v>1456</v>
      </c>
      <c r="O59">
        <v>4251</v>
      </c>
      <c r="P59">
        <v>3210</v>
      </c>
      <c r="Q59">
        <v>0</v>
      </c>
      <c r="R59">
        <v>238</v>
      </c>
      <c r="BJ59" t="s">
        <v>607</v>
      </c>
      <c r="BK59" t="s">
        <v>414</v>
      </c>
      <c r="BL59">
        <v>7795</v>
      </c>
      <c r="BM59">
        <v>1761</v>
      </c>
      <c r="BN59">
        <v>95.022193713899995</v>
      </c>
      <c r="BO59">
        <v>64760</v>
      </c>
      <c r="BP59">
        <v>5455</v>
      </c>
      <c r="BQ59">
        <v>126.74709697340001</v>
      </c>
      <c r="BR59">
        <v>88.440879926700006</v>
      </c>
      <c r="BS59">
        <v>7584</v>
      </c>
      <c r="BT59">
        <v>1561</v>
      </c>
      <c r="BU59">
        <v>86.563027426199994</v>
      </c>
      <c r="BV59">
        <v>58962</v>
      </c>
      <c r="BW59">
        <v>5244</v>
      </c>
      <c r="BX59">
        <v>112.0193175265</v>
      </c>
      <c r="BY59">
        <v>78.568077803199998</v>
      </c>
      <c r="CA59" t="s">
        <v>414</v>
      </c>
      <c r="CB59" t="s">
        <v>900</v>
      </c>
      <c r="CD59">
        <v>58691</v>
      </c>
      <c r="CE59">
        <v>16238</v>
      </c>
      <c r="CF59">
        <v>106.39486463</v>
      </c>
      <c r="CG59">
        <v>205708</v>
      </c>
      <c r="CH59">
        <v>18878</v>
      </c>
      <c r="CI59">
        <v>192.3505502946</v>
      </c>
      <c r="CJ59">
        <v>153.95873503550001</v>
      </c>
      <c r="CL59" t="s">
        <v>414</v>
      </c>
      <c r="CM59" t="s">
        <v>881</v>
      </c>
      <c r="CO59">
        <v>4275</v>
      </c>
      <c r="CP59">
        <v>287</v>
      </c>
      <c r="CQ59">
        <v>52.044210526299999</v>
      </c>
      <c r="CR59">
        <v>26936</v>
      </c>
      <c r="CS59">
        <v>2509</v>
      </c>
      <c r="CT59">
        <v>65.102502227499997</v>
      </c>
      <c r="CU59">
        <v>64.350737345599995</v>
      </c>
      <c r="CW59" t="s">
        <v>414</v>
      </c>
      <c r="CX59" t="s">
        <v>891</v>
      </c>
      <c r="CZ59">
        <v>1938</v>
      </c>
      <c r="DA59">
        <v>221</v>
      </c>
      <c r="DB59">
        <v>67.242518059899993</v>
      </c>
      <c r="DC59">
        <v>5970</v>
      </c>
      <c r="DD59">
        <v>425</v>
      </c>
      <c r="DE59">
        <v>120.4554438861</v>
      </c>
      <c r="DF59">
        <v>105.8282352941</v>
      </c>
      <c r="DH59" t="s">
        <v>414</v>
      </c>
      <c r="DI59" t="s">
        <v>871</v>
      </c>
      <c r="DK59">
        <v>1455</v>
      </c>
      <c r="DL59">
        <v>109</v>
      </c>
      <c r="DM59">
        <v>66.621305841899996</v>
      </c>
      <c r="DN59">
        <v>4463</v>
      </c>
      <c r="DO59">
        <v>312</v>
      </c>
      <c r="DP59">
        <v>163.4004033162</v>
      </c>
      <c r="DQ59">
        <v>126.4743589744</v>
      </c>
    </row>
    <row r="60" spans="2:121" x14ac:dyDescent="0.25">
      <c r="F60" t="s">
        <v>141</v>
      </c>
      <c r="G60">
        <v>475</v>
      </c>
      <c r="H60">
        <v>330.38105263160003</v>
      </c>
      <c r="I60">
        <v>363</v>
      </c>
      <c r="J60">
        <v>114</v>
      </c>
      <c r="K60">
        <v>660</v>
      </c>
      <c r="L60">
        <v>438</v>
      </c>
      <c r="M60">
        <v>75</v>
      </c>
      <c r="N60">
        <v>67</v>
      </c>
      <c r="O60">
        <v>102</v>
      </c>
      <c r="P60">
        <v>79</v>
      </c>
      <c r="Q60">
        <v>0</v>
      </c>
      <c r="R60">
        <v>1</v>
      </c>
      <c r="BJ60" t="s">
        <v>549</v>
      </c>
      <c r="BK60" t="s">
        <v>390</v>
      </c>
      <c r="BL60">
        <v>15129</v>
      </c>
      <c r="BM60">
        <v>4353</v>
      </c>
      <c r="BN60">
        <v>108.23848238479999</v>
      </c>
      <c r="BO60">
        <v>50812</v>
      </c>
      <c r="BP60">
        <v>3988</v>
      </c>
      <c r="BQ60">
        <v>195.77599779580001</v>
      </c>
      <c r="BR60">
        <v>178.212888666</v>
      </c>
      <c r="BS60">
        <v>13918</v>
      </c>
      <c r="BT60">
        <v>3192</v>
      </c>
      <c r="BU60">
        <v>98.409182353800006</v>
      </c>
      <c r="BV60">
        <v>42948</v>
      </c>
      <c r="BW60">
        <v>3332</v>
      </c>
      <c r="BX60">
        <v>189.94465400019999</v>
      </c>
      <c r="BY60">
        <v>172.44567827130001</v>
      </c>
      <c r="CA60" t="s">
        <v>398</v>
      </c>
      <c r="CB60" t="s">
        <v>925</v>
      </c>
      <c r="CC60" t="s">
        <v>1036</v>
      </c>
      <c r="CD60">
        <v>7492</v>
      </c>
      <c r="CE60">
        <v>1724</v>
      </c>
      <c r="CF60">
        <v>95.488788040599999</v>
      </c>
      <c r="CG60">
        <v>25248</v>
      </c>
      <c r="CH60">
        <v>2214</v>
      </c>
      <c r="CI60">
        <v>194.6021467047</v>
      </c>
      <c r="CJ60">
        <v>178.9530261969</v>
      </c>
      <c r="CL60" t="s">
        <v>398</v>
      </c>
      <c r="CM60" t="s">
        <v>910</v>
      </c>
      <c r="CN60" t="s">
        <v>909</v>
      </c>
      <c r="CO60">
        <v>519</v>
      </c>
      <c r="CP60">
        <v>56</v>
      </c>
      <c r="CQ60">
        <v>57.462427745699998</v>
      </c>
      <c r="CR60">
        <v>4311</v>
      </c>
      <c r="CS60">
        <v>326</v>
      </c>
      <c r="CT60">
        <v>49.6546045001</v>
      </c>
      <c r="CU60">
        <v>54.352760736199997</v>
      </c>
      <c r="CW60" t="s">
        <v>398</v>
      </c>
      <c r="CX60" t="s">
        <v>918</v>
      </c>
      <c r="CY60" t="s">
        <v>917</v>
      </c>
      <c r="CZ60">
        <v>153</v>
      </c>
      <c r="DA60">
        <v>22</v>
      </c>
      <c r="DB60">
        <v>71.8954248366</v>
      </c>
      <c r="DC60">
        <v>367</v>
      </c>
      <c r="DD60">
        <v>40</v>
      </c>
      <c r="DE60">
        <v>141.0708446866</v>
      </c>
      <c r="DF60">
        <v>137.92500000000001</v>
      </c>
      <c r="DH60" t="s">
        <v>398</v>
      </c>
      <c r="DI60" t="s">
        <v>902</v>
      </c>
      <c r="DJ60" t="s">
        <v>901</v>
      </c>
      <c r="DK60">
        <v>141</v>
      </c>
      <c r="DL60">
        <v>15</v>
      </c>
      <c r="DM60">
        <v>79.085106382999996</v>
      </c>
      <c r="DN60">
        <v>371</v>
      </c>
      <c r="DO60">
        <v>23</v>
      </c>
      <c r="DP60">
        <v>144.76549865230001</v>
      </c>
      <c r="DQ60">
        <v>147.34782608699999</v>
      </c>
    </row>
    <row r="61" spans="2:121" x14ac:dyDescent="0.25">
      <c r="F61" t="s">
        <v>59</v>
      </c>
      <c r="G61">
        <v>7702</v>
      </c>
      <c r="H61">
        <v>245.19241755389999</v>
      </c>
      <c r="I61">
        <v>5729</v>
      </c>
      <c r="J61">
        <v>1232</v>
      </c>
      <c r="K61">
        <v>9917</v>
      </c>
      <c r="L61">
        <v>4830</v>
      </c>
      <c r="M61">
        <v>331</v>
      </c>
      <c r="N61">
        <v>224</v>
      </c>
      <c r="O61">
        <v>463</v>
      </c>
      <c r="P61">
        <v>194</v>
      </c>
      <c r="Q61">
        <v>77</v>
      </c>
      <c r="R61">
        <v>0</v>
      </c>
      <c r="BJ61" t="s">
        <v>557</v>
      </c>
      <c r="BK61" t="s">
        <v>390</v>
      </c>
      <c r="BL61">
        <v>8798</v>
      </c>
      <c r="BM61">
        <v>2339</v>
      </c>
      <c r="BN61">
        <v>101.50704705610001</v>
      </c>
      <c r="BO61">
        <v>30113</v>
      </c>
      <c r="BP61">
        <v>2501</v>
      </c>
      <c r="BQ61">
        <v>193.58443197290001</v>
      </c>
      <c r="BR61">
        <v>158.40543782489999</v>
      </c>
      <c r="BS61">
        <v>8657</v>
      </c>
      <c r="BT61">
        <v>2487</v>
      </c>
      <c r="BU61">
        <v>104.7963497747</v>
      </c>
      <c r="BV61">
        <v>28644</v>
      </c>
      <c r="BW61">
        <v>2515</v>
      </c>
      <c r="BX61">
        <v>190.23034492389999</v>
      </c>
      <c r="BY61">
        <v>164.5514910537</v>
      </c>
      <c r="CA61" t="s">
        <v>435</v>
      </c>
      <c r="CB61" t="s">
        <v>925</v>
      </c>
      <c r="CC61" t="s">
        <v>1037</v>
      </c>
      <c r="CD61">
        <v>22880</v>
      </c>
      <c r="CE61">
        <v>7654</v>
      </c>
      <c r="CF61">
        <v>122.6187062937</v>
      </c>
      <c r="CG61">
        <v>80020</v>
      </c>
      <c r="CH61">
        <v>8126</v>
      </c>
      <c r="CI61">
        <v>204.3639090227</v>
      </c>
      <c r="CJ61">
        <v>171.33214373620001</v>
      </c>
      <c r="CL61" t="s">
        <v>435</v>
      </c>
      <c r="CM61" t="s">
        <v>910</v>
      </c>
      <c r="CN61" t="s">
        <v>911</v>
      </c>
      <c r="CO61">
        <v>1254</v>
      </c>
      <c r="CP61">
        <v>142</v>
      </c>
      <c r="CQ61">
        <v>65.847687400300003</v>
      </c>
      <c r="CR61">
        <v>10580</v>
      </c>
      <c r="CS61">
        <v>799</v>
      </c>
      <c r="CT61">
        <v>73.688374291100004</v>
      </c>
      <c r="CU61">
        <v>72.295369211500002</v>
      </c>
      <c r="CW61" t="s">
        <v>435</v>
      </c>
      <c r="CX61" t="s">
        <v>918</v>
      </c>
      <c r="CY61" t="s">
        <v>919</v>
      </c>
      <c r="CZ61">
        <v>687</v>
      </c>
      <c r="DA61">
        <v>107</v>
      </c>
      <c r="DB61">
        <v>78.344978165900002</v>
      </c>
      <c r="DC61">
        <v>1880</v>
      </c>
      <c r="DD61">
        <v>168</v>
      </c>
      <c r="DE61">
        <v>142.31542553189999</v>
      </c>
      <c r="DF61">
        <v>149.57142857139999</v>
      </c>
      <c r="DH61" t="s">
        <v>435</v>
      </c>
      <c r="DI61" t="s">
        <v>902</v>
      </c>
      <c r="DJ61" t="s">
        <v>903</v>
      </c>
      <c r="DK61">
        <v>818</v>
      </c>
      <c r="DL61">
        <v>101</v>
      </c>
      <c r="DM61">
        <v>78.191931540300004</v>
      </c>
      <c r="DN61">
        <v>1976</v>
      </c>
      <c r="DO61">
        <v>160</v>
      </c>
      <c r="DP61">
        <v>141.1214574899</v>
      </c>
      <c r="DQ61">
        <v>140.13124999999999</v>
      </c>
    </row>
    <row r="62" spans="2:121" x14ac:dyDescent="0.25">
      <c r="BJ62" t="s">
        <v>573</v>
      </c>
      <c r="BK62" t="s">
        <v>390</v>
      </c>
      <c r="BL62">
        <v>6452</v>
      </c>
      <c r="BM62">
        <v>2782</v>
      </c>
      <c r="BN62">
        <v>160.75464972099999</v>
      </c>
      <c r="BO62">
        <v>19215</v>
      </c>
      <c r="BP62">
        <v>1702</v>
      </c>
      <c r="BQ62">
        <v>224.1032006245</v>
      </c>
      <c r="BR62">
        <v>201.9136310223</v>
      </c>
      <c r="BS62">
        <v>6989</v>
      </c>
      <c r="BT62">
        <v>3063</v>
      </c>
      <c r="BU62">
        <v>157.66246959509999</v>
      </c>
      <c r="BV62">
        <v>19941</v>
      </c>
      <c r="BW62">
        <v>1770</v>
      </c>
      <c r="BX62">
        <v>224.6309613359</v>
      </c>
      <c r="BY62">
        <v>197.0966101695</v>
      </c>
      <c r="CA62" t="s">
        <v>391</v>
      </c>
      <c r="CB62" t="s">
        <v>925</v>
      </c>
      <c r="CC62" t="s">
        <v>1038</v>
      </c>
      <c r="CD62">
        <v>15929</v>
      </c>
      <c r="CE62">
        <v>4491</v>
      </c>
      <c r="CF62">
        <v>108.12417603110001</v>
      </c>
      <c r="CG62">
        <v>56441</v>
      </c>
      <c r="CH62">
        <v>4507</v>
      </c>
      <c r="CI62">
        <v>187.6377810457</v>
      </c>
      <c r="CJ62">
        <v>168.05546927</v>
      </c>
      <c r="CL62" t="s">
        <v>391</v>
      </c>
      <c r="CM62" t="s">
        <v>910</v>
      </c>
      <c r="CN62" t="s">
        <v>912</v>
      </c>
      <c r="CO62">
        <v>649</v>
      </c>
      <c r="CP62">
        <v>90</v>
      </c>
      <c r="CQ62">
        <v>74.087827426800004</v>
      </c>
      <c r="CR62">
        <v>5029</v>
      </c>
      <c r="CS62">
        <v>399</v>
      </c>
      <c r="CT62">
        <v>75.162060051699996</v>
      </c>
      <c r="CU62">
        <v>81.817042606499996</v>
      </c>
      <c r="CW62" t="s">
        <v>391</v>
      </c>
      <c r="CX62" t="s">
        <v>918</v>
      </c>
      <c r="CY62" t="s">
        <v>920</v>
      </c>
      <c r="CZ62">
        <v>405</v>
      </c>
      <c r="DA62">
        <v>61</v>
      </c>
      <c r="DB62">
        <v>80.145679012299993</v>
      </c>
      <c r="DC62">
        <v>1021</v>
      </c>
      <c r="DD62">
        <v>89</v>
      </c>
      <c r="DE62">
        <v>152.2242899119</v>
      </c>
      <c r="DF62">
        <v>136.15730337080001</v>
      </c>
      <c r="DH62" t="s">
        <v>391</v>
      </c>
      <c r="DI62" t="s">
        <v>902</v>
      </c>
      <c r="DJ62" t="s">
        <v>904</v>
      </c>
      <c r="DK62">
        <v>429</v>
      </c>
      <c r="DL62">
        <v>57</v>
      </c>
      <c r="DM62">
        <v>76.424242424200003</v>
      </c>
      <c r="DN62">
        <v>1048</v>
      </c>
      <c r="DO62">
        <v>90</v>
      </c>
      <c r="DP62">
        <v>149.39312977099999</v>
      </c>
      <c r="DQ62">
        <v>141.37777777779999</v>
      </c>
    </row>
    <row r="63" spans="2:121" x14ac:dyDescent="0.25">
      <c r="BJ63" t="s">
        <v>563</v>
      </c>
      <c r="BK63" t="s">
        <v>390</v>
      </c>
      <c r="BL63">
        <v>7366</v>
      </c>
      <c r="BM63">
        <v>1567</v>
      </c>
      <c r="BN63">
        <v>89.875373336999999</v>
      </c>
      <c r="BO63">
        <v>23289</v>
      </c>
      <c r="BP63">
        <v>2056</v>
      </c>
      <c r="BQ63">
        <v>202.0961398085</v>
      </c>
      <c r="BR63">
        <v>186.1765564202</v>
      </c>
      <c r="BS63">
        <v>7157</v>
      </c>
      <c r="BT63">
        <v>1259</v>
      </c>
      <c r="BU63">
        <v>83.113315635000006</v>
      </c>
      <c r="BV63">
        <v>22980</v>
      </c>
      <c r="BW63">
        <v>1943</v>
      </c>
      <c r="BX63">
        <v>203.59952132289999</v>
      </c>
      <c r="BY63">
        <v>184.37673700459999</v>
      </c>
      <c r="CA63" t="s">
        <v>403</v>
      </c>
      <c r="CB63" t="s">
        <v>925</v>
      </c>
      <c r="CC63" t="s">
        <v>1039</v>
      </c>
      <c r="CD63">
        <v>4384</v>
      </c>
      <c r="CE63">
        <v>1140</v>
      </c>
      <c r="CF63">
        <v>111.9324817518</v>
      </c>
      <c r="CG63">
        <v>15297</v>
      </c>
      <c r="CH63">
        <v>1423</v>
      </c>
      <c r="CI63">
        <v>169.590573315</v>
      </c>
      <c r="CJ63">
        <v>155.1644413212</v>
      </c>
      <c r="CL63" t="s">
        <v>403</v>
      </c>
      <c r="CM63" t="s">
        <v>910</v>
      </c>
      <c r="CN63" t="s">
        <v>913</v>
      </c>
      <c r="CO63">
        <v>309</v>
      </c>
      <c r="CP63">
        <v>38</v>
      </c>
      <c r="CQ63">
        <v>60.569579288</v>
      </c>
      <c r="CR63">
        <v>2177</v>
      </c>
      <c r="CS63">
        <v>185</v>
      </c>
      <c r="CT63">
        <v>55.651814423499999</v>
      </c>
      <c r="CU63">
        <v>50.372972973000003</v>
      </c>
      <c r="CW63" t="s">
        <v>403</v>
      </c>
      <c r="CX63" t="s">
        <v>918</v>
      </c>
      <c r="CY63" t="s">
        <v>921</v>
      </c>
      <c r="CZ63">
        <v>84</v>
      </c>
      <c r="DA63">
        <v>7</v>
      </c>
      <c r="DB63">
        <v>66.809523809500007</v>
      </c>
      <c r="DC63">
        <v>262</v>
      </c>
      <c r="DD63">
        <v>21</v>
      </c>
      <c r="DE63">
        <v>136.27480916030001</v>
      </c>
      <c r="DF63">
        <v>150.38095238099999</v>
      </c>
      <c r="DH63" t="s">
        <v>403</v>
      </c>
      <c r="DI63" t="s">
        <v>902</v>
      </c>
      <c r="DJ63" t="s">
        <v>905</v>
      </c>
      <c r="DK63">
        <v>132</v>
      </c>
      <c r="DL63">
        <v>13</v>
      </c>
      <c r="DM63">
        <v>73.037878787899999</v>
      </c>
      <c r="DN63">
        <v>300</v>
      </c>
      <c r="DO63">
        <v>18</v>
      </c>
      <c r="DP63">
        <v>131.32666666669999</v>
      </c>
      <c r="DQ63">
        <v>147.2777777778</v>
      </c>
    </row>
    <row r="64" spans="2:121" x14ac:dyDescent="0.25">
      <c r="BJ64" t="s">
        <v>559</v>
      </c>
      <c r="BK64" t="s">
        <v>390</v>
      </c>
      <c r="BL64">
        <v>9437</v>
      </c>
      <c r="BM64">
        <v>2092</v>
      </c>
      <c r="BN64">
        <v>93.611635053499995</v>
      </c>
      <c r="BO64">
        <v>28292</v>
      </c>
      <c r="BP64">
        <v>2521</v>
      </c>
      <c r="BQ64">
        <v>154.4240421321</v>
      </c>
      <c r="BR64">
        <v>141.14518048389999</v>
      </c>
      <c r="BS64">
        <v>9911</v>
      </c>
      <c r="BT64">
        <v>2605</v>
      </c>
      <c r="BU64">
        <v>107.9494501059</v>
      </c>
      <c r="BV64">
        <v>32411</v>
      </c>
      <c r="BW64">
        <v>2804</v>
      </c>
      <c r="BX64">
        <v>169.96488846380001</v>
      </c>
      <c r="BY64">
        <v>160.20577746079999</v>
      </c>
      <c r="CA64" t="s">
        <v>437</v>
      </c>
      <c r="CB64" t="s">
        <v>925</v>
      </c>
      <c r="CC64" t="s">
        <v>1040</v>
      </c>
      <c r="CD64">
        <v>2696</v>
      </c>
      <c r="CE64">
        <v>902</v>
      </c>
      <c r="CF64">
        <v>110.9621661721</v>
      </c>
      <c r="CG64">
        <v>9066</v>
      </c>
      <c r="CH64">
        <v>765</v>
      </c>
      <c r="CI64">
        <v>157.9335980587</v>
      </c>
      <c r="CJ64">
        <v>132.9411764706</v>
      </c>
      <c r="CL64" t="s">
        <v>437</v>
      </c>
      <c r="CM64" t="s">
        <v>910</v>
      </c>
      <c r="CN64" t="s">
        <v>914</v>
      </c>
      <c r="CO64">
        <v>244</v>
      </c>
      <c r="CP64">
        <v>24</v>
      </c>
      <c r="CQ64">
        <v>73.684426229500005</v>
      </c>
      <c r="CR64">
        <v>2287</v>
      </c>
      <c r="CS64">
        <v>163</v>
      </c>
      <c r="CT64">
        <v>81.294709226099997</v>
      </c>
      <c r="CU64">
        <v>89.779141104299995</v>
      </c>
      <c r="CW64" t="s">
        <v>437</v>
      </c>
      <c r="CX64" t="s">
        <v>918</v>
      </c>
      <c r="CY64" t="s">
        <v>922</v>
      </c>
      <c r="CZ64">
        <v>8</v>
      </c>
      <c r="DA64">
        <v>2</v>
      </c>
      <c r="DB64">
        <v>83.25</v>
      </c>
      <c r="DC64">
        <v>28</v>
      </c>
      <c r="DD64">
        <v>2</v>
      </c>
      <c r="DE64">
        <v>118.2857142857</v>
      </c>
      <c r="DF64">
        <v>190</v>
      </c>
      <c r="DH64" t="s">
        <v>437</v>
      </c>
      <c r="DI64" t="s">
        <v>902</v>
      </c>
      <c r="DJ64" t="s">
        <v>906</v>
      </c>
      <c r="DK64">
        <v>8</v>
      </c>
      <c r="DL64">
        <v>2</v>
      </c>
      <c r="DM64">
        <v>91.25</v>
      </c>
      <c r="DN64">
        <v>42</v>
      </c>
      <c r="DO64">
        <v>4</v>
      </c>
      <c r="DP64">
        <v>150.59523809519999</v>
      </c>
      <c r="DQ64">
        <v>102.75</v>
      </c>
    </row>
    <row r="65" spans="62:121" x14ac:dyDescent="0.25">
      <c r="BJ65" t="s">
        <v>623</v>
      </c>
      <c r="BK65" t="s">
        <v>390</v>
      </c>
      <c r="BL65">
        <v>2723</v>
      </c>
      <c r="BM65">
        <v>936</v>
      </c>
      <c r="BN65">
        <v>112.1278002203</v>
      </c>
      <c r="BO65">
        <v>8828</v>
      </c>
      <c r="BP65">
        <v>725</v>
      </c>
      <c r="BQ65">
        <v>159.2835296783</v>
      </c>
      <c r="BR65">
        <v>136.10896551720001</v>
      </c>
      <c r="BS65">
        <v>3087</v>
      </c>
      <c r="BT65">
        <v>1293</v>
      </c>
      <c r="BU65">
        <v>132.4020084224</v>
      </c>
      <c r="BV65">
        <v>10967</v>
      </c>
      <c r="BW65">
        <v>820</v>
      </c>
      <c r="BX65">
        <v>169.37038387889999</v>
      </c>
      <c r="BY65">
        <v>151.5243902439</v>
      </c>
      <c r="CA65" t="s">
        <v>393</v>
      </c>
      <c r="CB65" t="s">
        <v>925</v>
      </c>
      <c r="CC65" t="s">
        <v>1041</v>
      </c>
      <c r="CD65">
        <v>9319</v>
      </c>
      <c r="CE65">
        <v>2432</v>
      </c>
      <c r="CF65">
        <v>100.79708123189999</v>
      </c>
      <c r="CG65">
        <v>31816</v>
      </c>
      <c r="CH65">
        <v>2651</v>
      </c>
      <c r="CI65">
        <v>189.5731707317</v>
      </c>
      <c r="CJ65">
        <v>155.1161825726</v>
      </c>
      <c r="CL65" t="s">
        <v>393</v>
      </c>
      <c r="CM65" t="s">
        <v>910</v>
      </c>
      <c r="CN65" t="s">
        <v>915</v>
      </c>
      <c r="CO65">
        <v>401</v>
      </c>
      <c r="CP65">
        <v>51</v>
      </c>
      <c r="CQ65">
        <v>69.349127182000004</v>
      </c>
      <c r="CR65">
        <v>3173</v>
      </c>
      <c r="CS65">
        <v>249</v>
      </c>
      <c r="CT65">
        <v>71.991805862000007</v>
      </c>
      <c r="CU65">
        <v>72</v>
      </c>
      <c r="CW65" t="s">
        <v>393</v>
      </c>
      <c r="CX65" t="s">
        <v>918</v>
      </c>
      <c r="CY65" t="s">
        <v>923</v>
      </c>
      <c r="CZ65">
        <v>216</v>
      </c>
      <c r="DA65">
        <v>28</v>
      </c>
      <c r="DB65">
        <v>71.842592592599999</v>
      </c>
      <c r="DC65">
        <v>623</v>
      </c>
      <c r="DD65">
        <v>43</v>
      </c>
      <c r="DE65">
        <v>151.75280898880001</v>
      </c>
      <c r="DF65">
        <v>150.7441860465</v>
      </c>
      <c r="DH65" t="s">
        <v>393</v>
      </c>
      <c r="DI65" t="s">
        <v>902</v>
      </c>
      <c r="DJ65" t="s">
        <v>907</v>
      </c>
      <c r="DK65">
        <v>215</v>
      </c>
      <c r="DL65">
        <v>34</v>
      </c>
      <c r="DM65">
        <v>82.209302325600007</v>
      </c>
      <c r="DN65">
        <v>500</v>
      </c>
      <c r="DO65">
        <v>48</v>
      </c>
      <c r="DP65">
        <v>140.45400000000001</v>
      </c>
      <c r="DQ65">
        <v>139.0416666667</v>
      </c>
    </row>
    <row r="66" spans="62:121" x14ac:dyDescent="0.25">
      <c r="BJ66" t="s">
        <v>390</v>
      </c>
      <c r="BK66" t="s">
        <v>390</v>
      </c>
      <c r="BL66">
        <v>71578</v>
      </c>
      <c r="BM66">
        <v>21252</v>
      </c>
      <c r="BN66">
        <v>112.6107463187</v>
      </c>
      <c r="BO66">
        <v>235698</v>
      </c>
      <c r="BP66">
        <v>21117</v>
      </c>
      <c r="BQ66">
        <v>196.56193943100001</v>
      </c>
      <c r="BR66">
        <v>171.0834398826</v>
      </c>
      <c r="BS66">
        <v>69379</v>
      </c>
      <c r="BT66">
        <v>19316</v>
      </c>
      <c r="BU66">
        <v>109.5655745975</v>
      </c>
      <c r="BV66">
        <v>218772</v>
      </c>
      <c r="BW66">
        <v>19818</v>
      </c>
      <c r="BX66">
        <v>195.10997293989999</v>
      </c>
      <c r="BY66">
        <v>168.55646382079999</v>
      </c>
      <c r="CA66" t="s">
        <v>394</v>
      </c>
      <c r="CB66" t="s">
        <v>925</v>
      </c>
      <c r="CC66" t="s">
        <v>1042</v>
      </c>
      <c r="CD66">
        <v>9426</v>
      </c>
      <c r="CE66">
        <v>2194</v>
      </c>
      <c r="CF66">
        <v>96.201145767</v>
      </c>
      <c r="CG66">
        <v>30343</v>
      </c>
      <c r="CH66">
        <v>2674</v>
      </c>
      <c r="CI66">
        <v>150.76927133109999</v>
      </c>
      <c r="CJ66">
        <v>137.97756170529999</v>
      </c>
      <c r="CL66" t="s">
        <v>394</v>
      </c>
      <c r="CM66" t="s">
        <v>910</v>
      </c>
      <c r="CN66" t="s">
        <v>916</v>
      </c>
      <c r="CO66">
        <v>517</v>
      </c>
      <c r="CP66">
        <v>51</v>
      </c>
      <c r="CQ66">
        <v>54.5415860735</v>
      </c>
      <c r="CR66">
        <v>4172</v>
      </c>
      <c r="CS66">
        <v>318</v>
      </c>
      <c r="CT66">
        <v>51.329578140000002</v>
      </c>
      <c r="CU66">
        <v>53.553459119499998</v>
      </c>
      <c r="CW66" t="s">
        <v>394</v>
      </c>
      <c r="CX66" t="s">
        <v>918</v>
      </c>
      <c r="CY66" t="s">
        <v>924</v>
      </c>
      <c r="CZ66">
        <v>187</v>
      </c>
      <c r="DA66">
        <v>24</v>
      </c>
      <c r="DB66">
        <v>77.016042780700005</v>
      </c>
      <c r="DC66">
        <v>490</v>
      </c>
      <c r="DD66">
        <v>43</v>
      </c>
      <c r="DE66">
        <v>147.73469387759999</v>
      </c>
      <c r="DF66">
        <v>130.09302325580001</v>
      </c>
      <c r="DH66" t="s">
        <v>394</v>
      </c>
      <c r="DI66" t="s">
        <v>902</v>
      </c>
      <c r="DJ66" t="s">
        <v>908</v>
      </c>
      <c r="DK66">
        <v>326</v>
      </c>
      <c r="DL66">
        <v>41</v>
      </c>
      <c r="DM66">
        <v>77.168711656400006</v>
      </c>
      <c r="DN66">
        <v>702</v>
      </c>
      <c r="DO66">
        <v>59</v>
      </c>
      <c r="DP66">
        <v>132.94871794869999</v>
      </c>
      <c r="DQ66">
        <v>137.79661016950001</v>
      </c>
    </row>
    <row r="67" spans="62:121" x14ac:dyDescent="0.25">
      <c r="BJ67" t="s">
        <v>551</v>
      </c>
      <c r="BK67" t="s">
        <v>390</v>
      </c>
      <c r="BL67">
        <v>21673</v>
      </c>
      <c r="BM67">
        <v>7183</v>
      </c>
      <c r="BN67">
        <v>121.89844506990001</v>
      </c>
      <c r="BO67">
        <v>75149</v>
      </c>
      <c r="BP67">
        <v>7624</v>
      </c>
      <c r="BQ67">
        <v>209.77255851710001</v>
      </c>
      <c r="BR67">
        <v>173.7856768101</v>
      </c>
      <c r="BS67">
        <v>19660</v>
      </c>
      <c r="BT67">
        <v>5417</v>
      </c>
      <c r="BU67">
        <v>109.3241098678</v>
      </c>
      <c r="BV67">
        <v>60881</v>
      </c>
      <c r="BW67">
        <v>6634</v>
      </c>
      <c r="BX67">
        <v>206.1989454838</v>
      </c>
      <c r="BY67">
        <v>161.50798914680001</v>
      </c>
      <c r="CA67" t="s">
        <v>390</v>
      </c>
      <c r="CB67" t="s">
        <v>925</v>
      </c>
      <c r="CD67">
        <v>72126</v>
      </c>
      <c r="CE67">
        <v>20537</v>
      </c>
      <c r="CF67">
        <v>109.2423536589</v>
      </c>
      <c r="CG67">
        <v>248231</v>
      </c>
      <c r="CH67">
        <v>22360</v>
      </c>
      <c r="CI67">
        <v>187.2823458794</v>
      </c>
      <c r="CJ67">
        <v>163.17249552769999</v>
      </c>
      <c r="CL67" t="s">
        <v>390</v>
      </c>
      <c r="CM67" t="s">
        <v>910</v>
      </c>
      <c r="CO67">
        <v>3893</v>
      </c>
      <c r="CP67">
        <v>452</v>
      </c>
      <c r="CQ67">
        <v>65.034934497799995</v>
      </c>
      <c r="CR67">
        <v>31729</v>
      </c>
      <c r="CS67">
        <v>2439</v>
      </c>
      <c r="CT67">
        <v>66.857638122899999</v>
      </c>
      <c r="CU67">
        <v>68.4866748667</v>
      </c>
      <c r="CW67" t="s">
        <v>390</v>
      </c>
      <c r="CX67" t="s">
        <v>918</v>
      </c>
      <c r="CZ67">
        <v>1740</v>
      </c>
      <c r="DA67">
        <v>251</v>
      </c>
      <c r="DB67">
        <v>76.712643678199996</v>
      </c>
      <c r="DC67">
        <v>4671</v>
      </c>
      <c r="DD67">
        <v>406</v>
      </c>
      <c r="DE67">
        <v>145.72789552559999</v>
      </c>
      <c r="DF67">
        <v>143.78571428570001</v>
      </c>
      <c r="DH67" t="s">
        <v>390</v>
      </c>
      <c r="DI67" t="s">
        <v>902</v>
      </c>
      <c r="DK67">
        <v>2069</v>
      </c>
      <c r="DL67">
        <v>263</v>
      </c>
      <c r="DM67">
        <v>77.864185596900001</v>
      </c>
      <c r="DN67">
        <v>4939</v>
      </c>
      <c r="DO67">
        <v>402</v>
      </c>
      <c r="DP67">
        <v>141.40676250249999</v>
      </c>
      <c r="DQ67">
        <v>140.2985074627</v>
      </c>
    </row>
    <row r="68" spans="62:121" x14ac:dyDescent="0.25">
      <c r="BJ68" t="s">
        <v>317</v>
      </c>
      <c r="BK68" t="s">
        <v>705</v>
      </c>
      <c r="BL68">
        <v>1741</v>
      </c>
      <c r="BM68">
        <v>190</v>
      </c>
      <c r="BN68">
        <v>68.791499138399999</v>
      </c>
      <c r="BO68">
        <v>2363</v>
      </c>
      <c r="BP68">
        <v>287</v>
      </c>
      <c r="BQ68">
        <v>143.64959796869999</v>
      </c>
      <c r="BR68">
        <v>127.4912891986</v>
      </c>
      <c r="BS68">
        <v>497</v>
      </c>
      <c r="BT68">
        <v>84</v>
      </c>
      <c r="BU68">
        <v>81.084507042300004</v>
      </c>
      <c r="BV68">
        <v>1897</v>
      </c>
      <c r="BW68">
        <v>141</v>
      </c>
      <c r="BX68">
        <v>144.79072219290001</v>
      </c>
      <c r="BY68">
        <v>110.1063829787</v>
      </c>
      <c r="CA68" t="s">
        <v>708</v>
      </c>
      <c r="CD68">
        <v>356765</v>
      </c>
      <c r="CE68">
        <v>91793</v>
      </c>
      <c r="CF68">
        <v>102.84925371040001</v>
      </c>
      <c r="CG68">
        <v>1274478</v>
      </c>
      <c r="CH68">
        <v>114200</v>
      </c>
      <c r="CI68">
        <v>171.48496325549999</v>
      </c>
      <c r="CJ68">
        <v>149.13939579679999</v>
      </c>
      <c r="CL68" t="s">
        <v>708</v>
      </c>
      <c r="CO68">
        <v>356765</v>
      </c>
      <c r="CP68">
        <v>91793</v>
      </c>
      <c r="CQ68">
        <v>102.84925371040001</v>
      </c>
      <c r="CR68">
        <v>1274478</v>
      </c>
      <c r="CS68">
        <v>114200</v>
      </c>
      <c r="CT68">
        <v>171.48496325549999</v>
      </c>
      <c r="CU68">
        <v>149.13939579679999</v>
      </c>
      <c r="CW68" t="s">
        <v>708</v>
      </c>
      <c r="CZ68">
        <v>356765</v>
      </c>
      <c r="DA68">
        <v>91793</v>
      </c>
      <c r="DB68">
        <v>102.84925371040001</v>
      </c>
      <c r="DC68">
        <v>1274478</v>
      </c>
      <c r="DD68">
        <v>114200</v>
      </c>
      <c r="DE68">
        <v>171.48496325549999</v>
      </c>
      <c r="DF68">
        <v>149.13939579679999</v>
      </c>
      <c r="DH68" t="s">
        <v>708</v>
      </c>
      <c r="DK68">
        <v>356765</v>
      </c>
      <c r="DL68">
        <v>91793</v>
      </c>
      <c r="DM68">
        <v>102.84925371040001</v>
      </c>
      <c r="DN68">
        <v>1274478</v>
      </c>
      <c r="DO68">
        <v>114200</v>
      </c>
      <c r="DP68">
        <v>171.48496325549999</v>
      </c>
      <c r="DQ68">
        <v>149.13939579679999</v>
      </c>
    </row>
    <row r="69" spans="62:121" x14ac:dyDescent="0.25">
      <c r="BJ69" t="s">
        <v>219</v>
      </c>
      <c r="BK69" t="s">
        <v>705</v>
      </c>
      <c r="BL69">
        <v>3015</v>
      </c>
      <c r="BM69">
        <v>224</v>
      </c>
      <c r="BN69">
        <v>68.476948590399999</v>
      </c>
      <c r="BO69">
        <v>12137</v>
      </c>
      <c r="BP69">
        <v>891</v>
      </c>
      <c r="BQ69">
        <v>167.4136112713</v>
      </c>
      <c r="BR69">
        <v>129.1436588103</v>
      </c>
      <c r="BS69">
        <v>3300</v>
      </c>
      <c r="BT69">
        <v>226</v>
      </c>
      <c r="BU69">
        <v>66.170303030300005</v>
      </c>
      <c r="BV69">
        <v>12142</v>
      </c>
      <c r="BW69">
        <v>897</v>
      </c>
      <c r="BX69">
        <v>167.60706638120001</v>
      </c>
      <c r="BY69">
        <v>129.64437012260001</v>
      </c>
    </row>
    <row r="70" spans="62:121" x14ac:dyDescent="0.25">
      <c r="BJ70" t="s">
        <v>705</v>
      </c>
      <c r="BK70" t="s">
        <v>705</v>
      </c>
      <c r="BL70">
        <v>8747</v>
      </c>
      <c r="BM70">
        <v>895</v>
      </c>
      <c r="BN70">
        <v>72.010746541700001</v>
      </c>
      <c r="BO70">
        <v>23455</v>
      </c>
      <c r="BP70">
        <v>1812</v>
      </c>
      <c r="BQ70">
        <v>150.97437646559999</v>
      </c>
      <c r="BR70">
        <v>134.50055187640001</v>
      </c>
      <c r="BS70">
        <v>8747</v>
      </c>
      <c r="BT70">
        <v>895</v>
      </c>
      <c r="BU70">
        <v>72.010746541700001</v>
      </c>
      <c r="BV70">
        <v>23455</v>
      </c>
      <c r="BW70">
        <v>1812</v>
      </c>
      <c r="BX70">
        <v>150.97437646559999</v>
      </c>
      <c r="BY70">
        <v>134.50055187640001</v>
      </c>
    </row>
    <row r="71" spans="62:121" x14ac:dyDescent="0.25">
      <c r="BJ71" t="s">
        <v>221</v>
      </c>
      <c r="BK71" t="s">
        <v>705</v>
      </c>
      <c r="BL71">
        <v>3991</v>
      </c>
      <c r="BM71">
        <v>481</v>
      </c>
      <c r="BN71">
        <v>76.0846905537</v>
      </c>
      <c r="BO71">
        <v>8955</v>
      </c>
      <c r="BP71">
        <v>634</v>
      </c>
      <c r="BQ71">
        <v>130.62657733110001</v>
      </c>
      <c r="BR71">
        <v>145.20189274449999</v>
      </c>
      <c r="BS71">
        <v>4950</v>
      </c>
      <c r="BT71">
        <v>585</v>
      </c>
      <c r="BU71">
        <v>74.993333333300001</v>
      </c>
      <c r="BV71">
        <v>9416</v>
      </c>
      <c r="BW71">
        <v>774</v>
      </c>
      <c r="BX71">
        <v>130.7721962617</v>
      </c>
      <c r="BY71">
        <v>144.57235142120001</v>
      </c>
    </row>
    <row r="72" spans="62:121" x14ac:dyDescent="0.25">
      <c r="BJ72" t="s">
        <v>217</v>
      </c>
      <c r="BK72" t="s">
        <v>706</v>
      </c>
      <c r="BL72">
        <v>5040</v>
      </c>
      <c r="BM72">
        <v>476</v>
      </c>
      <c r="BN72">
        <v>56.577380952399999</v>
      </c>
      <c r="BO72">
        <v>39247</v>
      </c>
      <c r="BP72">
        <v>2821</v>
      </c>
      <c r="BQ72">
        <v>54.753204066599999</v>
      </c>
      <c r="BR72">
        <v>55.874158100000002</v>
      </c>
      <c r="BS72">
        <v>5048</v>
      </c>
      <c r="BT72">
        <v>479</v>
      </c>
      <c r="BU72">
        <v>56.707606973099999</v>
      </c>
      <c r="BV72">
        <v>39339</v>
      </c>
      <c r="BW72">
        <v>2828</v>
      </c>
      <c r="BX72">
        <v>55.064211088199997</v>
      </c>
      <c r="BY72">
        <v>56.0675388967</v>
      </c>
    </row>
    <row r="73" spans="62:121" x14ac:dyDescent="0.25">
      <c r="BJ73" t="s">
        <v>232</v>
      </c>
      <c r="BK73" t="s">
        <v>706</v>
      </c>
      <c r="BL73">
        <v>514</v>
      </c>
      <c r="BM73">
        <v>235</v>
      </c>
      <c r="BN73">
        <v>165.6459143969</v>
      </c>
      <c r="BO73">
        <v>5167</v>
      </c>
      <c r="BP73">
        <v>371</v>
      </c>
      <c r="BQ73">
        <v>67.883297851799995</v>
      </c>
      <c r="BR73">
        <v>66.444743935299996</v>
      </c>
      <c r="BS73">
        <v>453</v>
      </c>
      <c r="BT73">
        <v>217</v>
      </c>
      <c r="BU73">
        <v>173.34878587200001</v>
      </c>
      <c r="BV73">
        <v>4824</v>
      </c>
      <c r="BW73">
        <v>331</v>
      </c>
      <c r="BX73">
        <v>60.130389718099998</v>
      </c>
      <c r="BY73">
        <v>59.208459214500003</v>
      </c>
    </row>
    <row r="74" spans="62:121" x14ac:dyDescent="0.25">
      <c r="BJ74" t="s">
        <v>218</v>
      </c>
      <c r="BK74" t="s">
        <v>706</v>
      </c>
      <c r="BL74">
        <v>6027</v>
      </c>
      <c r="BM74">
        <v>619</v>
      </c>
      <c r="BN74">
        <v>64.457275593199995</v>
      </c>
      <c r="BO74">
        <v>44429</v>
      </c>
      <c r="BP74">
        <v>3580</v>
      </c>
      <c r="BQ74">
        <v>72.382160300699994</v>
      </c>
      <c r="BR74">
        <v>75.460614525099999</v>
      </c>
      <c r="BS74">
        <v>6060</v>
      </c>
      <c r="BT74">
        <v>632</v>
      </c>
      <c r="BU74">
        <v>64.780363036300002</v>
      </c>
      <c r="BV74">
        <v>44542</v>
      </c>
      <c r="BW74">
        <v>3597</v>
      </c>
      <c r="BX74">
        <v>72.678573032200006</v>
      </c>
      <c r="BY74">
        <v>75.686683347200002</v>
      </c>
    </row>
    <row r="75" spans="62:121" x14ac:dyDescent="0.25">
      <c r="BJ75" t="s">
        <v>220</v>
      </c>
      <c r="BK75" t="s">
        <v>706</v>
      </c>
      <c r="BL75">
        <v>7961</v>
      </c>
      <c r="BM75">
        <v>510</v>
      </c>
      <c r="BN75">
        <v>51.885190302700003</v>
      </c>
      <c r="BO75">
        <v>51071</v>
      </c>
      <c r="BP75">
        <v>4644</v>
      </c>
      <c r="BQ75">
        <v>64.723443833100006</v>
      </c>
      <c r="BR75">
        <v>65.503660637400003</v>
      </c>
      <c r="BS75">
        <v>7981</v>
      </c>
      <c r="BT75">
        <v>512</v>
      </c>
      <c r="BU75">
        <v>51.9330910913</v>
      </c>
      <c r="BV75">
        <v>51210</v>
      </c>
      <c r="BW75">
        <v>4660</v>
      </c>
      <c r="BX75">
        <v>64.986369849599996</v>
      </c>
      <c r="BY75">
        <v>65.712017167400006</v>
      </c>
    </row>
    <row r="76" spans="62:121" x14ac:dyDescent="0.25">
      <c r="BJ76" t="s">
        <v>706</v>
      </c>
      <c r="BK76" t="s">
        <v>706</v>
      </c>
      <c r="BL76">
        <v>19542</v>
      </c>
      <c r="BM76">
        <v>1840</v>
      </c>
      <c r="BN76">
        <v>59.964896121199999</v>
      </c>
      <c r="BO76">
        <v>139914</v>
      </c>
      <c r="BP76">
        <v>11416</v>
      </c>
      <c r="BQ76">
        <v>64.475392026500003</v>
      </c>
      <c r="BR76">
        <v>66.277154870399997</v>
      </c>
      <c r="BS76">
        <v>19542</v>
      </c>
      <c r="BT76">
        <v>1840</v>
      </c>
      <c r="BU76">
        <v>59.964896121199999</v>
      </c>
      <c r="BV76">
        <v>139915</v>
      </c>
      <c r="BW76">
        <v>11416</v>
      </c>
      <c r="BX76">
        <v>64.478011649899997</v>
      </c>
      <c r="BY76">
        <v>66.277154870399997</v>
      </c>
    </row>
    <row r="77" spans="62:121" x14ac:dyDescent="0.25">
      <c r="BJ77" t="s">
        <v>316</v>
      </c>
      <c r="BK77" t="s">
        <v>707</v>
      </c>
      <c r="BL77">
        <v>2646</v>
      </c>
      <c r="BM77">
        <v>276</v>
      </c>
      <c r="BN77">
        <v>67.989040060500002</v>
      </c>
      <c r="BO77">
        <v>3728</v>
      </c>
      <c r="BP77">
        <v>527</v>
      </c>
      <c r="BQ77">
        <v>123.4884656652</v>
      </c>
      <c r="BR77">
        <v>119.18975332070001</v>
      </c>
      <c r="BS77">
        <v>517</v>
      </c>
      <c r="BT77">
        <v>42</v>
      </c>
      <c r="BU77">
        <v>57.344294003900004</v>
      </c>
      <c r="BV77">
        <v>613</v>
      </c>
      <c r="BW77">
        <v>48</v>
      </c>
      <c r="BX77">
        <v>189.9200652529</v>
      </c>
      <c r="BY77">
        <v>148.6458333333</v>
      </c>
    </row>
    <row r="78" spans="62:121" x14ac:dyDescent="0.25">
      <c r="BJ78" t="s">
        <v>968</v>
      </c>
      <c r="BK78" t="s">
        <v>707</v>
      </c>
      <c r="BL78">
        <v>2658</v>
      </c>
      <c r="BM78">
        <v>288</v>
      </c>
      <c r="BN78">
        <v>65.214446952599999</v>
      </c>
      <c r="BO78">
        <v>9822</v>
      </c>
      <c r="BP78">
        <v>752</v>
      </c>
      <c r="BQ78">
        <v>118.3565465282</v>
      </c>
      <c r="BR78">
        <v>103.92553191490001</v>
      </c>
      <c r="BS78">
        <v>3529</v>
      </c>
      <c r="BT78">
        <v>382</v>
      </c>
      <c r="BU78">
        <v>65.331255313100002</v>
      </c>
      <c r="BV78">
        <v>12256</v>
      </c>
      <c r="BW78">
        <v>1030</v>
      </c>
      <c r="BX78">
        <v>115.4565110966</v>
      </c>
      <c r="BY78">
        <v>102.2747572816</v>
      </c>
    </row>
    <row r="79" spans="62:121" x14ac:dyDescent="0.25">
      <c r="BJ79" t="s">
        <v>707</v>
      </c>
      <c r="BK79" t="s">
        <v>707</v>
      </c>
      <c r="BL79">
        <v>8040</v>
      </c>
      <c r="BM79">
        <v>996</v>
      </c>
      <c r="BN79">
        <v>71.286940298499999</v>
      </c>
      <c r="BO79">
        <v>23579</v>
      </c>
      <c r="BP79">
        <v>1867</v>
      </c>
      <c r="BQ79">
        <v>133.12256669070001</v>
      </c>
      <c r="BR79">
        <v>125.6298875201</v>
      </c>
      <c r="BS79">
        <v>8040</v>
      </c>
      <c r="BT79">
        <v>996</v>
      </c>
      <c r="BU79">
        <v>71.286940298499999</v>
      </c>
      <c r="BV79">
        <v>23579</v>
      </c>
      <c r="BW79">
        <v>1867</v>
      </c>
      <c r="BX79">
        <v>133.12256669070001</v>
      </c>
      <c r="BY79">
        <v>125.6298875201</v>
      </c>
    </row>
    <row r="80" spans="62:121" x14ac:dyDescent="0.25">
      <c r="BJ80" t="s">
        <v>969</v>
      </c>
      <c r="BK80" t="s">
        <v>707</v>
      </c>
      <c r="BL80">
        <v>2736</v>
      </c>
      <c r="BM80">
        <v>432</v>
      </c>
      <c r="BN80">
        <v>80.375730994199998</v>
      </c>
      <c r="BO80">
        <v>10029</v>
      </c>
      <c r="BP80">
        <v>588</v>
      </c>
      <c r="BQ80">
        <v>151.16502143779999</v>
      </c>
      <c r="BR80">
        <v>159.15986394559999</v>
      </c>
      <c r="BS80">
        <v>3994</v>
      </c>
      <c r="BT80">
        <v>572</v>
      </c>
      <c r="BU80">
        <v>78.354031046599999</v>
      </c>
      <c r="BV80">
        <v>10710</v>
      </c>
      <c r="BW80">
        <v>789</v>
      </c>
      <c r="BX80">
        <v>150.08786181139999</v>
      </c>
      <c r="BY80">
        <v>154.71863117870001</v>
      </c>
    </row>
    <row r="81" spans="62:77" x14ac:dyDescent="0.25">
      <c r="BJ81" t="s">
        <v>708</v>
      </c>
      <c r="BL81">
        <v>356765</v>
      </c>
      <c r="BM81">
        <v>91793</v>
      </c>
      <c r="BN81" s="154">
        <v>102.84925371040001</v>
      </c>
      <c r="BO81">
        <v>1274478</v>
      </c>
      <c r="BP81">
        <v>114200</v>
      </c>
      <c r="BQ81">
        <v>171.48496325549999</v>
      </c>
      <c r="BR81">
        <v>149.13939579679999</v>
      </c>
      <c r="BS81">
        <v>356765</v>
      </c>
      <c r="BT81">
        <v>91793</v>
      </c>
      <c r="BU81">
        <v>102.84925371040001</v>
      </c>
      <c r="BV81">
        <v>1274478</v>
      </c>
      <c r="BW81">
        <v>114200</v>
      </c>
      <c r="BX81">
        <v>171.48496325549999</v>
      </c>
      <c r="BY81">
        <v>149.13939579679999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356765</CP_Inventory>
    <Fiscal_Year xmlns="c9744be7-b815-40bc-84fa-afc9c406d9bc">2015</Fiscal_Year>
    <CP_Backlog xmlns="c9744be7-b815-40bc-84fa-afc9c406d9bc">91793</CP_Backlog>
    <Creation_date xmlns="c9744be7-b815-40bc-84fa-afc9c406d9bc">2015-08-31T00:00:00-04:00</Creation_date>
    <Data_date xmlns="c9744be7-b815-40bc-84fa-afc9c406d9bc">2015-08-29T00:00:00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9744be7-b815-40bc-84fa-afc9c406d9bc"/>
    <ds:schemaRef ds:uri="fef9c9dc-374b-4157-9e06-089f148416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31,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Marr, Jason, VBAVACO</cp:lastModifiedBy>
  <cp:lastPrinted>2015-06-19T18:10:05Z</cp:lastPrinted>
  <dcterms:created xsi:type="dcterms:W3CDTF">2009-08-25T18:46:26Z</dcterms:created>
  <dcterms:modified xsi:type="dcterms:W3CDTF">2015-08-31T19:07:53Z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