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comments1.xml" ContentType="application/vnd.openxmlformats-officedocument.spreadsheetml.comments+xml"/>
  <Override PartName="/xl/drawings/drawing3.xml" ContentType="application/vnd.openxmlformats-officedocument.drawing+xml"/>
  <Override PartName="/xl/activeX/activeX2.xml" ContentType="application/vnd.ms-office.activeX+xml"/>
  <Override PartName="/xl/activeX/activeX2.bin" ContentType="application/vnd.ms-office.activeX"/>
  <Override PartName="/xl/comments2.xml" ContentType="application/vnd.openxmlformats-officedocument.spreadsheetml.comments+xml"/>
  <Override PartName="/xl/drawings/drawing4.xml" ContentType="application/vnd.openxmlformats-officedocument.drawing+xml"/>
  <Override PartName="/xl/activeX/activeX3.xml" ContentType="application/vnd.ms-office.activeX+xml"/>
  <Override PartName="/xl/activeX/activeX3.bin" ContentType="application/vnd.ms-office.activeX"/>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queryTables/queryTable3.xml" ContentType="application/vnd.openxmlformats-officedocument.spreadsheetml.queryTable+xml"/>
  <Override PartName="/xl/tables/table4.xml" ContentType="application/vnd.openxmlformats-officedocument.spreadsheetml.table+xml"/>
  <Override PartName="/xl/queryTables/queryTable4.xml" ContentType="application/vnd.openxmlformats-officedocument.spreadsheetml.queryTable+xml"/>
  <Override PartName="/xl/tables/table5.xml" ContentType="application/vnd.openxmlformats-officedocument.spreadsheetml.table+xml"/>
  <Override PartName="/xl/queryTables/queryTable5.xml" ContentType="application/vnd.openxmlformats-officedocument.spreadsheetml.queryTable+xml"/>
  <Override PartName="/xl/tables/table6.xml" ContentType="application/vnd.openxmlformats-officedocument.spreadsheetml.table+xml"/>
  <Override PartName="/xl/queryTables/queryTable6.xml" ContentType="application/vnd.openxmlformats-officedocument.spreadsheetml.queryTable+xml"/>
  <Override PartName="/xl/tables/table7.xml" ContentType="application/vnd.openxmlformats-officedocument.spreadsheetml.table+xml"/>
  <Override PartName="/xl/queryTables/queryTable7.xml" ContentType="application/vnd.openxmlformats-officedocument.spreadsheetml.queryTable+xml"/>
  <Override PartName="/xl/tables/table8.xml" ContentType="application/vnd.openxmlformats-officedocument.spreadsheetml.table+xml"/>
  <Override PartName="/xl/queryTables/queryTable8.xml" ContentType="application/vnd.openxmlformats-officedocument.spreadsheetml.queryTable+xml"/>
  <Override PartName="/xl/tables/table9.xml" ContentType="application/vnd.openxmlformats-officedocument.spreadsheetml.table+xml"/>
  <Override PartName="/xl/queryTables/queryTable9.xml" ContentType="application/vnd.openxmlformats-officedocument.spreadsheetml.queryTable+xml"/>
  <Override PartName="/xl/tables/table10.xml" ContentType="application/vnd.openxmlformats-officedocument.spreadsheetml.table+xml"/>
  <Override PartName="/xl/queryTables/queryTable10.xml" ContentType="application/vnd.openxmlformats-officedocument.spreadsheetml.queryTable+xml"/>
  <Override PartName="/xl/tables/table11.xml" ContentType="application/vnd.openxmlformats-officedocument.spreadsheetml.table+xml"/>
  <Override PartName="/xl/queryTables/queryTable11.xml" ContentType="application/vnd.openxmlformats-officedocument.spreadsheetml.queryTable+xml"/>
  <Override PartName="/xl/tables/table12.xml" ContentType="application/vnd.openxmlformats-officedocument.spreadsheetml.table+xml"/>
  <Override PartName="/xl/queryTables/queryTable12.xml" ContentType="application/vnd.openxmlformats-officedocument.spreadsheetml.queryTable+xml"/>
  <Override PartName="/xl/tables/table13.xml" ContentType="application/vnd.openxmlformats-officedocument.spreadsheetml.table+xml"/>
  <Override PartName="/xl/queryTables/queryTable13.xml" ContentType="application/vnd.openxmlformats-officedocument.spreadsheetml.queryTable+xml"/>
  <Override PartName="/xl/tables/table14.xml" ContentType="application/vnd.openxmlformats-officedocument.spreadsheetml.table+xml"/>
  <Override PartName="/xl/queryTables/queryTable14.xml" ContentType="application/vnd.openxmlformats-officedocument.spreadsheetml.queryTable+xml"/>
  <Override PartName="/xl/tables/table15.xml" ContentType="application/vnd.openxmlformats-officedocument.spreadsheetml.table+xml"/>
  <Override PartName="/xl/queryTables/queryTable15.xml" ContentType="application/vnd.openxmlformats-officedocument.spreadsheetml.queryTable+xml"/>
  <Override PartName="/xl/tables/table16.xml" ContentType="application/vnd.openxmlformats-officedocument.spreadsheetml.table+xml"/>
  <Override PartName="/xl/queryTables/queryTable16.xml" ContentType="application/vnd.openxmlformats-officedocument.spreadsheetml.queryTable+xml"/>
  <Override PartName="/xl/tables/table17.xml" ContentType="application/vnd.openxmlformats-officedocument.spreadsheetml.table+xml"/>
  <Override PartName="/xl/queryTables/queryTable17.xml" ContentType="application/vnd.openxmlformats-officedocument.spreadsheetml.queryTable+xml"/>
  <Override PartName="/xl/tables/table18.xml" ContentType="application/vnd.openxmlformats-officedocument.spreadsheetml.table+xml"/>
  <Override PartName="/xl/queryTables/queryTable18.xml" ContentType="application/vnd.openxmlformats-officedocument.spreadsheetml.queryTable+xml"/>
  <Override PartName="/xl/tables/table19.xml" ContentType="application/vnd.openxmlformats-officedocument.spreadsheetml.table+xml"/>
  <Override PartName="/xl/queryTables/queryTable19.xml" ContentType="application/vnd.openxmlformats-officedocument.spreadsheetml.queryTable+xml"/>
  <Override PartName="/xl/tables/table20.xml" ContentType="application/vnd.openxmlformats-officedocument.spreadsheetml.table+xml"/>
  <Override PartName="/xl/queryTables/queryTable20.xml" ContentType="application/vnd.openxmlformats-officedocument.spreadsheetml.query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queryTables/queryTable2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BD20" lockStructure="1"/>
  <bookViews>
    <workbookView xWindow="6150" yWindow="-75" windowWidth="15330" windowHeight="9030" tabRatio="898"/>
  </bookViews>
  <sheets>
    <sheet name="Finding Data" sheetId="47" r:id="rId1"/>
    <sheet name="Transformation" sheetId="7" r:id="rId2"/>
    <sheet name="Rating Bundle Measures - SOJ" sheetId="46" r:id="rId3"/>
    <sheet name="Rating Bundle Measures - SOO" sheetId="73" r:id="rId4"/>
    <sheet name="Rating Bundle Measures - STATE" sheetId="72" r:id="rId5"/>
    <sheet name="Traditional Aggregate (TA)" sheetId="35" r:id="rId6"/>
    <sheet name="TA-Regional Office" sheetId="77" r:id="rId7"/>
    <sheet name="TA-State" sheetId="60" state="veryHidden" r:id="rId8"/>
    <sheet name="CP DATA" sheetId="59" state="veryHidden" r:id="rId9"/>
    <sheet name="ACCURACY DATA" sheetId="74" state="veryHidden" r:id="rId10"/>
    <sheet name="APPEALS DATA" sheetId="62" state="veryHidden" r:id="rId11"/>
    <sheet name="GEO DIM" sheetId="66" state="veryHidden" r:id="rId12"/>
    <sheet name="Z_ST_DIM" sheetId="68" state="veryHidden" r:id="rId13"/>
    <sheet name="SELECTORS" sheetId="69" state="veryHidden" r:id="rId14"/>
  </sheets>
  <definedNames>
    <definedName name="_xlnm._FilterDatabase" localSheetId="11" hidden="1">'GEO DIM'!$A$1:$A$197</definedName>
    <definedName name="Districts">DISTRICT_RO[District]</definedName>
    <definedName name="MMWR_CONNECTOR" localSheetId="9" hidden="1">'ACCURACY DATA'!$B$2:$P$71</definedName>
    <definedName name="MMWR_CONNECTOR" localSheetId="10" hidden="1">'APPEALS DATA'!$V$2:$AI$63</definedName>
    <definedName name="MMWR_CONNECTOR" localSheetId="8" hidden="1">'CP DATA'!$B$2:$D$53</definedName>
    <definedName name="MMWR_CONNECTOR" localSheetId="11" hidden="1">'GEO DIM'!$A$1:$R$106</definedName>
    <definedName name="MMWR_CONNECTOR" localSheetId="13" hidden="1">SELECTORS!$B$19:$D$20</definedName>
    <definedName name="MMWR_CONNECTOR" localSheetId="12" hidden="1">Z_ST_DIM!$A$1:$E$61</definedName>
    <definedName name="MMWR_CONNECTOR_1" localSheetId="8" hidden="1">'CP DATA'!$F$2:$R$61</definedName>
    <definedName name="MMWR_CONNECTOR_10" localSheetId="8" hidden="1">'CP DATA'!$CA$2:$CJ$68</definedName>
    <definedName name="MMWR_CONNECTOR_11" localSheetId="8" hidden="1">'CP DATA'!$CL$2:$CU$68</definedName>
    <definedName name="MMWR_CONNECTOR_12" localSheetId="8" hidden="1">'CP DATA'!$CW$2:$DF$68</definedName>
    <definedName name="MMWR_CONNECTOR_13" localSheetId="8" hidden="1">'CP DATA'!$DH$2:$DQ$68</definedName>
    <definedName name="MMWR_CONNECTOR_2" localSheetId="10" hidden="1">'APPEALS DATA'!$AL$2:$AY$63</definedName>
    <definedName name="MMWR_CONNECTOR_2" localSheetId="8" hidden="1">'CP DATA'!$T$2:$AF$7</definedName>
    <definedName name="MMWR_CONNECTOR_3" localSheetId="10" hidden="1">'APPEALS DATA'!$F$2:$S$72</definedName>
    <definedName name="MMWR_CONNECTOR_3" localSheetId="8" hidden="1">'CP DATA'!$AH$2:$AT$55</definedName>
    <definedName name="MMWR_CONNECTOR_4" localSheetId="10" hidden="1">'APPEALS DATA'!$B$2:$D$10</definedName>
    <definedName name="MMWR_CONNECTOR_4" localSheetId="8" hidden="1">'CP DATA'!$AV$2:$BH$55</definedName>
    <definedName name="MMWR_CONNECTOR_5" localSheetId="8" hidden="1">'CP DATA'!$T$12:$AF$19</definedName>
    <definedName name="MMWR_CONNECTOR_6" localSheetId="8" hidden="1">'CP DATA'!$T$24:$AF$31</definedName>
    <definedName name="MMWR_CONNECTOR_7" localSheetId="8" hidden="1">'CP DATA'!$T$36:$AF$42</definedName>
    <definedName name="MMWR_CONNECTOR_8" localSheetId="8" hidden="1">'CP DATA'!$BJ$2:$BY$81</definedName>
    <definedName name="MMWR_CONNECTOR_9" localSheetId="8" hidden="1">'CP DATA'!#REF!</definedName>
    <definedName name="_xlnm.Print_Area" localSheetId="0">'Finding Data'!$A$1:$P$40</definedName>
    <definedName name="_xlnm.Print_Area" localSheetId="2">'Rating Bundle Measures - SOJ'!$A$1:$Y$49</definedName>
    <definedName name="_xlnm.Print_Area" localSheetId="3">'Rating Bundle Measures - SOO'!$A$1:$R$48</definedName>
    <definedName name="_xlnm.Print_Area" localSheetId="4">'Rating Bundle Measures - STATE'!$A$1:$P$85</definedName>
    <definedName name="_xlnm.Print_Area" localSheetId="5">'Traditional Aggregate (TA)'!$A$1:$V$45</definedName>
    <definedName name="_xlnm.Print_Area" localSheetId="1">Transformation!$A$1:$O$38</definedName>
    <definedName name="_xlnm.Print_Titles" localSheetId="2">'Rating Bundle Measures - SOJ'!$1:$3</definedName>
    <definedName name="_xlnm.Print_Titles" localSheetId="3">'Rating Bundle Measures - SOO'!$1:$3</definedName>
    <definedName name="_xlnm.Print_Titles" localSheetId="4">'Rating Bundle Measures - STATE'!$1:$3</definedName>
    <definedName name="_xlnm.Print_Titles" localSheetId="6">'TA-Regional Office'!$1:$2</definedName>
    <definedName name="_xlnm.Print_Titles" localSheetId="7">'TA-State'!$2:$2</definedName>
    <definedName name="_xlnm.Print_Titles" localSheetId="5">'Traditional Aggregate (TA)'!$1:$4</definedName>
    <definedName name="RB_SOJ">'Rating Bundle Measures - SOJ'!$A$1</definedName>
    <definedName name="RB_SOO">'Rating Bundle Measures - SOO'!$A$1</definedName>
    <definedName name="RB_STATE">'Rating Bundle Measures - STATE'!$A$1</definedName>
    <definedName name="TableName">"Dummy"</definedName>
    <definedName name="TRAD_AGG_NAT">'Traditional Aggregate (TA)'!$A$1</definedName>
    <definedName name="TRAD_AGG_RO">'TA-Regional Office'!$A$1</definedName>
    <definedName name="TRAD_AGG_STATE">'TA-State'!$A$1</definedName>
  </definedNames>
  <calcPr calcId="145621"/>
</workbook>
</file>

<file path=xl/calcChain.xml><?xml version="1.0" encoding="utf-8"?>
<calcChain xmlns="http://schemas.openxmlformats.org/spreadsheetml/2006/main">
  <c r="O16" i="46" l="1"/>
  <c r="N16" i="46"/>
  <c r="M16" i="46"/>
  <c r="L16" i="46"/>
  <c r="K16" i="46"/>
  <c r="J16" i="46"/>
  <c r="O34" i="46"/>
  <c r="N34" i="46"/>
  <c r="M34" i="46"/>
  <c r="L34" i="46"/>
  <c r="K34" i="46"/>
  <c r="I32" i="72" l="1"/>
  <c r="H32" i="72"/>
  <c r="G32" i="72"/>
  <c r="F32" i="72"/>
  <c r="D32" i="72"/>
  <c r="C32" i="72"/>
  <c r="E32" i="72" s="1"/>
  <c r="I50" i="72"/>
  <c r="H50" i="72"/>
  <c r="G50" i="72"/>
  <c r="F50" i="72"/>
  <c r="D50" i="72"/>
  <c r="C50" i="72"/>
  <c r="E50" i="72" s="1"/>
  <c r="I68" i="72"/>
  <c r="H68" i="72"/>
  <c r="G68" i="72"/>
  <c r="F68" i="72"/>
  <c r="D68" i="72"/>
  <c r="C68" i="72"/>
  <c r="E68" i="72" s="1"/>
  <c r="I12" i="72"/>
  <c r="H12" i="72"/>
  <c r="G12" i="72"/>
  <c r="F12" i="72"/>
  <c r="D12" i="72"/>
  <c r="C12" i="72"/>
  <c r="E12" i="72" s="1"/>
  <c r="I14" i="72"/>
  <c r="H14" i="72"/>
  <c r="G14" i="72"/>
  <c r="F14" i="72"/>
  <c r="D14" i="72"/>
  <c r="C14" i="72"/>
  <c r="E14" i="72" s="1"/>
  <c r="I14" i="73"/>
  <c r="H14" i="73"/>
  <c r="G14" i="73"/>
  <c r="F14" i="73"/>
  <c r="D14" i="73"/>
  <c r="C14" i="73"/>
  <c r="E14" i="73" s="1"/>
  <c r="B69" i="72"/>
  <c r="G69" i="72" s="1"/>
  <c r="B51" i="72"/>
  <c r="F51" i="72" s="1"/>
  <c r="B33" i="72"/>
  <c r="F33" i="72" s="1"/>
  <c r="D69" i="72" l="1"/>
  <c r="F69" i="72"/>
  <c r="G51" i="72"/>
  <c r="D33" i="72"/>
  <c r="I33" i="72"/>
  <c r="H69" i="72"/>
  <c r="C69" i="72"/>
  <c r="E69" i="72" s="1"/>
  <c r="I69" i="72"/>
  <c r="C51" i="72"/>
  <c r="E51" i="72" s="1"/>
  <c r="H51" i="72"/>
  <c r="D51" i="72"/>
  <c r="I51" i="72"/>
  <c r="G33" i="72"/>
  <c r="C33" i="72"/>
  <c r="E33" i="72" s="1"/>
  <c r="H33" i="72"/>
  <c r="C7" i="77"/>
  <c r="S70" i="77" l="1"/>
  <c r="B4" i="7" l="1"/>
  <c r="U12" i="35" l="1"/>
  <c r="F12" i="35"/>
  <c r="S13" i="35"/>
  <c r="B16" i="73" l="1"/>
  <c r="R79" i="77" l="1"/>
  <c r="Q79" i="77"/>
  <c r="O79" i="77"/>
  <c r="N79" i="77"/>
  <c r="L79" i="77"/>
  <c r="K79" i="77"/>
  <c r="I79" i="77"/>
  <c r="H79" i="77"/>
  <c r="F79" i="77"/>
  <c r="E79" i="77"/>
  <c r="D79" i="77"/>
  <c r="C79" i="77"/>
  <c r="S78" i="77"/>
  <c r="R78" i="77"/>
  <c r="Q78" i="77"/>
  <c r="O78" i="77"/>
  <c r="N78" i="77"/>
  <c r="L78" i="77"/>
  <c r="K78" i="77"/>
  <c r="I78" i="77"/>
  <c r="H78" i="77"/>
  <c r="F78" i="77"/>
  <c r="E78" i="77"/>
  <c r="D78" i="77"/>
  <c r="C78" i="77"/>
  <c r="S77" i="77"/>
  <c r="R77" i="77"/>
  <c r="Q77" i="77"/>
  <c r="O77" i="77"/>
  <c r="N77" i="77"/>
  <c r="L77" i="77"/>
  <c r="K77" i="77"/>
  <c r="I77" i="77"/>
  <c r="H77" i="77"/>
  <c r="F77" i="77"/>
  <c r="E77" i="77"/>
  <c r="D77" i="77"/>
  <c r="C77" i="77"/>
  <c r="S76" i="77"/>
  <c r="R76" i="77"/>
  <c r="Q76" i="77"/>
  <c r="O76" i="77"/>
  <c r="N76" i="77"/>
  <c r="L76" i="77"/>
  <c r="K76" i="77"/>
  <c r="I76" i="77"/>
  <c r="H76" i="77"/>
  <c r="F76" i="77"/>
  <c r="E76" i="77"/>
  <c r="D76" i="77"/>
  <c r="C76" i="77"/>
  <c r="S75" i="77"/>
  <c r="R75" i="77"/>
  <c r="Q75" i="77"/>
  <c r="O75" i="77"/>
  <c r="N75" i="77"/>
  <c r="L75" i="77"/>
  <c r="K75" i="77"/>
  <c r="I75" i="77"/>
  <c r="H75" i="77"/>
  <c r="F75" i="77"/>
  <c r="E75" i="77"/>
  <c r="D75" i="77"/>
  <c r="C75" i="77"/>
  <c r="R70" i="77"/>
  <c r="Q70" i="77"/>
  <c r="O70" i="77"/>
  <c r="N70" i="77"/>
  <c r="L70" i="77"/>
  <c r="K70" i="77"/>
  <c r="I70" i="77"/>
  <c r="H70" i="77"/>
  <c r="F70" i="77"/>
  <c r="E70" i="77"/>
  <c r="D70" i="77"/>
  <c r="C70" i="77"/>
  <c r="S69" i="77"/>
  <c r="R69" i="77"/>
  <c r="Q69" i="77"/>
  <c r="O69" i="77"/>
  <c r="N69" i="77"/>
  <c r="L69" i="77"/>
  <c r="K69" i="77"/>
  <c r="I69" i="77"/>
  <c r="H69" i="77"/>
  <c r="F69" i="77"/>
  <c r="E69" i="77"/>
  <c r="D69" i="77"/>
  <c r="C69" i="77"/>
  <c r="S68" i="77"/>
  <c r="R68" i="77"/>
  <c r="Q68" i="77"/>
  <c r="O68" i="77"/>
  <c r="N68" i="77"/>
  <c r="L68" i="77"/>
  <c r="K68" i="77"/>
  <c r="I68" i="77"/>
  <c r="H68" i="77"/>
  <c r="F68" i="77"/>
  <c r="E68" i="77"/>
  <c r="D68" i="77"/>
  <c r="C68" i="77"/>
  <c r="S67" i="77"/>
  <c r="R67" i="77"/>
  <c r="Q67" i="77"/>
  <c r="O67" i="77"/>
  <c r="N67" i="77"/>
  <c r="L67" i="77"/>
  <c r="K67" i="77"/>
  <c r="I67" i="77"/>
  <c r="H67" i="77"/>
  <c r="F67" i="77"/>
  <c r="E67" i="77"/>
  <c r="D67" i="77"/>
  <c r="C67" i="77"/>
  <c r="S66" i="77"/>
  <c r="R66" i="77"/>
  <c r="Q66" i="77"/>
  <c r="O66" i="77"/>
  <c r="N66" i="77"/>
  <c r="L66" i="77"/>
  <c r="K66" i="77"/>
  <c r="I66" i="77"/>
  <c r="H66" i="77"/>
  <c r="F66" i="77"/>
  <c r="E66" i="77"/>
  <c r="D66" i="77"/>
  <c r="C66" i="77"/>
  <c r="S65" i="77"/>
  <c r="R65" i="77"/>
  <c r="Q65" i="77"/>
  <c r="O65" i="77"/>
  <c r="N65" i="77"/>
  <c r="L65" i="77"/>
  <c r="K65" i="77"/>
  <c r="I65" i="77"/>
  <c r="H65" i="77"/>
  <c r="F65" i="77"/>
  <c r="E65" i="77"/>
  <c r="D65" i="77"/>
  <c r="C65" i="77"/>
  <c r="S64" i="77"/>
  <c r="R64" i="77"/>
  <c r="Q64" i="77"/>
  <c r="O64" i="77"/>
  <c r="N64" i="77"/>
  <c r="L64" i="77"/>
  <c r="K64" i="77"/>
  <c r="I64" i="77"/>
  <c r="H64" i="77"/>
  <c r="F64" i="77"/>
  <c r="E64" i="77"/>
  <c r="D64" i="77"/>
  <c r="C64" i="77"/>
  <c r="S63" i="77"/>
  <c r="R63" i="77"/>
  <c r="Q63" i="77"/>
  <c r="O63" i="77"/>
  <c r="N63" i="77"/>
  <c r="L63" i="77"/>
  <c r="K63" i="77"/>
  <c r="I63" i="77"/>
  <c r="H63" i="77"/>
  <c r="F63" i="77"/>
  <c r="E63" i="77"/>
  <c r="D63" i="77"/>
  <c r="C63" i="77"/>
  <c r="S62" i="77"/>
  <c r="R62" i="77"/>
  <c r="Q62" i="77"/>
  <c r="O62" i="77"/>
  <c r="N62" i="77"/>
  <c r="L62" i="77"/>
  <c r="K62" i="77"/>
  <c r="I62" i="77"/>
  <c r="H62" i="77"/>
  <c r="F62" i="77"/>
  <c r="E62" i="77"/>
  <c r="D62" i="77"/>
  <c r="C62" i="77"/>
  <c r="S61" i="77"/>
  <c r="R61" i="77"/>
  <c r="Q61" i="77"/>
  <c r="O61" i="77"/>
  <c r="N61" i="77"/>
  <c r="L61" i="77"/>
  <c r="K61" i="77"/>
  <c r="I61" i="77"/>
  <c r="H61" i="77"/>
  <c r="F61" i="77"/>
  <c r="E61" i="77"/>
  <c r="D61" i="77"/>
  <c r="C61" i="77"/>
  <c r="S60" i="77"/>
  <c r="R60" i="77"/>
  <c r="Q60" i="77"/>
  <c r="O60" i="77"/>
  <c r="N60" i="77"/>
  <c r="L60" i="77"/>
  <c r="K60" i="77"/>
  <c r="I60" i="77"/>
  <c r="H60" i="77"/>
  <c r="F60" i="77"/>
  <c r="E60" i="77"/>
  <c r="D60" i="77"/>
  <c r="C60" i="77"/>
  <c r="S59" i="77"/>
  <c r="R59" i="77"/>
  <c r="Q59" i="77"/>
  <c r="O59" i="77"/>
  <c r="N59" i="77"/>
  <c r="L59" i="77"/>
  <c r="K59" i="77"/>
  <c r="I59" i="77"/>
  <c r="H59" i="77"/>
  <c r="F59" i="77"/>
  <c r="E59" i="77"/>
  <c r="D59" i="77"/>
  <c r="C59" i="77"/>
  <c r="S58" i="77"/>
  <c r="R58" i="77"/>
  <c r="Q58" i="77"/>
  <c r="O58" i="77"/>
  <c r="N58" i="77"/>
  <c r="L58" i="77"/>
  <c r="K58" i="77"/>
  <c r="I58" i="77"/>
  <c r="H58" i="77"/>
  <c r="F58" i="77"/>
  <c r="E58" i="77"/>
  <c r="D58" i="77"/>
  <c r="C58" i="77"/>
  <c r="S57" i="77"/>
  <c r="R57" i="77"/>
  <c r="Q57" i="77"/>
  <c r="O57" i="77"/>
  <c r="N57" i="77"/>
  <c r="L57" i="77"/>
  <c r="K57" i="77"/>
  <c r="I57" i="77"/>
  <c r="H57" i="77"/>
  <c r="F57" i="77"/>
  <c r="E57" i="77"/>
  <c r="D57" i="77"/>
  <c r="C57" i="77"/>
  <c r="S56" i="77"/>
  <c r="R56" i="77"/>
  <c r="Q56" i="77"/>
  <c r="O56" i="77"/>
  <c r="N56" i="77"/>
  <c r="L56" i="77"/>
  <c r="K56" i="77"/>
  <c r="I56" i="77"/>
  <c r="H56" i="77"/>
  <c r="F56" i="77"/>
  <c r="E56" i="77"/>
  <c r="D56" i="77"/>
  <c r="C56" i="77"/>
  <c r="S55" i="77"/>
  <c r="R55" i="77"/>
  <c r="Q55" i="77"/>
  <c r="O55" i="77"/>
  <c r="N55" i="77"/>
  <c r="L55" i="77"/>
  <c r="K55" i="77"/>
  <c r="I55" i="77"/>
  <c r="H55" i="77"/>
  <c r="F55" i="77"/>
  <c r="E55" i="77"/>
  <c r="D55" i="77"/>
  <c r="C55" i="77"/>
  <c r="S54" i="77"/>
  <c r="R54" i="77"/>
  <c r="Q54" i="77"/>
  <c r="O54" i="77"/>
  <c r="N54" i="77"/>
  <c r="L54" i="77"/>
  <c r="K54" i="77"/>
  <c r="I54" i="77"/>
  <c r="H54" i="77"/>
  <c r="F54" i="77"/>
  <c r="E54" i="77"/>
  <c r="D54" i="77"/>
  <c r="C54" i="77"/>
  <c r="S53" i="77"/>
  <c r="R53" i="77"/>
  <c r="Q53" i="77"/>
  <c r="O53" i="77"/>
  <c r="N53" i="77"/>
  <c r="L53" i="77"/>
  <c r="K53" i="77"/>
  <c r="I53" i="77"/>
  <c r="H53" i="77"/>
  <c r="F53" i="77"/>
  <c r="E53" i="77"/>
  <c r="D53" i="77"/>
  <c r="C53" i="77"/>
  <c r="S52" i="77"/>
  <c r="R52" i="77"/>
  <c r="Q52" i="77"/>
  <c r="O52" i="77"/>
  <c r="N52" i="77"/>
  <c r="L52" i="77"/>
  <c r="K52" i="77"/>
  <c r="I52" i="77"/>
  <c r="H52" i="77"/>
  <c r="F52" i="77"/>
  <c r="E52" i="77"/>
  <c r="D52" i="77"/>
  <c r="C52" i="77"/>
  <c r="S51" i="77"/>
  <c r="R51" i="77"/>
  <c r="Q51" i="77"/>
  <c r="O51" i="77"/>
  <c r="N51" i="77"/>
  <c r="L51" i="77"/>
  <c r="K51" i="77"/>
  <c r="I51" i="77"/>
  <c r="H51" i="77"/>
  <c r="F51" i="77"/>
  <c r="E51" i="77"/>
  <c r="D51" i="77"/>
  <c r="C51" i="77"/>
  <c r="S50" i="77"/>
  <c r="R50" i="77"/>
  <c r="Q50" i="77"/>
  <c r="O50" i="77"/>
  <c r="N50" i="77"/>
  <c r="L50" i="77"/>
  <c r="K50" i="77"/>
  <c r="I50" i="77"/>
  <c r="H50" i="77"/>
  <c r="F50" i="77"/>
  <c r="E50" i="77"/>
  <c r="D50" i="77"/>
  <c r="C50" i="77"/>
  <c r="S49" i="77"/>
  <c r="R49" i="77"/>
  <c r="Q49" i="77"/>
  <c r="O49" i="77"/>
  <c r="N49" i="77"/>
  <c r="L49" i="77"/>
  <c r="K49" i="77"/>
  <c r="I49" i="77"/>
  <c r="H49" i="77"/>
  <c r="F49" i="77"/>
  <c r="E49" i="77"/>
  <c r="D49" i="77"/>
  <c r="C49" i="77"/>
  <c r="S48" i="77"/>
  <c r="R48" i="77"/>
  <c r="Q48" i="77"/>
  <c r="O48" i="77"/>
  <c r="N48" i="77"/>
  <c r="L48" i="77"/>
  <c r="K48" i="77"/>
  <c r="I48" i="77"/>
  <c r="H48" i="77"/>
  <c r="F48" i="77"/>
  <c r="E48" i="77"/>
  <c r="D48" i="77"/>
  <c r="C48" i="77"/>
  <c r="S47" i="77"/>
  <c r="R47" i="77"/>
  <c r="Q47" i="77"/>
  <c r="O47" i="77"/>
  <c r="N47" i="77"/>
  <c r="L47" i="77"/>
  <c r="K47" i="77"/>
  <c r="I47" i="77"/>
  <c r="H47" i="77"/>
  <c r="F47" i="77"/>
  <c r="E47" i="77"/>
  <c r="D47" i="77"/>
  <c r="C47" i="77"/>
  <c r="S46" i="77"/>
  <c r="R46" i="77"/>
  <c r="Q46" i="77"/>
  <c r="O46" i="77"/>
  <c r="N46" i="77"/>
  <c r="L46" i="77"/>
  <c r="K46" i="77"/>
  <c r="I46" i="77"/>
  <c r="H46" i="77"/>
  <c r="F46" i="77"/>
  <c r="E46" i="77"/>
  <c r="D46" i="77"/>
  <c r="C46" i="77"/>
  <c r="S45" i="77"/>
  <c r="R45" i="77"/>
  <c r="Q45" i="77"/>
  <c r="O45" i="77"/>
  <c r="N45" i="77"/>
  <c r="L45" i="77"/>
  <c r="K45" i="77"/>
  <c r="I45" i="77"/>
  <c r="H45" i="77"/>
  <c r="F45" i="77"/>
  <c r="E45" i="77"/>
  <c r="D45" i="77"/>
  <c r="C45" i="77"/>
  <c r="S44" i="77"/>
  <c r="R44" i="77"/>
  <c r="Q44" i="77"/>
  <c r="O44" i="77"/>
  <c r="N44" i="77"/>
  <c r="L44" i="77"/>
  <c r="K44" i="77"/>
  <c r="I44" i="77"/>
  <c r="H44" i="77"/>
  <c r="F44" i="77"/>
  <c r="E44" i="77"/>
  <c r="D44" i="77"/>
  <c r="C44" i="77"/>
  <c r="S43" i="77"/>
  <c r="R43" i="77"/>
  <c r="Q43" i="77"/>
  <c r="O43" i="77"/>
  <c r="N43" i="77"/>
  <c r="L43" i="77"/>
  <c r="K43" i="77"/>
  <c r="I43" i="77"/>
  <c r="H43" i="77"/>
  <c r="F43" i="77"/>
  <c r="E43" i="77"/>
  <c r="D43" i="77"/>
  <c r="C43" i="77"/>
  <c r="S42" i="77"/>
  <c r="R42" i="77"/>
  <c r="Q42" i="77"/>
  <c r="O42" i="77"/>
  <c r="N42" i="77"/>
  <c r="L42" i="77"/>
  <c r="K42" i="77"/>
  <c r="I42" i="77"/>
  <c r="H42" i="77"/>
  <c r="F42" i="77"/>
  <c r="E42" i="77"/>
  <c r="D42" i="77"/>
  <c r="C42" i="77"/>
  <c r="S41" i="77"/>
  <c r="R41" i="77"/>
  <c r="Q41" i="77"/>
  <c r="O41" i="77"/>
  <c r="N41" i="77"/>
  <c r="L41" i="77"/>
  <c r="K41" i="77"/>
  <c r="I41" i="77"/>
  <c r="H41" i="77"/>
  <c r="F41" i="77"/>
  <c r="E41" i="77"/>
  <c r="D41" i="77"/>
  <c r="C41" i="77"/>
  <c r="S40" i="77"/>
  <c r="R40" i="77"/>
  <c r="Q40" i="77"/>
  <c r="O40" i="77"/>
  <c r="N40" i="77"/>
  <c r="L40" i="77"/>
  <c r="K40" i="77"/>
  <c r="I40" i="77"/>
  <c r="H40" i="77"/>
  <c r="F40" i="77"/>
  <c r="E40" i="77"/>
  <c r="D40" i="77"/>
  <c r="C40" i="77"/>
  <c r="S39" i="77"/>
  <c r="R39" i="77"/>
  <c r="Q39" i="77"/>
  <c r="O39" i="77"/>
  <c r="N39" i="77"/>
  <c r="L39" i="77"/>
  <c r="K39" i="77"/>
  <c r="I39" i="77"/>
  <c r="H39" i="77"/>
  <c r="F39" i="77"/>
  <c r="E39" i="77"/>
  <c r="D39" i="77"/>
  <c r="C39" i="77"/>
  <c r="S38" i="77"/>
  <c r="R38" i="77"/>
  <c r="Q38" i="77"/>
  <c r="O38" i="77"/>
  <c r="N38" i="77"/>
  <c r="L38" i="77"/>
  <c r="K38" i="77"/>
  <c r="I38" i="77"/>
  <c r="H38" i="77"/>
  <c r="F38" i="77"/>
  <c r="E38" i="77"/>
  <c r="D38" i="77"/>
  <c r="C38" i="77"/>
  <c r="S37" i="77"/>
  <c r="R37" i="77"/>
  <c r="Q37" i="77"/>
  <c r="O37" i="77"/>
  <c r="N37" i="77"/>
  <c r="L37" i="77"/>
  <c r="K37" i="77"/>
  <c r="I37" i="77"/>
  <c r="H37" i="77"/>
  <c r="F37" i="77"/>
  <c r="E37" i="77"/>
  <c r="D37" i="77"/>
  <c r="C37" i="77"/>
  <c r="S36" i="77"/>
  <c r="R36" i="77"/>
  <c r="Q36" i="77"/>
  <c r="O36" i="77"/>
  <c r="N36" i="77"/>
  <c r="L36" i="77"/>
  <c r="K36" i="77"/>
  <c r="I36" i="77"/>
  <c r="H36" i="77"/>
  <c r="F36" i="77"/>
  <c r="E36" i="77"/>
  <c r="D36" i="77"/>
  <c r="C36" i="77"/>
  <c r="S35" i="77"/>
  <c r="R35" i="77"/>
  <c r="Q35" i="77"/>
  <c r="O35" i="77"/>
  <c r="N35" i="77"/>
  <c r="L35" i="77"/>
  <c r="K35" i="77"/>
  <c r="I35" i="77"/>
  <c r="H35" i="77"/>
  <c r="F35" i="77"/>
  <c r="E35" i="77"/>
  <c r="D35" i="77"/>
  <c r="C35" i="77"/>
  <c r="S34" i="77"/>
  <c r="R34" i="77"/>
  <c r="Q34" i="77"/>
  <c r="O34" i="77"/>
  <c r="N34" i="77"/>
  <c r="L34" i="77"/>
  <c r="K34" i="77"/>
  <c r="I34" i="77"/>
  <c r="H34" i="77"/>
  <c r="F34" i="77"/>
  <c r="E34" i="77"/>
  <c r="D34" i="77"/>
  <c r="C34" i="77"/>
  <c r="S33" i="77"/>
  <c r="R33" i="77"/>
  <c r="Q33" i="77"/>
  <c r="O33" i="77"/>
  <c r="N33" i="77"/>
  <c r="L33" i="77"/>
  <c r="K33" i="77"/>
  <c r="I33" i="77"/>
  <c r="H33" i="77"/>
  <c r="F33" i="77"/>
  <c r="E33" i="77"/>
  <c r="D33" i="77"/>
  <c r="C33" i="77"/>
  <c r="S32" i="77"/>
  <c r="R32" i="77"/>
  <c r="Q32" i="77"/>
  <c r="O32" i="77"/>
  <c r="N32" i="77"/>
  <c r="L32" i="77"/>
  <c r="K32" i="77"/>
  <c r="I32" i="77"/>
  <c r="H32" i="77"/>
  <c r="F32" i="77"/>
  <c r="E32" i="77"/>
  <c r="D32" i="77"/>
  <c r="C32" i="77"/>
  <c r="S31" i="77"/>
  <c r="R31" i="77"/>
  <c r="Q31" i="77"/>
  <c r="O31" i="77"/>
  <c r="N31" i="77"/>
  <c r="L31" i="77"/>
  <c r="K31" i="77"/>
  <c r="I31" i="77"/>
  <c r="H31" i="77"/>
  <c r="F31" i="77"/>
  <c r="E31" i="77"/>
  <c r="D31" i="77"/>
  <c r="C31" i="77"/>
  <c r="S30" i="77"/>
  <c r="R30" i="77"/>
  <c r="Q30" i="77"/>
  <c r="O30" i="77"/>
  <c r="N30" i="77"/>
  <c r="L30" i="77"/>
  <c r="K30" i="77"/>
  <c r="I30" i="77"/>
  <c r="H30" i="77"/>
  <c r="F30" i="77"/>
  <c r="E30" i="77"/>
  <c r="D30" i="77"/>
  <c r="C30" i="77"/>
  <c r="S29" i="77"/>
  <c r="R29" i="77"/>
  <c r="Q29" i="77"/>
  <c r="O29" i="77"/>
  <c r="N29" i="77"/>
  <c r="L29" i="77"/>
  <c r="K29" i="77"/>
  <c r="I29" i="77"/>
  <c r="H29" i="77"/>
  <c r="F29" i="77"/>
  <c r="E29" i="77"/>
  <c r="D29" i="77"/>
  <c r="C29" i="77"/>
  <c r="S28" i="77"/>
  <c r="R28" i="77"/>
  <c r="Q28" i="77"/>
  <c r="O28" i="77"/>
  <c r="N28" i="77"/>
  <c r="L28" i="77"/>
  <c r="K28" i="77"/>
  <c r="I28" i="77"/>
  <c r="H28" i="77"/>
  <c r="F28" i="77"/>
  <c r="E28" i="77"/>
  <c r="D28" i="77"/>
  <c r="C28" i="77"/>
  <c r="S27" i="77"/>
  <c r="R27" i="77"/>
  <c r="Q27" i="77"/>
  <c r="O27" i="77"/>
  <c r="N27" i="77"/>
  <c r="L27" i="77"/>
  <c r="K27" i="77"/>
  <c r="I27" i="77"/>
  <c r="H27" i="77"/>
  <c r="F27" i="77"/>
  <c r="E27" i="77"/>
  <c r="D27" i="77"/>
  <c r="C27" i="77"/>
  <c r="S26" i="77"/>
  <c r="R26" i="77"/>
  <c r="Q26" i="77"/>
  <c r="O26" i="77"/>
  <c r="N26" i="77"/>
  <c r="L26" i="77"/>
  <c r="K26" i="77"/>
  <c r="I26" i="77"/>
  <c r="H26" i="77"/>
  <c r="F26" i="77"/>
  <c r="E26" i="77"/>
  <c r="D26" i="77"/>
  <c r="C26" i="77"/>
  <c r="S25" i="77"/>
  <c r="R25" i="77"/>
  <c r="Q25" i="77"/>
  <c r="O25" i="77"/>
  <c r="N25" i="77"/>
  <c r="L25" i="77"/>
  <c r="K25" i="77"/>
  <c r="I25" i="77"/>
  <c r="H25" i="77"/>
  <c r="F25" i="77"/>
  <c r="E25" i="77"/>
  <c r="D25" i="77"/>
  <c r="C25" i="77"/>
  <c r="S24" i="77"/>
  <c r="R24" i="77"/>
  <c r="Q24" i="77"/>
  <c r="O24" i="77"/>
  <c r="N24" i="77"/>
  <c r="L24" i="77"/>
  <c r="K24" i="77"/>
  <c r="I24" i="77"/>
  <c r="H24" i="77"/>
  <c r="F24" i="77"/>
  <c r="E24" i="77"/>
  <c r="D24" i="77"/>
  <c r="C24" i="77"/>
  <c r="S23" i="77"/>
  <c r="R23" i="77"/>
  <c r="Q23" i="77"/>
  <c r="O23" i="77"/>
  <c r="N23" i="77"/>
  <c r="L23" i="77"/>
  <c r="K23" i="77"/>
  <c r="I23" i="77"/>
  <c r="H23" i="77"/>
  <c r="F23" i="77"/>
  <c r="E23" i="77"/>
  <c r="D23" i="77"/>
  <c r="C23" i="77"/>
  <c r="S22" i="77"/>
  <c r="R22" i="77"/>
  <c r="Q22" i="77"/>
  <c r="O22" i="77"/>
  <c r="N22" i="77"/>
  <c r="L22" i="77"/>
  <c r="K22" i="77"/>
  <c r="I22" i="77"/>
  <c r="H22" i="77"/>
  <c r="F22" i="77"/>
  <c r="E22" i="77"/>
  <c r="D22" i="77"/>
  <c r="C22" i="77"/>
  <c r="S21" i="77"/>
  <c r="R21" i="77"/>
  <c r="Q21" i="77"/>
  <c r="O21" i="77"/>
  <c r="N21" i="77"/>
  <c r="L21" i="77"/>
  <c r="K21" i="77"/>
  <c r="I21" i="77"/>
  <c r="H21" i="77"/>
  <c r="F21" i="77"/>
  <c r="E21" i="77"/>
  <c r="D21" i="77"/>
  <c r="C21" i="77"/>
  <c r="S20" i="77"/>
  <c r="R20" i="77"/>
  <c r="Q20" i="77"/>
  <c r="O20" i="77"/>
  <c r="N20" i="77"/>
  <c r="L20" i="77"/>
  <c r="K20" i="77"/>
  <c r="I20" i="77"/>
  <c r="H20" i="77"/>
  <c r="F20" i="77"/>
  <c r="E20" i="77"/>
  <c r="D20" i="77"/>
  <c r="C20" i="77"/>
  <c r="S19" i="77"/>
  <c r="R19" i="77"/>
  <c r="Q19" i="77"/>
  <c r="O19" i="77"/>
  <c r="N19" i="77"/>
  <c r="L19" i="77"/>
  <c r="K19" i="77"/>
  <c r="I19" i="77"/>
  <c r="H19" i="77"/>
  <c r="F19" i="77"/>
  <c r="E19" i="77"/>
  <c r="D19" i="77"/>
  <c r="C19" i="77"/>
  <c r="S18" i="77"/>
  <c r="R18" i="77"/>
  <c r="Q18" i="77"/>
  <c r="O18" i="77"/>
  <c r="N18" i="77"/>
  <c r="L18" i="77"/>
  <c r="K18" i="77"/>
  <c r="I18" i="77"/>
  <c r="H18" i="77"/>
  <c r="F18" i="77"/>
  <c r="E18" i="77"/>
  <c r="D18" i="77"/>
  <c r="C18" i="77"/>
  <c r="S17" i="77"/>
  <c r="R17" i="77"/>
  <c r="Q17" i="77"/>
  <c r="O17" i="77"/>
  <c r="N17" i="77"/>
  <c r="L17" i="77"/>
  <c r="K17" i="77"/>
  <c r="I17" i="77"/>
  <c r="H17" i="77"/>
  <c r="F17" i="77"/>
  <c r="E17" i="77"/>
  <c r="D17" i="77"/>
  <c r="C17" i="77"/>
  <c r="S16" i="77"/>
  <c r="R16" i="77"/>
  <c r="Q16" i="77"/>
  <c r="O16" i="77"/>
  <c r="N16" i="77"/>
  <c r="L16" i="77"/>
  <c r="K16" i="77"/>
  <c r="I16" i="77"/>
  <c r="H16" i="77"/>
  <c r="F16" i="77"/>
  <c r="E16" i="77"/>
  <c r="D16" i="77"/>
  <c r="C16" i="77"/>
  <c r="S15" i="77"/>
  <c r="R15" i="77"/>
  <c r="Q15" i="77"/>
  <c r="O15" i="77"/>
  <c r="N15" i="77"/>
  <c r="L15" i="77"/>
  <c r="K15" i="77"/>
  <c r="I15" i="77"/>
  <c r="H15" i="77"/>
  <c r="F15" i="77"/>
  <c r="E15" i="77"/>
  <c r="D15" i="77"/>
  <c r="C15" i="77"/>
  <c r="S14" i="77"/>
  <c r="R14" i="77"/>
  <c r="Q14" i="77"/>
  <c r="O14" i="77"/>
  <c r="N14" i="77"/>
  <c r="L14" i="77"/>
  <c r="K14" i="77"/>
  <c r="I14" i="77"/>
  <c r="H14" i="77"/>
  <c r="F14" i="77"/>
  <c r="E14" i="77"/>
  <c r="D14" i="77"/>
  <c r="C14" i="77"/>
  <c r="S13" i="77"/>
  <c r="R13" i="77"/>
  <c r="Q13" i="77"/>
  <c r="O13" i="77"/>
  <c r="N13" i="77"/>
  <c r="L13" i="77"/>
  <c r="K13" i="77"/>
  <c r="I13" i="77"/>
  <c r="H13" i="77"/>
  <c r="F13" i="77"/>
  <c r="E13" i="77"/>
  <c r="D13" i="77"/>
  <c r="C13" i="77"/>
  <c r="S12" i="77"/>
  <c r="R12" i="77"/>
  <c r="Q12" i="77"/>
  <c r="O12" i="77"/>
  <c r="N12" i="77"/>
  <c r="L12" i="77"/>
  <c r="K12" i="77"/>
  <c r="I12" i="77"/>
  <c r="H12" i="77"/>
  <c r="F12" i="77"/>
  <c r="E12" i="77"/>
  <c r="D12" i="77"/>
  <c r="C12" i="77"/>
  <c r="S11" i="77"/>
  <c r="R11" i="77"/>
  <c r="Q11" i="77"/>
  <c r="O11" i="77"/>
  <c r="N11" i="77"/>
  <c r="L11" i="77"/>
  <c r="K11" i="77"/>
  <c r="I11" i="77"/>
  <c r="H11" i="77"/>
  <c r="F11" i="77"/>
  <c r="E11" i="77"/>
  <c r="D11" i="77"/>
  <c r="C11" i="77"/>
  <c r="S10" i="77"/>
  <c r="R10" i="77"/>
  <c r="Q10" i="77"/>
  <c r="O10" i="77"/>
  <c r="N10" i="77"/>
  <c r="L10" i="77"/>
  <c r="K10" i="77"/>
  <c r="I10" i="77"/>
  <c r="H10" i="77"/>
  <c r="F10" i="77"/>
  <c r="E10" i="77"/>
  <c r="D10" i="77"/>
  <c r="C10" i="77"/>
  <c r="S9" i="77"/>
  <c r="R9" i="77"/>
  <c r="Q9" i="77"/>
  <c r="O9" i="77"/>
  <c r="N9" i="77"/>
  <c r="L9" i="77"/>
  <c r="K9" i="77"/>
  <c r="I9" i="77"/>
  <c r="H9" i="77"/>
  <c r="F9" i="77"/>
  <c r="E9" i="77"/>
  <c r="D9" i="77"/>
  <c r="C9" i="77"/>
  <c r="S8" i="77"/>
  <c r="R8" i="77"/>
  <c r="Q8" i="77"/>
  <c r="O8" i="77"/>
  <c r="N8" i="77"/>
  <c r="L8" i="77"/>
  <c r="K8" i="77"/>
  <c r="I8" i="77"/>
  <c r="H8" i="77"/>
  <c r="F8" i="77"/>
  <c r="E8" i="77"/>
  <c r="D8" i="77"/>
  <c r="C8" i="77"/>
  <c r="S7" i="77"/>
  <c r="R7" i="77"/>
  <c r="Q7" i="77"/>
  <c r="O7" i="77"/>
  <c r="N7" i="77"/>
  <c r="L7" i="77"/>
  <c r="K7" i="77"/>
  <c r="I7" i="77"/>
  <c r="H7" i="77"/>
  <c r="F7" i="77"/>
  <c r="E7" i="77"/>
  <c r="D7" i="77"/>
  <c r="R6" i="77"/>
  <c r="Q6" i="77"/>
  <c r="O6" i="77"/>
  <c r="N6" i="77"/>
  <c r="L6" i="77"/>
  <c r="K6" i="77"/>
  <c r="I6" i="77"/>
  <c r="H6" i="77"/>
  <c r="F6" i="77"/>
  <c r="E6" i="77"/>
  <c r="D6" i="77"/>
  <c r="C6" i="77"/>
  <c r="C2" i="77"/>
  <c r="B27" i="46"/>
  <c r="B22" i="46"/>
  <c r="B26" i="73"/>
  <c r="C2" i="60"/>
  <c r="S18" i="35"/>
  <c r="S17" i="35"/>
  <c r="U11" i="35"/>
  <c r="U10" i="35"/>
  <c r="U9" i="35"/>
  <c r="U8" i="35"/>
  <c r="R12" i="35"/>
  <c r="R11" i="35"/>
  <c r="R10" i="35"/>
  <c r="R9" i="35"/>
  <c r="R8" i="35"/>
  <c r="G10" i="77" l="1"/>
  <c r="P28" i="77"/>
  <c r="J32" i="77"/>
  <c r="P32" i="77"/>
  <c r="J36" i="77"/>
  <c r="P36" i="77"/>
  <c r="J40" i="77"/>
  <c r="P40" i="77"/>
  <c r="J52" i="77"/>
  <c r="M21" i="77"/>
  <c r="G53" i="77"/>
  <c r="J55" i="77"/>
  <c r="G57" i="77"/>
  <c r="J56" i="77"/>
  <c r="P56" i="77"/>
  <c r="G79" i="77"/>
  <c r="M79" i="77"/>
  <c r="M25" i="77"/>
  <c r="P59" i="77"/>
  <c r="J60" i="77"/>
  <c r="P60" i="77"/>
  <c r="J64" i="77"/>
  <c r="P64" i="77"/>
  <c r="J68" i="77"/>
  <c r="J76" i="77"/>
  <c r="G49" i="77"/>
  <c r="G69" i="77"/>
  <c r="P76" i="77"/>
  <c r="P9" i="77"/>
  <c r="G19" i="77"/>
  <c r="J21" i="77"/>
  <c r="G23" i="77"/>
  <c r="J26" i="77"/>
  <c r="P26" i="77"/>
  <c r="G27" i="77"/>
  <c r="J29" i="77"/>
  <c r="P29" i="77"/>
  <c r="J33" i="77"/>
  <c r="P33" i="77"/>
  <c r="J37" i="77"/>
  <c r="P37" i="77"/>
  <c r="J41" i="77"/>
  <c r="P41" i="77"/>
  <c r="P42" i="77"/>
  <c r="J45" i="77"/>
  <c r="P45" i="77"/>
  <c r="P46" i="77"/>
  <c r="P54" i="77"/>
  <c r="J57" i="77"/>
  <c r="P57" i="77"/>
  <c r="P58" i="77"/>
  <c r="M59" i="77"/>
  <c r="P66" i="77"/>
  <c r="M67" i="77"/>
  <c r="J69" i="77"/>
  <c r="P69" i="77"/>
  <c r="P75" i="77"/>
  <c r="G77" i="77"/>
  <c r="J25" i="77"/>
  <c r="P62" i="77"/>
  <c r="S6" i="77"/>
  <c r="R7" i="35"/>
  <c r="J10" i="77"/>
  <c r="P10" i="77"/>
  <c r="G12" i="77"/>
  <c r="P14" i="77"/>
  <c r="G16" i="77"/>
  <c r="M17" i="77"/>
  <c r="P18" i="77"/>
  <c r="G20" i="77"/>
  <c r="P22" i="77"/>
  <c r="G24" i="77"/>
  <c r="G29" i="77"/>
  <c r="M29" i="77"/>
  <c r="G33" i="77"/>
  <c r="M33" i="77"/>
  <c r="G37" i="77"/>
  <c r="M37" i="77"/>
  <c r="M41" i="77"/>
  <c r="M45" i="77"/>
  <c r="J50" i="77"/>
  <c r="M61" i="77"/>
  <c r="M65" i="77"/>
  <c r="M10" i="77"/>
  <c r="J12" i="77"/>
  <c r="M14" i="77"/>
  <c r="P16" i="77"/>
  <c r="G18" i="77"/>
  <c r="M18" i="77"/>
  <c r="J20" i="77"/>
  <c r="G22" i="77"/>
  <c r="M22" i="77"/>
  <c r="J24" i="77"/>
  <c r="G26" i="77"/>
  <c r="M26" i="77"/>
  <c r="M76" i="77"/>
  <c r="M77" i="77"/>
  <c r="G78" i="77"/>
  <c r="M6" i="77"/>
  <c r="G6" i="77"/>
  <c r="G7" i="77"/>
  <c r="G25" i="77"/>
  <c r="M27" i="77"/>
  <c r="J28" i="77"/>
  <c r="G42" i="77"/>
  <c r="G43" i="77"/>
  <c r="M43" i="77"/>
  <c r="P44" i="77"/>
  <c r="M46" i="77"/>
  <c r="G47" i="77"/>
  <c r="M47" i="77"/>
  <c r="G52" i="77"/>
  <c r="M52" i="77"/>
  <c r="M53" i="77"/>
  <c r="J54" i="77"/>
  <c r="G56" i="77"/>
  <c r="M56" i="77"/>
  <c r="M57" i="77"/>
  <c r="J58" i="77"/>
  <c r="J62" i="77"/>
  <c r="J66" i="77"/>
  <c r="G68" i="77"/>
  <c r="M68" i="77"/>
  <c r="M69" i="77"/>
  <c r="J70" i="77"/>
  <c r="J75" i="77"/>
  <c r="J79" i="77"/>
  <c r="M9" i="77"/>
  <c r="G11" i="77"/>
  <c r="M12" i="77"/>
  <c r="J13" i="77"/>
  <c r="G15" i="77"/>
  <c r="M15" i="77"/>
  <c r="J17" i="77"/>
  <c r="G61" i="77"/>
  <c r="G65" i="77"/>
  <c r="J67" i="77"/>
  <c r="P6" i="77"/>
  <c r="P7" i="77"/>
  <c r="G28" i="77"/>
  <c r="M28" i="77"/>
  <c r="G32" i="77"/>
  <c r="M32" i="77"/>
  <c r="G36" i="77"/>
  <c r="M36" i="77"/>
  <c r="G40" i="77"/>
  <c r="M40" i="77"/>
  <c r="J42" i="77"/>
  <c r="J46" i="77"/>
  <c r="G51" i="77"/>
  <c r="M51" i="77"/>
  <c r="P52" i="77"/>
  <c r="G54" i="77"/>
  <c r="G55" i="77"/>
  <c r="M58" i="77"/>
  <c r="G59" i="77"/>
  <c r="G66" i="77"/>
  <c r="G67" i="77"/>
  <c r="M70" i="77"/>
  <c r="G75" i="77"/>
  <c r="M75" i="77"/>
  <c r="G76" i="77"/>
  <c r="J77" i="77"/>
  <c r="P77" i="77"/>
  <c r="J8" i="77"/>
  <c r="M13" i="77"/>
  <c r="J16" i="77"/>
  <c r="M19" i="77"/>
  <c r="P20" i="77"/>
  <c r="M23" i="77"/>
  <c r="P24" i="77"/>
  <c r="J27" i="77"/>
  <c r="P27" i="77"/>
  <c r="G41" i="77"/>
  <c r="J43" i="77"/>
  <c r="P43" i="77"/>
  <c r="J44" i="77"/>
  <c r="G45" i="77"/>
  <c r="M55" i="77"/>
  <c r="J6" i="77"/>
  <c r="M7" i="77"/>
  <c r="P8" i="77"/>
  <c r="G13" i="77"/>
  <c r="J14" i="77"/>
  <c r="G17" i="77"/>
  <c r="J18" i="77"/>
  <c r="G21" i="77"/>
  <c r="J22" i="77"/>
  <c r="G30" i="77"/>
  <c r="M30" i="77"/>
  <c r="G31" i="77"/>
  <c r="M31" i="77"/>
  <c r="G34" i="77"/>
  <c r="M34" i="77"/>
  <c r="G35" i="77"/>
  <c r="M35" i="77"/>
  <c r="G38" i="77"/>
  <c r="M38" i="77"/>
  <c r="G39" i="77"/>
  <c r="M39" i="77"/>
  <c r="G44" i="77"/>
  <c r="M44" i="77"/>
  <c r="G46" i="77"/>
  <c r="J47" i="77"/>
  <c r="P47" i="77"/>
  <c r="J48" i="77"/>
  <c r="P48" i="77"/>
  <c r="M49" i="77"/>
  <c r="P50" i="77"/>
  <c r="G58" i="77"/>
  <c r="J59" i="77"/>
  <c r="G60" i="77"/>
  <c r="M60" i="77"/>
  <c r="J61" i="77"/>
  <c r="P61" i="77"/>
  <c r="M62" i="77"/>
  <c r="G63" i="77"/>
  <c r="M63" i="77"/>
  <c r="G70" i="77"/>
  <c r="M78" i="77"/>
  <c r="P79" i="77"/>
  <c r="J7" i="77"/>
  <c r="G8" i="77"/>
  <c r="M8" i="77"/>
  <c r="J9" i="77"/>
  <c r="M11" i="77"/>
  <c r="P12" i="77"/>
  <c r="G14" i="77"/>
  <c r="J30" i="77"/>
  <c r="P30" i="77"/>
  <c r="J34" i="77"/>
  <c r="P34" i="77"/>
  <c r="J38" i="77"/>
  <c r="P38" i="77"/>
  <c r="M42" i="77"/>
  <c r="G50" i="77"/>
  <c r="J51" i="77"/>
  <c r="P51" i="77"/>
  <c r="J53" i="77"/>
  <c r="P53" i="77"/>
  <c r="M54" i="77"/>
  <c r="P55" i="77"/>
  <c r="G64" i="77"/>
  <c r="M64" i="77"/>
  <c r="J65" i="77"/>
  <c r="P65" i="77"/>
  <c r="M66" i="77"/>
  <c r="P67" i="77"/>
  <c r="P70" i="77"/>
  <c r="G9" i="77"/>
  <c r="J11" i="77"/>
  <c r="P11" i="77"/>
  <c r="P13" i="77"/>
  <c r="J15" i="77"/>
  <c r="P15" i="77"/>
  <c r="M16" i="77"/>
  <c r="P17" i="77"/>
  <c r="J19" i="77"/>
  <c r="P19" i="77"/>
  <c r="M20" i="77"/>
  <c r="P21" i="77"/>
  <c r="J23" i="77"/>
  <c r="P23" i="77"/>
  <c r="M24" i="77"/>
  <c r="P25" i="77"/>
  <c r="J31" i="77"/>
  <c r="P31" i="77"/>
  <c r="J35" i="77"/>
  <c r="P35" i="77"/>
  <c r="J39" i="77"/>
  <c r="P39" i="77"/>
  <c r="G48" i="77"/>
  <c r="M48" i="77"/>
  <c r="J49" i="77"/>
  <c r="P49" i="77"/>
  <c r="M50" i="77"/>
  <c r="G62" i="77"/>
  <c r="J63" i="77"/>
  <c r="P63" i="77"/>
  <c r="P68" i="77"/>
  <c r="J78" i="77"/>
  <c r="P78" i="77"/>
  <c r="S127" i="60" l="1"/>
  <c r="S126" i="60"/>
  <c r="S125" i="60"/>
  <c r="S124" i="60"/>
  <c r="S123" i="60"/>
  <c r="S122" i="60"/>
  <c r="S121" i="60"/>
  <c r="S120" i="60"/>
  <c r="S119" i="60"/>
  <c r="S118" i="60"/>
  <c r="S117" i="60"/>
  <c r="S116" i="60"/>
  <c r="S115" i="60"/>
  <c r="S114" i="60"/>
  <c r="S113" i="60"/>
  <c r="S112" i="60"/>
  <c r="S111" i="60"/>
  <c r="S110" i="60"/>
  <c r="S109" i="60"/>
  <c r="S108" i="60"/>
  <c r="S107" i="60"/>
  <c r="S106" i="60"/>
  <c r="S105" i="60"/>
  <c r="S104" i="60"/>
  <c r="S103" i="60"/>
  <c r="S102" i="60"/>
  <c r="S101" i="60"/>
  <c r="S100" i="60"/>
  <c r="S99" i="60"/>
  <c r="S98" i="60"/>
  <c r="S97" i="60"/>
  <c r="S96" i="60"/>
  <c r="S95" i="60"/>
  <c r="S94" i="60"/>
  <c r="S93" i="60"/>
  <c r="S92" i="60"/>
  <c r="S91" i="60"/>
  <c r="S90" i="60"/>
  <c r="S89" i="60"/>
  <c r="S88" i="60"/>
  <c r="S87" i="60"/>
  <c r="S86" i="60"/>
  <c r="S85" i="60"/>
  <c r="S84" i="60"/>
  <c r="S83" i="60"/>
  <c r="S82" i="60"/>
  <c r="S81" i="60"/>
  <c r="S80" i="60"/>
  <c r="S79" i="60"/>
  <c r="S78" i="60"/>
  <c r="S77" i="60"/>
  <c r="S76" i="60"/>
  <c r="S75" i="60"/>
  <c r="S74" i="60"/>
  <c r="S73" i="60"/>
  <c r="S72" i="60"/>
  <c r="S71" i="60"/>
  <c r="S70" i="60"/>
  <c r="S64" i="60"/>
  <c r="S69" i="60" l="1"/>
  <c r="O37" i="46" l="1"/>
  <c r="N37" i="46"/>
  <c r="M37" i="46"/>
  <c r="L37" i="46"/>
  <c r="K37" i="46"/>
  <c r="O36" i="46"/>
  <c r="N36" i="46"/>
  <c r="M36" i="46"/>
  <c r="L36" i="46"/>
  <c r="K36" i="46"/>
  <c r="O35" i="46"/>
  <c r="N35" i="46"/>
  <c r="M35" i="46"/>
  <c r="L35" i="46"/>
  <c r="K35" i="46"/>
  <c r="O13" i="46"/>
  <c r="N13" i="46"/>
  <c r="M13" i="46"/>
  <c r="L13" i="46"/>
  <c r="K13" i="46"/>
  <c r="J13" i="46"/>
  <c r="I47" i="73" l="1"/>
  <c r="H47" i="73"/>
  <c r="G47" i="73"/>
  <c r="F47" i="73"/>
  <c r="D47" i="73"/>
  <c r="C47" i="73"/>
  <c r="E47" i="73" s="1"/>
  <c r="I46" i="73"/>
  <c r="H46" i="73"/>
  <c r="G46" i="73"/>
  <c r="F46" i="73"/>
  <c r="D46" i="73"/>
  <c r="C46" i="73"/>
  <c r="E46" i="73" s="1"/>
  <c r="I45" i="73"/>
  <c r="H45" i="73"/>
  <c r="G45" i="73"/>
  <c r="F45" i="73"/>
  <c r="D45" i="73"/>
  <c r="C45" i="73"/>
  <c r="E45" i="73" s="1"/>
  <c r="I44" i="73"/>
  <c r="H44" i="73"/>
  <c r="G44" i="73"/>
  <c r="F44" i="73"/>
  <c r="D44" i="73"/>
  <c r="C44" i="73"/>
  <c r="E44" i="73" s="1"/>
  <c r="I42" i="73"/>
  <c r="H42" i="73"/>
  <c r="G42" i="73"/>
  <c r="F42" i="73"/>
  <c r="D42" i="73"/>
  <c r="C42" i="73"/>
  <c r="E42" i="73" s="1"/>
  <c r="I41" i="73"/>
  <c r="H41" i="73"/>
  <c r="G41" i="73"/>
  <c r="F41" i="73"/>
  <c r="D41" i="73"/>
  <c r="C41" i="73"/>
  <c r="E41" i="73" s="1"/>
  <c r="I40" i="73"/>
  <c r="H40" i="73"/>
  <c r="G40" i="73"/>
  <c r="F40" i="73"/>
  <c r="D40" i="73"/>
  <c r="C40" i="73"/>
  <c r="E40" i="73" s="1"/>
  <c r="I39" i="73"/>
  <c r="H39" i="73"/>
  <c r="G39" i="73"/>
  <c r="F39" i="73"/>
  <c r="D39" i="73"/>
  <c r="C39" i="73"/>
  <c r="E39" i="73" s="1"/>
  <c r="I37" i="73"/>
  <c r="H37" i="73"/>
  <c r="G37" i="73"/>
  <c r="F37" i="73"/>
  <c r="D37" i="73"/>
  <c r="C37" i="73"/>
  <c r="E37" i="73" s="1"/>
  <c r="I36" i="73"/>
  <c r="H36" i="73"/>
  <c r="G36" i="73"/>
  <c r="F36" i="73"/>
  <c r="D36" i="73"/>
  <c r="C36" i="73"/>
  <c r="E36" i="73" s="1"/>
  <c r="I35" i="73"/>
  <c r="H35" i="73"/>
  <c r="G35" i="73"/>
  <c r="F35" i="73"/>
  <c r="D35" i="73"/>
  <c r="C35" i="73"/>
  <c r="E35" i="73" s="1"/>
  <c r="I34" i="73"/>
  <c r="H34" i="73"/>
  <c r="G34" i="73"/>
  <c r="F34" i="73"/>
  <c r="D34" i="73"/>
  <c r="C34" i="73"/>
  <c r="E34" i="73" s="1"/>
  <c r="I33" i="73"/>
  <c r="H33" i="73"/>
  <c r="G33" i="73"/>
  <c r="F33" i="73"/>
  <c r="D33" i="73"/>
  <c r="C33" i="73"/>
  <c r="E33" i="73" s="1"/>
  <c r="B31" i="73"/>
  <c r="G31" i="73" s="1"/>
  <c r="B30" i="73"/>
  <c r="G30" i="73" s="1"/>
  <c r="B29" i="73"/>
  <c r="G29" i="73" s="1"/>
  <c r="B28" i="73"/>
  <c r="G28" i="73" s="1"/>
  <c r="B27" i="73"/>
  <c r="G27" i="73" s="1"/>
  <c r="G26" i="73"/>
  <c r="B25" i="73"/>
  <c r="G25" i="73" s="1"/>
  <c r="B24" i="73"/>
  <c r="G24" i="73" s="1"/>
  <c r="B23" i="73"/>
  <c r="G23" i="73" s="1"/>
  <c r="B22" i="73"/>
  <c r="G22" i="73" s="1"/>
  <c r="B21" i="73"/>
  <c r="G21" i="73" s="1"/>
  <c r="B20" i="73"/>
  <c r="G20" i="73" s="1"/>
  <c r="B19" i="73"/>
  <c r="G19" i="73" s="1"/>
  <c r="B18" i="73"/>
  <c r="G18" i="73" s="1"/>
  <c r="B17" i="73"/>
  <c r="G17" i="73" s="1"/>
  <c r="G16" i="73"/>
  <c r="I15" i="73"/>
  <c r="H15" i="73"/>
  <c r="G15" i="73"/>
  <c r="F15" i="73"/>
  <c r="D15" i="73"/>
  <c r="C15" i="73"/>
  <c r="E15" i="73" s="1"/>
  <c r="I12" i="73"/>
  <c r="H12" i="73"/>
  <c r="G12" i="73"/>
  <c r="F12" i="73"/>
  <c r="D12" i="73"/>
  <c r="C12" i="73"/>
  <c r="E12" i="73" s="1"/>
  <c r="J3" i="73"/>
  <c r="F16" i="73" l="1"/>
  <c r="D16" i="73"/>
  <c r="H16" i="73"/>
  <c r="D17" i="73"/>
  <c r="H17" i="73"/>
  <c r="D18" i="73"/>
  <c r="H18" i="73"/>
  <c r="D19" i="73"/>
  <c r="H19" i="73"/>
  <c r="D20" i="73"/>
  <c r="H20" i="73"/>
  <c r="D21" i="73"/>
  <c r="H21" i="73"/>
  <c r="D22" i="73"/>
  <c r="H22" i="73"/>
  <c r="D23" i="73"/>
  <c r="H23" i="73"/>
  <c r="D24" i="73"/>
  <c r="H24" i="73"/>
  <c r="D25" i="73"/>
  <c r="H25" i="73"/>
  <c r="D26" i="73"/>
  <c r="H26" i="73"/>
  <c r="D27" i="73"/>
  <c r="H27" i="73"/>
  <c r="D28" i="73"/>
  <c r="H28" i="73"/>
  <c r="D29" i="73"/>
  <c r="H29" i="73"/>
  <c r="D30" i="73"/>
  <c r="H30" i="73"/>
  <c r="D31" i="73"/>
  <c r="H31" i="73"/>
  <c r="I16" i="73"/>
  <c r="I17" i="73"/>
  <c r="I18" i="73"/>
  <c r="I19" i="73"/>
  <c r="I20" i="73"/>
  <c r="I21" i="73"/>
  <c r="I22" i="73"/>
  <c r="I23" i="73"/>
  <c r="I24" i="73"/>
  <c r="I25" i="73"/>
  <c r="I26" i="73"/>
  <c r="I27" i="73"/>
  <c r="I28" i="73"/>
  <c r="I29" i="73"/>
  <c r="I30" i="73"/>
  <c r="I31" i="73"/>
  <c r="F17" i="73"/>
  <c r="F19" i="73"/>
  <c r="F20" i="73"/>
  <c r="F21" i="73"/>
  <c r="F22" i="73"/>
  <c r="F23" i="73"/>
  <c r="F24" i="73"/>
  <c r="F25" i="73"/>
  <c r="F26" i="73"/>
  <c r="F27" i="73"/>
  <c r="F28" i="73"/>
  <c r="F29" i="73"/>
  <c r="F30" i="73"/>
  <c r="F31" i="73"/>
  <c r="F18" i="73"/>
  <c r="C16" i="73"/>
  <c r="E16" i="73" s="1"/>
  <c r="C17" i="73"/>
  <c r="E17" i="73" s="1"/>
  <c r="C18" i="73"/>
  <c r="E18" i="73" s="1"/>
  <c r="C19" i="73"/>
  <c r="E19" i="73" s="1"/>
  <c r="C20" i="73"/>
  <c r="E20" i="73" s="1"/>
  <c r="C21" i="73"/>
  <c r="E21" i="73" s="1"/>
  <c r="C22" i="73"/>
  <c r="E22" i="73" s="1"/>
  <c r="C23" i="73"/>
  <c r="E23" i="73" s="1"/>
  <c r="C24" i="73"/>
  <c r="E24" i="73" s="1"/>
  <c r="C25" i="73"/>
  <c r="E25" i="73" s="1"/>
  <c r="C26" i="73"/>
  <c r="E26" i="73" s="1"/>
  <c r="C27" i="73"/>
  <c r="E27" i="73" s="1"/>
  <c r="C28" i="73"/>
  <c r="E28" i="73" s="1"/>
  <c r="C29" i="73"/>
  <c r="E29" i="73" s="1"/>
  <c r="C30" i="73"/>
  <c r="E30" i="73" s="1"/>
  <c r="C31" i="73"/>
  <c r="E31" i="73" s="1"/>
  <c r="B15" i="72" l="1"/>
  <c r="B84" i="72" l="1"/>
  <c r="B80" i="72"/>
  <c r="B76" i="72"/>
  <c r="B72" i="72"/>
  <c r="B66" i="72"/>
  <c r="B62" i="72"/>
  <c r="B58" i="72"/>
  <c r="B54" i="72"/>
  <c r="B48" i="72"/>
  <c r="B44" i="72"/>
  <c r="B40" i="72"/>
  <c r="B79" i="72"/>
  <c r="B61" i="72"/>
  <c r="B56" i="72"/>
  <c r="B83" i="72"/>
  <c r="B78" i="72"/>
  <c r="B73" i="72"/>
  <c r="B65" i="72"/>
  <c r="B60" i="72"/>
  <c r="B55" i="72"/>
  <c r="B47" i="72"/>
  <c r="B42" i="72"/>
  <c r="B37" i="72"/>
  <c r="B82" i="72"/>
  <c r="B77" i="72"/>
  <c r="B71" i="72"/>
  <c r="B64" i="72"/>
  <c r="B59" i="72"/>
  <c r="B53" i="72"/>
  <c r="B46" i="72"/>
  <c r="B41" i="72"/>
  <c r="B36" i="72"/>
  <c r="B81" i="72"/>
  <c r="B75" i="72"/>
  <c r="B70" i="72"/>
  <c r="B63" i="72"/>
  <c r="B57" i="72"/>
  <c r="B52" i="72"/>
  <c r="B45" i="72"/>
  <c r="B39" i="72"/>
  <c r="B35" i="72"/>
  <c r="F15" i="72"/>
  <c r="B74" i="72"/>
  <c r="B43" i="72"/>
  <c r="H15" i="72"/>
  <c r="B38" i="72"/>
  <c r="G15" i="72"/>
  <c r="B34" i="72"/>
  <c r="D15" i="72"/>
  <c r="I15" i="72"/>
  <c r="B16" i="72"/>
  <c r="C15" i="72"/>
  <c r="E15" i="72" s="1"/>
  <c r="B30" i="72"/>
  <c r="B29" i="72"/>
  <c r="J3" i="72"/>
  <c r="I48" i="46"/>
  <c r="H48" i="46"/>
  <c r="G48" i="46"/>
  <c r="F48" i="46"/>
  <c r="D48" i="46"/>
  <c r="C48" i="46"/>
  <c r="E48" i="46" s="1"/>
  <c r="I47" i="46"/>
  <c r="H47" i="46"/>
  <c r="G47" i="46"/>
  <c r="F47" i="46"/>
  <c r="D47" i="46"/>
  <c r="C47" i="46"/>
  <c r="E47" i="46" s="1"/>
  <c r="I46" i="46"/>
  <c r="H46" i="46"/>
  <c r="G46" i="46"/>
  <c r="F46" i="46"/>
  <c r="D46" i="46"/>
  <c r="C46" i="46"/>
  <c r="E46" i="46" s="1"/>
  <c r="I45" i="46"/>
  <c r="H45" i="46"/>
  <c r="G45" i="46"/>
  <c r="F45" i="46"/>
  <c r="D45" i="46"/>
  <c r="C45" i="46"/>
  <c r="E45" i="46" s="1"/>
  <c r="I43" i="46"/>
  <c r="H43" i="46"/>
  <c r="G43" i="46"/>
  <c r="F43" i="46"/>
  <c r="D43" i="46"/>
  <c r="C43" i="46"/>
  <c r="E43" i="46" s="1"/>
  <c r="I42" i="46"/>
  <c r="H42" i="46"/>
  <c r="G42" i="46"/>
  <c r="F42" i="46"/>
  <c r="D42" i="46"/>
  <c r="C42" i="46"/>
  <c r="E42" i="46" s="1"/>
  <c r="I41" i="46"/>
  <c r="H41" i="46"/>
  <c r="G41" i="46"/>
  <c r="F41" i="46"/>
  <c r="D41" i="46"/>
  <c r="C41" i="46"/>
  <c r="E41" i="46" s="1"/>
  <c r="I40" i="46"/>
  <c r="H40" i="46"/>
  <c r="G40" i="46"/>
  <c r="F40" i="46"/>
  <c r="D40" i="46"/>
  <c r="C40" i="46"/>
  <c r="E40" i="46" s="1"/>
  <c r="I38" i="46"/>
  <c r="H38" i="46"/>
  <c r="G38" i="46"/>
  <c r="F38" i="46"/>
  <c r="D38" i="46"/>
  <c r="C38" i="46"/>
  <c r="E38" i="46" s="1"/>
  <c r="I37" i="46"/>
  <c r="H37" i="46"/>
  <c r="G37" i="46"/>
  <c r="F37" i="46"/>
  <c r="D37" i="46"/>
  <c r="C37" i="46"/>
  <c r="E37" i="46" s="1"/>
  <c r="I36" i="46"/>
  <c r="H36" i="46"/>
  <c r="G36" i="46"/>
  <c r="F36" i="46"/>
  <c r="D36" i="46"/>
  <c r="C36" i="46"/>
  <c r="E36" i="46" s="1"/>
  <c r="I35" i="46"/>
  <c r="H35" i="46"/>
  <c r="G35" i="46"/>
  <c r="F35" i="46"/>
  <c r="D35" i="46"/>
  <c r="C35" i="46"/>
  <c r="E35" i="46" s="1"/>
  <c r="I34" i="46"/>
  <c r="H34" i="46"/>
  <c r="G34" i="46"/>
  <c r="F34" i="46"/>
  <c r="D34" i="46"/>
  <c r="C34" i="46"/>
  <c r="E34" i="46" s="1"/>
  <c r="I16" i="46"/>
  <c r="H16" i="46"/>
  <c r="G16" i="46"/>
  <c r="F16" i="46"/>
  <c r="D16" i="46"/>
  <c r="C16" i="46"/>
  <c r="E16" i="46" s="1"/>
  <c r="I15" i="46"/>
  <c r="H15" i="46"/>
  <c r="G15" i="46"/>
  <c r="F15" i="46"/>
  <c r="D15" i="46"/>
  <c r="C15" i="46"/>
  <c r="E15" i="46" s="1"/>
  <c r="I13" i="46"/>
  <c r="H13" i="46"/>
  <c r="G13" i="46"/>
  <c r="F13" i="46"/>
  <c r="D13" i="46"/>
  <c r="C13" i="46"/>
  <c r="E13" i="46" s="1"/>
  <c r="H34" i="72" l="1"/>
  <c r="C34" i="72"/>
  <c r="E34" i="72" s="1"/>
  <c r="G34" i="72"/>
  <c r="F34" i="72"/>
  <c r="D34" i="72"/>
  <c r="I34" i="72"/>
  <c r="H43" i="72"/>
  <c r="C43" i="72"/>
  <c r="E43" i="72" s="1"/>
  <c r="G43" i="72"/>
  <c r="F43" i="72"/>
  <c r="D43" i="72"/>
  <c r="I43" i="72"/>
  <c r="I39" i="72"/>
  <c r="D39" i="72"/>
  <c r="H39" i="72"/>
  <c r="G39" i="72"/>
  <c r="F39" i="72"/>
  <c r="C39" i="72"/>
  <c r="E39" i="72" s="1"/>
  <c r="H63" i="72"/>
  <c r="D63" i="72"/>
  <c r="G63" i="72"/>
  <c r="F63" i="72"/>
  <c r="I63" i="72"/>
  <c r="C63" i="72"/>
  <c r="E63" i="72" s="1"/>
  <c r="H36" i="72"/>
  <c r="C36" i="72"/>
  <c r="E36" i="72" s="1"/>
  <c r="F36" i="72"/>
  <c r="D36" i="72"/>
  <c r="I36" i="72"/>
  <c r="G36" i="72"/>
  <c r="F59" i="72"/>
  <c r="G59" i="72"/>
  <c r="I59" i="72"/>
  <c r="D59" i="72"/>
  <c r="H59" i="72"/>
  <c r="C59" i="72"/>
  <c r="E59" i="72" s="1"/>
  <c r="F82" i="72"/>
  <c r="D82" i="72"/>
  <c r="H82" i="72"/>
  <c r="C82" i="72"/>
  <c r="E82" i="72" s="1"/>
  <c r="G82" i="72"/>
  <c r="I82" i="72"/>
  <c r="H55" i="72"/>
  <c r="D55" i="72"/>
  <c r="F55" i="72"/>
  <c r="I55" i="72"/>
  <c r="C55" i="72"/>
  <c r="E55" i="72" s="1"/>
  <c r="G55" i="72"/>
  <c r="G78" i="72"/>
  <c r="C78" i="72"/>
  <c r="E78" i="72" s="1"/>
  <c r="F78" i="72"/>
  <c r="I78" i="72"/>
  <c r="D78" i="72"/>
  <c r="H78" i="72"/>
  <c r="I79" i="72"/>
  <c r="D79" i="72"/>
  <c r="G79" i="72"/>
  <c r="F79" i="72"/>
  <c r="C79" i="72"/>
  <c r="E79" i="72" s="1"/>
  <c r="H79" i="72"/>
  <c r="G54" i="72"/>
  <c r="C54" i="72"/>
  <c r="E54" i="72" s="1"/>
  <c r="H54" i="72"/>
  <c r="F54" i="72"/>
  <c r="I54" i="72"/>
  <c r="D54" i="72"/>
  <c r="I72" i="72"/>
  <c r="D72" i="72"/>
  <c r="H72" i="72"/>
  <c r="G72" i="72"/>
  <c r="F72" i="72"/>
  <c r="C72" i="72"/>
  <c r="E72" i="72" s="1"/>
  <c r="H74" i="72"/>
  <c r="D74" i="72"/>
  <c r="F74" i="72"/>
  <c r="I74" i="72"/>
  <c r="C74" i="72"/>
  <c r="E74" i="72" s="1"/>
  <c r="G74" i="72"/>
  <c r="F45" i="72"/>
  <c r="H45" i="72"/>
  <c r="D45" i="72"/>
  <c r="G45" i="72"/>
  <c r="C45" i="72"/>
  <c r="E45" i="72" s="1"/>
  <c r="I45" i="72"/>
  <c r="I70" i="72"/>
  <c r="D70" i="72"/>
  <c r="H70" i="72"/>
  <c r="C70" i="72"/>
  <c r="E70" i="72" s="1"/>
  <c r="G70" i="72"/>
  <c r="F70" i="72"/>
  <c r="H41" i="72"/>
  <c r="D41" i="72"/>
  <c r="F41" i="72"/>
  <c r="I41" i="72"/>
  <c r="C41" i="72"/>
  <c r="E41" i="72" s="1"/>
  <c r="G41" i="72"/>
  <c r="I64" i="72"/>
  <c r="F64" i="72"/>
  <c r="D64" i="72"/>
  <c r="H64" i="72"/>
  <c r="C64" i="72"/>
  <c r="E64" i="72" s="1"/>
  <c r="G64" i="72"/>
  <c r="I37" i="72"/>
  <c r="D37" i="72"/>
  <c r="H37" i="72"/>
  <c r="C37" i="72"/>
  <c r="E37" i="72" s="1"/>
  <c r="G37" i="72"/>
  <c r="F37" i="72"/>
  <c r="H60" i="72"/>
  <c r="C60" i="72"/>
  <c r="E60" i="72" s="1"/>
  <c r="F60" i="72"/>
  <c r="D60" i="72"/>
  <c r="I60" i="72"/>
  <c r="G60" i="72"/>
  <c r="G83" i="72"/>
  <c r="C83" i="72"/>
  <c r="E83" i="72" s="1"/>
  <c r="H83" i="72"/>
  <c r="F83" i="72"/>
  <c r="I83" i="72"/>
  <c r="D83" i="72"/>
  <c r="G40" i="72"/>
  <c r="H40" i="72"/>
  <c r="F40" i="72"/>
  <c r="D40" i="72"/>
  <c r="I40" i="72"/>
  <c r="C40" i="72"/>
  <c r="E40" i="72" s="1"/>
  <c r="I58" i="72"/>
  <c r="H58" i="72"/>
  <c r="C58" i="72"/>
  <c r="E58" i="72" s="1"/>
  <c r="G58" i="72"/>
  <c r="F58" i="72"/>
  <c r="D58" i="72"/>
  <c r="H76" i="72"/>
  <c r="C76" i="72"/>
  <c r="E76" i="72" s="1"/>
  <c r="D76" i="72"/>
  <c r="I76" i="72"/>
  <c r="G76" i="72"/>
  <c r="F76" i="72"/>
  <c r="G38" i="72"/>
  <c r="I38" i="72"/>
  <c r="C38" i="72"/>
  <c r="E38" i="72" s="1"/>
  <c r="H38" i="72"/>
  <c r="F38" i="72"/>
  <c r="D38" i="72"/>
  <c r="H52" i="72"/>
  <c r="C52" i="72"/>
  <c r="E52" i="72" s="1"/>
  <c r="D52" i="72"/>
  <c r="I52" i="72"/>
  <c r="G52" i="72"/>
  <c r="F52" i="72"/>
  <c r="F75" i="72"/>
  <c r="I75" i="72"/>
  <c r="C75" i="72"/>
  <c r="E75" i="72" s="1"/>
  <c r="H75" i="72"/>
  <c r="G75" i="72"/>
  <c r="D75" i="72"/>
  <c r="I46" i="72"/>
  <c r="H46" i="72"/>
  <c r="D46" i="72"/>
  <c r="G46" i="72"/>
  <c r="C46" i="72"/>
  <c r="E46" i="72" s="1"/>
  <c r="F46" i="72"/>
  <c r="G71" i="72"/>
  <c r="H71" i="72"/>
  <c r="F71" i="72"/>
  <c r="D71" i="72"/>
  <c r="I71" i="72"/>
  <c r="C71" i="72"/>
  <c r="E71" i="72" s="1"/>
  <c r="I42" i="72"/>
  <c r="F42" i="72"/>
  <c r="D42" i="72"/>
  <c r="C42" i="72"/>
  <c r="E42" i="72" s="1"/>
  <c r="H42" i="72"/>
  <c r="G42" i="72"/>
  <c r="F65" i="72"/>
  <c r="I65" i="72"/>
  <c r="D65" i="72"/>
  <c r="H65" i="72"/>
  <c r="C65" i="72"/>
  <c r="E65" i="72" s="1"/>
  <c r="G65" i="72"/>
  <c r="F56" i="72"/>
  <c r="D56" i="72"/>
  <c r="I56" i="72"/>
  <c r="C56" i="72"/>
  <c r="E56" i="72" s="1"/>
  <c r="H56" i="72"/>
  <c r="G56" i="72"/>
  <c r="G44" i="72"/>
  <c r="F44" i="72"/>
  <c r="I44" i="72"/>
  <c r="D44" i="72"/>
  <c r="H44" i="72"/>
  <c r="C44" i="72"/>
  <c r="E44" i="72" s="1"/>
  <c r="G62" i="72"/>
  <c r="C62" i="72"/>
  <c r="E62" i="72" s="1"/>
  <c r="I62" i="72"/>
  <c r="D62" i="72"/>
  <c r="H62" i="72"/>
  <c r="F62" i="72"/>
  <c r="G80" i="72"/>
  <c r="D80" i="72"/>
  <c r="I80" i="72"/>
  <c r="C80" i="72"/>
  <c r="E80" i="72" s="1"/>
  <c r="H80" i="72"/>
  <c r="F80" i="72"/>
  <c r="F35" i="72"/>
  <c r="G35" i="72"/>
  <c r="D35" i="72"/>
  <c r="I35" i="72"/>
  <c r="C35" i="72"/>
  <c r="E35" i="72" s="1"/>
  <c r="H35" i="72"/>
  <c r="H57" i="72"/>
  <c r="C57" i="72"/>
  <c r="E57" i="72" s="1"/>
  <c r="D57" i="72"/>
  <c r="I57" i="72"/>
  <c r="G57" i="72"/>
  <c r="F57" i="72"/>
  <c r="I81" i="72"/>
  <c r="D81" i="72"/>
  <c r="C81" i="72"/>
  <c r="E81" i="72" s="1"/>
  <c r="H81" i="72"/>
  <c r="G81" i="72"/>
  <c r="F81" i="72"/>
  <c r="F53" i="72"/>
  <c r="C53" i="72"/>
  <c r="E53" i="72" s="1"/>
  <c r="H53" i="72"/>
  <c r="G53" i="72"/>
  <c r="D53" i="72"/>
  <c r="I53" i="72"/>
  <c r="F77" i="72"/>
  <c r="I77" i="72"/>
  <c r="H77" i="72"/>
  <c r="G77" i="72"/>
  <c r="D77" i="72"/>
  <c r="C77" i="72"/>
  <c r="E77" i="72" s="1"/>
  <c r="F47" i="72"/>
  <c r="I47" i="72"/>
  <c r="H47" i="72"/>
  <c r="D47" i="72"/>
  <c r="G47" i="72"/>
  <c r="C47" i="72"/>
  <c r="E47" i="72" s="1"/>
  <c r="G73" i="72"/>
  <c r="F73" i="72"/>
  <c r="D73" i="72"/>
  <c r="I73" i="72"/>
  <c r="C73" i="72"/>
  <c r="E73" i="72" s="1"/>
  <c r="H73" i="72"/>
  <c r="F61" i="72"/>
  <c r="D61" i="72"/>
  <c r="I61" i="72"/>
  <c r="C61" i="72"/>
  <c r="E61" i="72" s="1"/>
  <c r="H61" i="72"/>
  <c r="G61" i="72"/>
  <c r="H48" i="72"/>
  <c r="G48" i="72"/>
  <c r="C48" i="72"/>
  <c r="E48" i="72" s="1"/>
  <c r="F48" i="72"/>
  <c r="I48" i="72"/>
  <c r="D48" i="72"/>
  <c r="G66" i="72"/>
  <c r="C66" i="72"/>
  <c r="E66" i="72" s="1"/>
  <c r="H66" i="72"/>
  <c r="F66" i="72"/>
  <c r="I66" i="72"/>
  <c r="D66" i="72"/>
  <c r="H84" i="72"/>
  <c r="D84" i="72"/>
  <c r="I84" i="72"/>
  <c r="C84" i="72"/>
  <c r="E84" i="72" s="1"/>
  <c r="G84" i="72"/>
  <c r="F84" i="72"/>
  <c r="H16" i="72"/>
  <c r="C16" i="72"/>
  <c r="E16" i="72" s="1"/>
  <c r="I16" i="72"/>
  <c r="G16" i="72"/>
  <c r="F16" i="72"/>
  <c r="D16" i="72"/>
  <c r="G29" i="72"/>
  <c r="F29" i="72"/>
  <c r="H29" i="72"/>
  <c r="D29" i="72"/>
  <c r="C29" i="72"/>
  <c r="E29" i="72" s="1"/>
  <c r="I29" i="72"/>
  <c r="I30" i="72"/>
  <c r="D30" i="72"/>
  <c r="H30" i="72"/>
  <c r="C30" i="72"/>
  <c r="E30" i="72" s="1"/>
  <c r="G30" i="72"/>
  <c r="F30" i="72"/>
  <c r="B18" i="72"/>
  <c r="B22" i="72"/>
  <c r="B26" i="72"/>
  <c r="B19" i="72"/>
  <c r="B23" i="72"/>
  <c r="B27" i="72"/>
  <c r="B20" i="72"/>
  <c r="B24" i="72"/>
  <c r="B28" i="72"/>
  <c r="B17" i="72"/>
  <c r="B21" i="72"/>
  <c r="B25" i="72"/>
  <c r="I18" i="7"/>
  <c r="I17" i="7"/>
  <c r="I16" i="7"/>
  <c r="I15" i="7"/>
  <c r="I14" i="7"/>
  <c r="I13" i="7"/>
  <c r="I12" i="7"/>
  <c r="I11" i="7"/>
  <c r="I9" i="7"/>
  <c r="I8" i="7"/>
  <c r="I7" i="7"/>
  <c r="I6" i="7"/>
  <c r="H18" i="7"/>
  <c r="H17" i="7"/>
  <c r="H16" i="7"/>
  <c r="H15" i="7"/>
  <c r="H14" i="7"/>
  <c r="H13" i="7"/>
  <c r="H12" i="7"/>
  <c r="H11" i="7"/>
  <c r="H9" i="7"/>
  <c r="H8" i="7"/>
  <c r="H7" i="7"/>
  <c r="H6" i="7"/>
  <c r="D23" i="60"/>
  <c r="C14" i="60"/>
  <c r="D14" i="60"/>
  <c r="E14" i="60"/>
  <c r="F14" i="60"/>
  <c r="H14" i="60"/>
  <c r="I14" i="60"/>
  <c r="K14" i="60"/>
  <c r="L14" i="60"/>
  <c r="N14" i="60"/>
  <c r="O14" i="60"/>
  <c r="Q14" i="60"/>
  <c r="R14" i="60"/>
  <c r="S14" i="60"/>
  <c r="C16" i="60"/>
  <c r="D16" i="60"/>
  <c r="E16" i="60"/>
  <c r="F16" i="60"/>
  <c r="H16" i="60"/>
  <c r="I16" i="60"/>
  <c r="K16" i="60"/>
  <c r="L16" i="60"/>
  <c r="N16" i="60"/>
  <c r="O16" i="60"/>
  <c r="Q16" i="60"/>
  <c r="R16" i="60"/>
  <c r="S16" i="60"/>
  <c r="R127" i="60"/>
  <c r="Q127" i="60"/>
  <c r="O127" i="60"/>
  <c r="N127" i="60"/>
  <c r="L127" i="60"/>
  <c r="K127" i="60"/>
  <c r="I127" i="60"/>
  <c r="H127" i="60"/>
  <c r="F127" i="60"/>
  <c r="E127" i="60"/>
  <c r="D127" i="60"/>
  <c r="C127" i="60"/>
  <c r="R126" i="60"/>
  <c r="Q126" i="60"/>
  <c r="O126" i="60"/>
  <c r="N126" i="60"/>
  <c r="L126" i="60"/>
  <c r="K126" i="60"/>
  <c r="I126" i="60"/>
  <c r="H126" i="60"/>
  <c r="F126" i="60"/>
  <c r="E126" i="60"/>
  <c r="D126" i="60"/>
  <c r="C126" i="60"/>
  <c r="R125" i="60"/>
  <c r="Q125" i="60"/>
  <c r="O125" i="60"/>
  <c r="N125" i="60"/>
  <c r="L125" i="60"/>
  <c r="K125" i="60"/>
  <c r="I125" i="60"/>
  <c r="H125" i="60"/>
  <c r="F125" i="60"/>
  <c r="E125" i="60"/>
  <c r="D125" i="60"/>
  <c r="C125" i="60"/>
  <c r="R124" i="60"/>
  <c r="Q124" i="60"/>
  <c r="O124" i="60"/>
  <c r="N124" i="60"/>
  <c r="L124" i="60"/>
  <c r="K124" i="60"/>
  <c r="I124" i="60"/>
  <c r="H124" i="60"/>
  <c r="F124" i="60"/>
  <c r="E124" i="60"/>
  <c r="D124" i="60"/>
  <c r="C124" i="60"/>
  <c r="R123" i="60"/>
  <c r="Q123" i="60"/>
  <c r="O123" i="60"/>
  <c r="N123" i="60"/>
  <c r="L123" i="60"/>
  <c r="K123" i="60"/>
  <c r="I123" i="60"/>
  <c r="H123" i="60"/>
  <c r="F123" i="60"/>
  <c r="E123" i="60"/>
  <c r="D123" i="60"/>
  <c r="C123" i="60"/>
  <c r="R122" i="60"/>
  <c r="Q122" i="60"/>
  <c r="O122" i="60"/>
  <c r="N122" i="60"/>
  <c r="L122" i="60"/>
  <c r="K122" i="60"/>
  <c r="I122" i="60"/>
  <c r="H122" i="60"/>
  <c r="F122" i="60"/>
  <c r="E122" i="60"/>
  <c r="D122" i="60"/>
  <c r="C122" i="60"/>
  <c r="R121" i="60"/>
  <c r="Q121" i="60"/>
  <c r="O121" i="60"/>
  <c r="N121" i="60"/>
  <c r="L121" i="60"/>
  <c r="K121" i="60"/>
  <c r="I121" i="60"/>
  <c r="H121" i="60"/>
  <c r="F121" i="60"/>
  <c r="E121" i="60"/>
  <c r="D121" i="60"/>
  <c r="C121" i="60"/>
  <c r="R120" i="60"/>
  <c r="Q120" i="60"/>
  <c r="O120" i="60"/>
  <c r="N120" i="60"/>
  <c r="L120" i="60"/>
  <c r="K120" i="60"/>
  <c r="I120" i="60"/>
  <c r="H120" i="60"/>
  <c r="F120" i="60"/>
  <c r="E120" i="60"/>
  <c r="D120" i="60"/>
  <c r="C120" i="60"/>
  <c r="R119" i="60"/>
  <c r="Q119" i="60"/>
  <c r="O119" i="60"/>
  <c r="N119" i="60"/>
  <c r="L119" i="60"/>
  <c r="K119" i="60"/>
  <c r="I119" i="60"/>
  <c r="H119" i="60"/>
  <c r="F119" i="60"/>
  <c r="E119" i="60"/>
  <c r="D119" i="60"/>
  <c r="C119" i="60"/>
  <c r="R118" i="60"/>
  <c r="Q118" i="60"/>
  <c r="O118" i="60"/>
  <c r="N118" i="60"/>
  <c r="L118" i="60"/>
  <c r="K118" i="60"/>
  <c r="I118" i="60"/>
  <c r="H118" i="60"/>
  <c r="F118" i="60"/>
  <c r="E118" i="60"/>
  <c r="D118" i="60"/>
  <c r="C118" i="60"/>
  <c r="R117" i="60"/>
  <c r="Q117" i="60"/>
  <c r="O117" i="60"/>
  <c r="N117" i="60"/>
  <c r="L117" i="60"/>
  <c r="K117" i="60"/>
  <c r="I117" i="60"/>
  <c r="H117" i="60"/>
  <c r="F117" i="60"/>
  <c r="E117" i="60"/>
  <c r="D117" i="60"/>
  <c r="C117" i="60"/>
  <c r="R116" i="60"/>
  <c r="Q116" i="60"/>
  <c r="O116" i="60"/>
  <c r="N116" i="60"/>
  <c r="L116" i="60"/>
  <c r="K116" i="60"/>
  <c r="I116" i="60"/>
  <c r="H116" i="60"/>
  <c r="F116" i="60"/>
  <c r="E116" i="60"/>
  <c r="D116" i="60"/>
  <c r="C116" i="60"/>
  <c r="R115" i="60"/>
  <c r="Q115" i="60"/>
  <c r="O115" i="60"/>
  <c r="N115" i="60"/>
  <c r="L115" i="60"/>
  <c r="K115" i="60"/>
  <c r="I115" i="60"/>
  <c r="H115" i="60"/>
  <c r="F115" i="60"/>
  <c r="E115" i="60"/>
  <c r="D115" i="60"/>
  <c r="C115" i="60"/>
  <c r="R114" i="60"/>
  <c r="Q114" i="60"/>
  <c r="O114" i="60"/>
  <c r="N114" i="60"/>
  <c r="L114" i="60"/>
  <c r="K114" i="60"/>
  <c r="I114" i="60"/>
  <c r="H114" i="60"/>
  <c r="F114" i="60"/>
  <c r="E114" i="60"/>
  <c r="D114" i="60"/>
  <c r="C114" i="60"/>
  <c r="R113" i="60"/>
  <c r="Q113" i="60"/>
  <c r="O113" i="60"/>
  <c r="N113" i="60"/>
  <c r="L113" i="60"/>
  <c r="K113" i="60"/>
  <c r="I113" i="60"/>
  <c r="H113" i="60"/>
  <c r="F113" i="60"/>
  <c r="E113" i="60"/>
  <c r="D113" i="60"/>
  <c r="C113" i="60"/>
  <c r="R112" i="60"/>
  <c r="Q112" i="60"/>
  <c r="O112" i="60"/>
  <c r="N112" i="60"/>
  <c r="L112" i="60"/>
  <c r="K112" i="60"/>
  <c r="I112" i="60"/>
  <c r="H112" i="60"/>
  <c r="F112" i="60"/>
  <c r="E112" i="60"/>
  <c r="D112" i="60"/>
  <c r="C112" i="60"/>
  <c r="R111" i="60"/>
  <c r="Q111" i="60"/>
  <c r="O111" i="60"/>
  <c r="N111" i="60"/>
  <c r="L111" i="60"/>
  <c r="K111" i="60"/>
  <c r="I111" i="60"/>
  <c r="H111" i="60"/>
  <c r="F111" i="60"/>
  <c r="E111" i="60"/>
  <c r="D111" i="60"/>
  <c r="C111" i="60"/>
  <c r="R110" i="60"/>
  <c r="Q110" i="60"/>
  <c r="O110" i="60"/>
  <c r="N110" i="60"/>
  <c r="L110" i="60"/>
  <c r="K110" i="60"/>
  <c r="I110" i="60"/>
  <c r="H110" i="60"/>
  <c r="F110" i="60"/>
  <c r="E110" i="60"/>
  <c r="D110" i="60"/>
  <c r="C110" i="60"/>
  <c r="R109" i="60"/>
  <c r="Q109" i="60"/>
  <c r="O109" i="60"/>
  <c r="N109" i="60"/>
  <c r="L109" i="60"/>
  <c r="K109" i="60"/>
  <c r="I109" i="60"/>
  <c r="H109" i="60"/>
  <c r="F109" i="60"/>
  <c r="E109" i="60"/>
  <c r="D109" i="60"/>
  <c r="C109" i="60"/>
  <c r="R108" i="60"/>
  <c r="Q108" i="60"/>
  <c r="O108" i="60"/>
  <c r="N108" i="60"/>
  <c r="L108" i="60"/>
  <c r="K108" i="60"/>
  <c r="I108" i="60"/>
  <c r="H108" i="60"/>
  <c r="F108" i="60"/>
  <c r="E108" i="60"/>
  <c r="D108" i="60"/>
  <c r="C108" i="60"/>
  <c r="R107" i="60"/>
  <c r="Q107" i="60"/>
  <c r="O107" i="60"/>
  <c r="N107" i="60"/>
  <c r="L107" i="60"/>
  <c r="K107" i="60"/>
  <c r="I107" i="60"/>
  <c r="H107" i="60"/>
  <c r="F107" i="60"/>
  <c r="E107" i="60"/>
  <c r="D107" i="60"/>
  <c r="C107" i="60"/>
  <c r="R106" i="60"/>
  <c r="Q106" i="60"/>
  <c r="O106" i="60"/>
  <c r="N106" i="60"/>
  <c r="L106" i="60"/>
  <c r="K106" i="60"/>
  <c r="I106" i="60"/>
  <c r="H106" i="60"/>
  <c r="F106" i="60"/>
  <c r="E106" i="60"/>
  <c r="D106" i="60"/>
  <c r="C106" i="60"/>
  <c r="R105" i="60"/>
  <c r="Q105" i="60"/>
  <c r="O105" i="60"/>
  <c r="N105" i="60"/>
  <c r="L105" i="60"/>
  <c r="K105" i="60"/>
  <c r="I105" i="60"/>
  <c r="H105" i="60"/>
  <c r="F105" i="60"/>
  <c r="E105" i="60"/>
  <c r="D105" i="60"/>
  <c r="C105" i="60"/>
  <c r="R104" i="60"/>
  <c r="Q104" i="60"/>
  <c r="O104" i="60"/>
  <c r="N104" i="60"/>
  <c r="L104" i="60"/>
  <c r="K104" i="60"/>
  <c r="I104" i="60"/>
  <c r="H104" i="60"/>
  <c r="F104" i="60"/>
  <c r="E104" i="60"/>
  <c r="D104" i="60"/>
  <c r="C104" i="60"/>
  <c r="R103" i="60"/>
  <c r="Q103" i="60"/>
  <c r="O103" i="60"/>
  <c r="N103" i="60"/>
  <c r="L103" i="60"/>
  <c r="K103" i="60"/>
  <c r="I103" i="60"/>
  <c r="H103" i="60"/>
  <c r="F103" i="60"/>
  <c r="E103" i="60"/>
  <c r="D103" i="60"/>
  <c r="C103" i="60"/>
  <c r="R102" i="60"/>
  <c r="Q102" i="60"/>
  <c r="O102" i="60"/>
  <c r="N102" i="60"/>
  <c r="L102" i="60"/>
  <c r="K102" i="60"/>
  <c r="I102" i="60"/>
  <c r="H102" i="60"/>
  <c r="F102" i="60"/>
  <c r="E102" i="60"/>
  <c r="D102" i="60"/>
  <c r="C102" i="60"/>
  <c r="R101" i="60"/>
  <c r="Q101" i="60"/>
  <c r="O101" i="60"/>
  <c r="N101" i="60"/>
  <c r="L101" i="60"/>
  <c r="K101" i="60"/>
  <c r="I101" i="60"/>
  <c r="H101" i="60"/>
  <c r="F101" i="60"/>
  <c r="E101" i="60"/>
  <c r="D101" i="60"/>
  <c r="C101" i="60"/>
  <c r="R100" i="60"/>
  <c r="Q100" i="60"/>
  <c r="O100" i="60"/>
  <c r="N100" i="60"/>
  <c r="L100" i="60"/>
  <c r="K100" i="60"/>
  <c r="I100" i="60"/>
  <c r="H100" i="60"/>
  <c r="F100" i="60"/>
  <c r="E100" i="60"/>
  <c r="D100" i="60"/>
  <c r="C100" i="60"/>
  <c r="R99" i="60"/>
  <c r="Q99" i="60"/>
  <c r="O99" i="60"/>
  <c r="N99" i="60"/>
  <c r="L99" i="60"/>
  <c r="K99" i="60"/>
  <c r="I99" i="60"/>
  <c r="H99" i="60"/>
  <c r="F99" i="60"/>
  <c r="E99" i="60"/>
  <c r="D99" i="60"/>
  <c r="C99" i="60"/>
  <c r="R98" i="60"/>
  <c r="Q98" i="60"/>
  <c r="O98" i="60"/>
  <c r="N98" i="60"/>
  <c r="L98" i="60"/>
  <c r="K98" i="60"/>
  <c r="I98" i="60"/>
  <c r="H98" i="60"/>
  <c r="F98" i="60"/>
  <c r="E98" i="60"/>
  <c r="D98" i="60"/>
  <c r="C98" i="60"/>
  <c r="R97" i="60"/>
  <c r="Q97" i="60"/>
  <c r="O97" i="60"/>
  <c r="N97" i="60"/>
  <c r="L97" i="60"/>
  <c r="K97" i="60"/>
  <c r="I97" i="60"/>
  <c r="H97" i="60"/>
  <c r="F97" i="60"/>
  <c r="E97" i="60"/>
  <c r="D97" i="60"/>
  <c r="C97" i="60"/>
  <c r="R96" i="60"/>
  <c r="Q96" i="60"/>
  <c r="O96" i="60"/>
  <c r="N96" i="60"/>
  <c r="L96" i="60"/>
  <c r="K96" i="60"/>
  <c r="I96" i="60"/>
  <c r="H96" i="60"/>
  <c r="F96" i="60"/>
  <c r="E96" i="60"/>
  <c r="D96" i="60"/>
  <c r="C96" i="60"/>
  <c r="R95" i="60"/>
  <c r="Q95" i="60"/>
  <c r="O95" i="60"/>
  <c r="N95" i="60"/>
  <c r="L95" i="60"/>
  <c r="K95" i="60"/>
  <c r="I95" i="60"/>
  <c r="H95" i="60"/>
  <c r="F95" i="60"/>
  <c r="E95" i="60"/>
  <c r="D95" i="60"/>
  <c r="C95" i="60"/>
  <c r="R94" i="60"/>
  <c r="Q94" i="60"/>
  <c r="O94" i="60"/>
  <c r="N94" i="60"/>
  <c r="L94" i="60"/>
  <c r="K94" i="60"/>
  <c r="I94" i="60"/>
  <c r="H94" i="60"/>
  <c r="F94" i="60"/>
  <c r="E94" i="60"/>
  <c r="D94" i="60"/>
  <c r="C94" i="60"/>
  <c r="R93" i="60"/>
  <c r="Q93" i="60"/>
  <c r="O93" i="60"/>
  <c r="N93" i="60"/>
  <c r="L93" i="60"/>
  <c r="K93" i="60"/>
  <c r="I93" i="60"/>
  <c r="H93" i="60"/>
  <c r="F93" i="60"/>
  <c r="E93" i="60"/>
  <c r="D93" i="60"/>
  <c r="C93" i="60"/>
  <c r="R92" i="60"/>
  <c r="Q92" i="60"/>
  <c r="O92" i="60"/>
  <c r="N92" i="60"/>
  <c r="L92" i="60"/>
  <c r="K92" i="60"/>
  <c r="I92" i="60"/>
  <c r="H92" i="60"/>
  <c r="F92" i="60"/>
  <c r="E92" i="60"/>
  <c r="D92" i="60"/>
  <c r="C92" i="60"/>
  <c r="R91" i="60"/>
  <c r="Q91" i="60"/>
  <c r="O91" i="60"/>
  <c r="N91" i="60"/>
  <c r="L91" i="60"/>
  <c r="K91" i="60"/>
  <c r="I91" i="60"/>
  <c r="H91" i="60"/>
  <c r="F91" i="60"/>
  <c r="E91" i="60"/>
  <c r="D91" i="60"/>
  <c r="C91" i="60"/>
  <c r="R90" i="60"/>
  <c r="Q90" i="60"/>
  <c r="O90" i="60"/>
  <c r="N90" i="60"/>
  <c r="L90" i="60"/>
  <c r="K90" i="60"/>
  <c r="I90" i="60"/>
  <c r="H90" i="60"/>
  <c r="F90" i="60"/>
  <c r="E90" i="60"/>
  <c r="D90" i="60"/>
  <c r="C90" i="60"/>
  <c r="R89" i="60"/>
  <c r="Q89" i="60"/>
  <c r="O89" i="60"/>
  <c r="N89" i="60"/>
  <c r="L89" i="60"/>
  <c r="K89" i="60"/>
  <c r="I89" i="60"/>
  <c r="H89" i="60"/>
  <c r="F89" i="60"/>
  <c r="E89" i="60"/>
  <c r="D89" i="60"/>
  <c r="C89" i="60"/>
  <c r="R88" i="60"/>
  <c r="Q88" i="60"/>
  <c r="O88" i="60"/>
  <c r="N88" i="60"/>
  <c r="L88" i="60"/>
  <c r="K88" i="60"/>
  <c r="I88" i="60"/>
  <c r="H88" i="60"/>
  <c r="F88" i="60"/>
  <c r="E88" i="60"/>
  <c r="D88" i="60"/>
  <c r="C88" i="60"/>
  <c r="R87" i="60"/>
  <c r="Q87" i="60"/>
  <c r="O87" i="60"/>
  <c r="N87" i="60"/>
  <c r="L87" i="60"/>
  <c r="K87" i="60"/>
  <c r="I87" i="60"/>
  <c r="H87" i="60"/>
  <c r="F87" i="60"/>
  <c r="E87" i="60"/>
  <c r="D87" i="60"/>
  <c r="C87" i="60"/>
  <c r="R86" i="60"/>
  <c r="Q86" i="60"/>
  <c r="O86" i="60"/>
  <c r="N86" i="60"/>
  <c r="L86" i="60"/>
  <c r="K86" i="60"/>
  <c r="I86" i="60"/>
  <c r="H86" i="60"/>
  <c r="F86" i="60"/>
  <c r="E86" i="60"/>
  <c r="D86" i="60"/>
  <c r="C86" i="60"/>
  <c r="R85" i="60"/>
  <c r="Q85" i="60"/>
  <c r="O85" i="60"/>
  <c r="N85" i="60"/>
  <c r="L85" i="60"/>
  <c r="K85" i="60"/>
  <c r="I85" i="60"/>
  <c r="H85" i="60"/>
  <c r="F85" i="60"/>
  <c r="E85" i="60"/>
  <c r="D85" i="60"/>
  <c r="C85" i="60"/>
  <c r="R84" i="60"/>
  <c r="Q84" i="60"/>
  <c r="O84" i="60"/>
  <c r="N84" i="60"/>
  <c r="L84" i="60"/>
  <c r="K84" i="60"/>
  <c r="I84" i="60"/>
  <c r="H84" i="60"/>
  <c r="F84" i="60"/>
  <c r="E84" i="60"/>
  <c r="D84" i="60"/>
  <c r="C84" i="60"/>
  <c r="R83" i="60"/>
  <c r="Q83" i="60"/>
  <c r="O83" i="60"/>
  <c r="N83" i="60"/>
  <c r="L83" i="60"/>
  <c r="K83" i="60"/>
  <c r="I83" i="60"/>
  <c r="H83" i="60"/>
  <c r="F83" i="60"/>
  <c r="E83" i="60"/>
  <c r="D83" i="60"/>
  <c r="C83" i="60"/>
  <c r="R82" i="60"/>
  <c r="Q82" i="60"/>
  <c r="O82" i="60"/>
  <c r="N82" i="60"/>
  <c r="L82" i="60"/>
  <c r="K82" i="60"/>
  <c r="I82" i="60"/>
  <c r="H82" i="60"/>
  <c r="F82" i="60"/>
  <c r="E82" i="60"/>
  <c r="D82" i="60"/>
  <c r="C82" i="60"/>
  <c r="R81" i="60"/>
  <c r="Q81" i="60"/>
  <c r="O81" i="60"/>
  <c r="N81" i="60"/>
  <c r="L81" i="60"/>
  <c r="K81" i="60"/>
  <c r="I81" i="60"/>
  <c r="H81" i="60"/>
  <c r="F81" i="60"/>
  <c r="E81" i="60"/>
  <c r="D81" i="60"/>
  <c r="C81" i="60"/>
  <c r="R80" i="60"/>
  <c r="Q80" i="60"/>
  <c r="O80" i="60"/>
  <c r="N80" i="60"/>
  <c r="L80" i="60"/>
  <c r="K80" i="60"/>
  <c r="I80" i="60"/>
  <c r="H80" i="60"/>
  <c r="F80" i="60"/>
  <c r="E80" i="60"/>
  <c r="D80" i="60"/>
  <c r="C80" i="60"/>
  <c r="R79" i="60"/>
  <c r="Q79" i="60"/>
  <c r="O79" i="60"/>
  <c r="N79" i="60"/>
  <c r="L79" i="60"/>
  <c r="K79" i="60"/>
  <c r="I79" i="60"/>
  <c r="H79" i="60"/>
  <c r="F79" i="60"/>
  <c r="E79" i="60"/>
  <c r="D79" i="60"/>
  <c r="C79" i="60"/>
  <c r="R78" i="60"/>
  <c r="Q78" i="60"/>
  <c r="O78" i="60"/>
  <c r="N78" i="60"/>
  <c r="L78" i="60"/>
  <c r="K78" i="60"/>
  <c r="I78" i="60"/>
  <c r="H78" i="60"/>
  <c r="F78" i="60"/>
  <c r="E78" i="60"/>
  <c r="D78" i="60"/>
  <c r="C78" i="60"/>
  <c r="R77" i="60"/>
  <c r="Q77" i="60"/>
  <c r="O77" i="60"/>
  <c r="N77" i="60"/>
  <c r="L77" i="60"/>
  <c r="K77" i="60"/>
  <c r="I77" i="60"/>
  <c r="H77" i="60"/>
  <c r="F77" i="60"/>
  <c r="E77" i="60"/>
  <c r="D77" i="60"/>
  <c r="C77" i="60"/>
  <c r="R76" i="60"/>
  <c r="Q76" i="60"/>
  <c r="O76" i="60"/>
  <c r="N76" i="60"/>
  <c r="L76" i="60"/>
  <c r="K76" i="60"/>
  <c r="I76" i="60"/>
  <c r="H76" i="60"/>
  <c r="F76" i="60"/>
  <c r="E76" i="60"/>
  <c r="D76" i="60"/>
  <c r="C76" i="60"/>
  <c r="R75" i="60"/>
  <c r="Q75" i="60"/>
  <c r="O75" i="60"/>
  <c r="N75" i="60"/>
  <c r="L75" i="60"/>
  <c r="K75" i="60"/>
  <c r="I75" i="60"/>
  <c r="H75" i="60"/>
  <c r="F75" i="60"/>
  <c r="E75" i="60"/>
  <c r="D75" i="60"/>
  <c r="C75" i="60"/>
  <c r="R74" i="60"/>
  <c r="Q74" i="60"/>
  <c r="O74" i="60"/>
  <c r="N74" i="60"/>
  <c r="L74" i="60"/>
  <c r="K74" i="60"/>
  <c r="I74" i="60"/>
  <c r="H74" i="60"/>
  <c r="F74" i="60"/>
  <c r="E74" i="60"/>
  <c r="D74" i="60"/>
  <c r="C74" i="60"/>
  <c r="R73" i="60"/>
  <c r="Q73" i="60"/>
  <c r="O73" i="60"/>
  <c r="N73" i="60"/>
  <c r="L73" i="60"/>
  <c r="K73" i="60"/>
  <c r="I73" i="60"/>
  <c r="H73" i="60"/>
  <c r="F73" i="60"/>
  <c r="E73" i="60"/>
  <c r="D73" i="60"/>
  <c r="C73" i="60"/>
  <c r="R72" i="60"/>
  <c r="Q72" i="60"/>
  <c r="O72" i="60"/>
  <c r="N72" i="60"/>
  <c r="L72" i="60"/>
  <c r="K72" i="60"/>
  <c r="I72" i="60"/>
  <c r="H72" i="60"/>
  <c r="F72" i="60"/>
  <c r="E72" i="60"/>
  <c r="D72" i="60"/>
  <c r="C72" i="60"/>
  <c r="R71" i="60"/>
  <c r="Q71" i="60"/>
  <c r="O71" i="60"/>
  <c r="N71" i="60"/>
  <c r="L71" i="60"/>
  <c r="K71" i="60"/>
  <c r="I71" i="60"/>
  <c r="H71" i="60"/>
  <c r="F71" i="60"/>
  <c r="E71" i="60"/>
  <c r="D71" i="60"/>
  <c r="C71" i="60"/>
  <c r="R70" i="60"/>
  <c r="Q70" i="60"/>
  <c r="O70" i="60"/>
  <c r="N70" i="60"/>
  <c r="L70" i="60"/>
  <c r="K70" i="60"/>
  <c r="I70" i="60"/>
  <c r="H70" i="60"/>
  <c r="F70" i="60"/>
  <c r="E70" i="60"/>
  <c r="D70" i="60"/>
  <c r="C70" i="60"/>
  <c r="R69" i="60"/>
  <c r="Q69" i="60"/>
  <c r="O69" i="60"/>
  <c r="N69" i="60"/>
  <c r="L69" i="60"/>
  <c r="K69" i="60"/>
  <c r="I69" i="60"/>
  <c r="H69" i="60"/>
  <c r="F69" i="60"/>
  <c r="E69" i="60"/>
  <c r="D69" i="60"/>
  <c r="C69" i="60"/>
  <c r="R64" i="60"/>
  <c r="Q64" i="60"/>
  <c r="O64" i="60"/>
  <c r="N64" i="60"/>
  <c r="L64" i="60"/>
  <c r="K64" i="60"/>
  <c r="I64" i="60"/>
  <c r="H64" i="60"/>
  <c r="F64" i="60"/>
  <c r="E64" i="60"/>
  <c r="D64" i="60"/>
  <c r="C64" i="60"/>
  <c r="S63" i="60"/>
  <c r="R63" i="60"/>
  <c r="Q63" i="60"/>
  <c r="O63" i="60"/>
  <c r="N63" i="60"/>
  <c r="L63" i="60"/>
  <c r="K63" i="60"/>
  <c r="I63" i="60"/>
  <c r="H63" i="60"/>
  <c r="F63" i="60"/>
  <c r="E63" i="60"/>
  <c r="D63" i="60"/>
  <c r="C63" i="60"/>
  <c r="S62" i="60"/>
  <c r="R62" i="60"/>
  <c r="Q62" i="60"/>
  <c r="O62" i="60"/>
  <c r="N62" i="60"/>
  <c r="L62" i="60"/>
  <c r="K62" i="60"/>
  <c r="I62" i="60"/>
  <c r="H62" i="60"/>
  <c r="F62" i="60"/>
  <c r="E62" i="60"/>
  <c r="D62" i="60"/>
  <c r="C62" i="60"/>
  <c r="S61" i="60"/>
  <c r="R61" i="60"/>
  <c r="Q61" i="60"/>
  <c r="O61" i="60"/>
  <c r="N61" i="60"/>
  <c r="L61" i="60"/>
  <c r="K61" i="60"/>
  <c r="I61" i="60"/>
  <c r="H61" i="60"/>
  <c r="F61" i="60"/>
  <c r="E61" i="60"/>
  <c r="D61" i="60"/>
  <c r="C61" i="60"/>
  <c r="S60" i="60"/>
  <c r="R60" i="60"/>
  <c r="Q60" i="60"/>
  <c r="O60" i="60"/>
  <c r="N60" i="60"/>
  <c r="L60" i="60"/>
  <c r="K60" i="60"/>
  <c r="I60" i="60"/>
  <c r="H60" i="60"/>
  <c r="F60" i="60"/>
  <c r="E60" i="60"/>
  <c r="D60" i="60"/>
  <c r="C60" i="60"/>
  <c r="S59" i="60"/>
  <c r="R59" i="60"/>
  <c r="Q59" i="60"/>
  <c r="O59" i="60"/>
  <c r="N59" i="60"/>
  <c r="L59" i="60"/>
  <c r="K59" i="60"/>
  <c r="I59" i="60"/>
  <c r="H59" i="60"/>
  <c r="F59" i="60"/>
  <c r="E59" i="60"/>
  <c r="D59" i="60"/>
  <c r="C59" i="60"/>
  <c r="S58" i="60"/>
  <c r="R58" i="60"/>
  <c r="Q58" i="60"/>
  <c r="O58" i="60"/>
  <c r="N58" i="60"/>
  <c r="L58" i="60"/>
  <c r="K58" i="60"/>
  <c r="I58" i="60"/>
  <c r="H58" i="60"/>
  <c r="F58" i="60"/>
  <c r="E58" i="60"/>
  <c r="D58" i="60"/>
  <c r="C58" i="60"/>
  <c r="S57" i="60"/>
  <c r="R57" i="60"/>
  <c r="Q57" i="60"/>
  <c r="O57" i="60"/>
  <c r="N57" i="60"/>
  <c r="L57" i="60"/>
  <c r="K57" i="60"/>
  <c r="I57" i="60"/>
  <c r="H57" i="60"/>
  <c r="F57" i="60"/>
  <c r="E57" i="60"/>
  <c r="D57" i="60"/>
  <c r="C57" i="60"/>
  <c r="R56" i="60"/>
  <c r="Q56" i="60"/>
  <c r="O56" i="60"/>
  <c r="N56" i="60"/>
  <c r="L56" i="60"/>
  <c r="K56" i="60"/>
  <c r="I56" i="60"/>
  <c r="H56" i="60"/>
  <c r="F56" i="60"/>
  <c r="E56" i="60"/>
  <c r="D56" i="60"/>
  <c r="C56" i="60"/>
  <c r="S55" i="60"/>
  <c r="R55" i="60"/>
  <c r="Q55" i="60"/>
  <c r="O55" i="60"/>
  <c r="N55" i="60"/>
  <c r="L55" i="60"/>
  <c r="K55" i="60"/>
  <c r="I55" i="60"/>
  <c r="H55" i="60"/>
  <c r="F55" i="60"/>
  <c r="E55" i="60"/>
  <c r="D55" i="60"/>
  <c r="C55" i="60"/>
  <c r="S54" i="60"/>
  <c r="R54" i="60"/>
  <c r="Q54" i="60"/>
  <c r="O54" i="60"/>
  <c r="N54" i="60"/>
  <c r="L54" i="60"/>
  <c r="K54" i="60"/>
  <c r="I54" i="60"/>
  <c r="H54" i="60"/>
  <c r="F54" i="60"/>
  <c r="E54" i="60"/>
  <c r="D54" i="60"/>
  <c r="C54" i="60"/>
  <c r="S53" i="60"/>
  <c r="R53" i="60"/>
  <c r="Q53" i="60"/>
  <c r="O53" i="60"/>
  <c r="N53" i="60"/>
  <c r="L53" i="60"/>
  <c r="K53" i="60"/>
  <c r="I53" i="60"/>
  <c r="H53" i="60"/>
  <c r="F53" i="60"/>
  <c r="E53" i="60"/>
  <c r="D53" i="60"/>
  <c r="C53" i="60"/>
  <c r="S52" i="60"/>
  <c r="R52" i="60"/>
  <c r="Q52" i="60"/>
  <c r="O52" i="60"/>
  <c r="N52" i="60"/>
  <c r="L52" i="60"/>
  <c r="K52" i="60"/>
  <c r="I52" i="60"/>
  <c r="H52" i="60"/>
  <c r="F52" i="60"/>
  <c r="E52" i="60"/>
  <c r="D52" i="60"/>
  <c r="C52" i="60"/>
  <c r="S51" i="60"/>
  <c r="R51" i="60"/>
  <c r="Q51" i="60"/>
  <c r="O51" i="60"/>
  <c r="N51" i="60"/>
  <c r="L51" i="60"/>
  <c r="K51" i="60"/>
  <c r="I51" i="60"/>
  <c r="H51" i="60"/>
  <c r="F51" i="60"/>
  <c r="E51" i="60"/>
  <c r="D51" i="60"/>
  <c r="C51" i="60"/>
  <c r="S50" i="60"/>
  <c r="R50" i="60"/>
  <c r="Q50" i="60"/>
  <c r="O50" i="60"/>
  <c r="N50" i="60"/>
  <c r="L50" i="60"/>
  <c r="K50" i="60"/>
  <c r="I50" i="60"/>
  <c r="H50" i="60"/>
  <c r="F50" i="60"/>
  <c r="E50" i="60"/>
  <c r="D50" i="60"/>
  <c r="C50" i="60"/>
  <c r="S49" i="60"/>
  <c r="R49" i="60"/>
  <c r="Q49" i="60"/>
  <c r="O49" i="60"/>
  <c r="N49" i="60"/>
  <c r="L49" i="60"/>
  <c r="K49" i="60"/>
  <c r="I49" i="60"/>
  <c r="H49" i="60"/>
  <c r="F49" i="60"/>
  <c r="E49" i="60"/>
  <c r="D49" i="60"/>
  <c r="C49" i="60"/>
  <c r="S48" i="60"/>
  <c r="R48" i="60"/>
  <c r="Q48" i="60"/>
  <c r="O48" i="60"/>
  <c r="N48" i="60"/>
  <c r="L48" i="60"/>
  <c r="K48" i="60"/>
  <c r="I48" i="60"/>
  <c r="H48" i="60"/>
  <c r="F48" i="60"/>
  <c r="E48" i="60"/>
  <c r="D48" i="60"/>
  <c r="C48" i="60"/>
  <c r="S47" i="60"/>
  <c r="R47" i="60"/>
  <c r="Q47" i="60"/>
  <c r="O47" i="60"/>
  <c r="N47" i="60"/>
  <c r="L47" i="60"/>
  <c r="K47" i="60"/>
  <c r="I47" i="60"/>
  <c r="H47" i="60"/>
  <c r="F47" i="60"/>
  <c r="E47" i="60"/>
  <c r="D47" i="60"/>
  <c r="C47" i="60"/>
  <c r="R46" i="60"/>
  <c r="Q46" i="60"/>
  <c r="O46" i="60"/>
  <c r="N46" i="60"/>
  <c r="L46" i="60"/>
  <c r="K46" i="60"/>
  <c r="I46" i="60"/>
  <c r="H46" i="60"/>
  <c r="F46" i="60"/>
  <c r="E46" i="60"/>
  <c r="D46" i="60"/>
  <c r="C46" i="60"/>
  <c r="S45" i="60"/>
  <c r="R45" i="60"/>
  <c r="Q45" i="60"/>
  <c r="O45" i="60"/>
  <c r="N45" i="60"/>
  <c r="L45" i="60"/>
  <c r="K45" i="60"/>
  <c r="I45" i="60"/>
  <c r="H45" i="60"/>
  <c r="F45" i="60"/>
  <c r="E45" i="60"/>
  <c r="D45" i="60"/>
  <c r="C45" i="60"/>
  <c r="S44" i="60"/>
  <c r="R44" i="60"/>
  <c r="Q44" i="60"/>
  <c r="O44" i="60"/>
  <c r="N44" i="60"/>
  <c r="L44" i="60"/>
  <c r="K44" i="60"/>
  <c r="I44" i="60"/>
  <c r="H44" i="60"/>
  <c r="F44" i="60"/>
  <c r="E44" i="60"/>
  <c r="D44" i="60"/>
  <c r="C44" i="60"/>
  <c r="S43" i="60"/>
  <c r="R43" i="60"/>
  <c r="Q43" i="60"/>
  <c r="O43" i="60"/>
  <c r="N43" i="60"/>
  <c r="L43" i="60"/>
  <c r="K43" i="60"/>
  <c r="I43" i="60"/>
  <c r="H43" i="60"/>
  <c r="F43" i="60"/>
  <c r="E43" i="60"/>
  <c r="D43" i="60"/>
  <c r="C43" i="60"/>
  <c r="S42" i="60"/>
  <c r="R42" i="60"/>
  <c r="Q42" i="60"/>
  <c r="O42" i="60"/>
  <c r="N42" i="60"/>
  <c r="L42" i="60"/>
  <c r="K42" i="60"/>
  <c r="I42" i="60"/>
  <c r="H42" i="60"/>
  <c r="F42" i="60"/>
  <c r="E42" i="60"/>
  <c r="D42" i="60"/>
  <c r="C42" i="60"/>
  <c r="S41" i="60"/>
  <c r="R41" i="60"/>
  <c r="Q41" i="60"/>
  <c r="O41" i="60"/>
  <c r="N41" i="60"/>
  <c r="L41" i="60"/>
  <c r="K41" i="60"/>
  <c r="I41" i="60"/>
  <c r="H41" i="60"/>
  <c r="F41" i="60"/>
  <c r="E41" i="60"/>
  <c r="D41" i="60"/>
  <c r="C41" i="60"/>
  <c r="S40" i="60"/>
  <c r="R40" i="60"/>
  <c r="Q40" i="60"/>
  <c r="O40" i="60"/>
  <c r="N40" i="60"/>
  <c r="L40" i="60"/>
  <c r="K40" i="60"/>
  <c r="I40" i="60"/>
  <c r="H40" i="60"/>
  <c r="F40" i="60"/>
  <c r="E40" i="60"/>
  <c r="D40" i="60"/>
  <c r="C40" i="60"/>
  <c r="S39" i="60"/>
  <c r="R39" i="60"/>
  <c r="Q39" i="60"/>
  <c r="O39" i="60"/>
  <c r="N39" i="60"/>
  <c r="L39" i="60"/>
  <c r="K39" i="60"/>
  <c r="I39" i="60"/>
  <c r="H39" i="60"/>
  <c r="F39" i="60"/>
  <c r="E39" i="60"/>
  <c r="D39" i="60"/>
  <c r="C39" i="60"/>
  <c r="S38" i="60"/>
  <c r="R38" i="60"/>
  <c r="Q38" i="60"/>
  <c r="O38" i="60"/>
  <c r="N38" i="60"/>
  <c r="L38" i="60"/>
  <c r="K38" i="60"/>
  <c r="I38" i="60"/>
  <c r="H38" i="60"/>
  <c r="F38" i="60"/>
  <c r="E38" i="60"/>
  <c r="D38" i="60"/>
  <c r="C38" i="60"/>
  <c r="S37" i="60"/>
  <c r="R37" i="60"/>
  <c r="Q37" i="60"/>
  <c r="O37" i="60"/>
  <c r="N37" i="60"/>
  <c r="L37" i="60"/>
  <c r="K37" i="60"/>
  <c r="I37" i="60"/>
  <c r="H37" i="60"/>
  <c r="F37" i="60"/>
  <c r="E37" i="60"/>
  <c r="D37" i="60"/>
  <c r="C37" i="60"/>
  <c r="R36" i="60"/>
  <c r="Q36" i="60"/>
  <c r="O36" i="60"/>
  <c r="N36" i="60"/>
  <c r="L36" i="60"/>
  <c r="K36" i="60"/>
  <c r="I36" i="60"/>
  <c r="H36" i="60"/>
  <c r="F36" i="60"/>
  <c r="E36" i="60"/>
  <c r="D36" i="60"/>
  <c r="S35" i="60"/>
  <c r="R35" i="60"/>
  <c r="Q35" i="60"/>
  <c r="O35" i="60"/>
  <c r="N35" i="60"/>
  <c r="L35" i="60"/>
  <c r="K35" i="60"/>
  <c r="I35" i="60"/>
  <c r="H35" i="60"/>
  <c r="F35" i="60"/>
  <c r="E35" i="60"/>
  <c r="D35" i="60"/>
  <c r="C35" i="60"/>
  <c r="S34" i="60"/>
  <c r="R34" i="60"/>
  <c r="Q34" i="60"/>
  <c r="O34" i="60"/>
  <c r="N34" i="60"/>
  <c r="L34" i="60"/>
  <c r="K34" i="60"/>
  <c r="I34" i="60"/>
  <c r="H34" i="60"/>
  <c r="F34" i="60"/>
  <c r="E34" i="60"/>
  <c r="D34" i="60"/>
  <c r="C34" i="60"/>
  <c r="S33" i="60"/>
  <c r="R33" i="60"/>
  <c r="Q33" i="60"/>
  <c r="O33" i="60"/>
  <c r="N33" i="60"/>
  <c r="L33" i="60"/>
  <c r="K33" i="60"/>
  <c r="I33" i="60"/>
  <c r="H33" i="60"/>
  <c r="F33" i="60"/>
  <c r="E33" i="60"/>
  <c r="D33" i="60"/>
  <c r="C33" i="60"/>
  <c r="S32" i="60"/>
  <c r="R32" i="60"/>
  <c r="Q32" i="60"/>
  <c r="O32" i="60"/>
  <c r="N32" i="60"/>
  <c r="L32" i="60"/>
  <c r="K32" i="60"/>
  <c r="I32" i="60"/>
  <c r="H32" i="60"/>
  <c r="F32" i="60"/>
  <c r="E32" i="60"/>
  <c r="D32" i="60"/>
  <c r="C32" i="60"/>
  <c r="S31" i="60"/>
  <c r="R31" i="60"/>
  <c r="Q31" i="60"/>
  <c r="O31" i="60"/>
  <c r="N31" i="60"/>
  <c r="L31" i="60"/>
  <c r="K31" i="60"/>
  <c r="I31" i="60"/>
  <c r="H31" i="60"/>
  <c r="F31" i="60"/>
  <c r="E31" i="60"/>
  <c r="D31" i="60"/>
  <c r="C31" i="60"/>
  <c r="S30" i="60"/>
  <c r="R30" i="60"/>
  <c r="Q30" i="60"/>
  <c r="O30" i="60"/>
  <c r="N30" i="60"/>
  <c r="L30" i="60"/>
  <c r="K30" i="60"/>
  <c r="I30" i="60"/>
  <c r="H30" i="60"/>
  <c r="F30" i="60"/>
  <c r="E30" i="60"/>
  <c r="D30" i="60"/>
  <c r="C30" i="60"/>
  <c r="S29" i="60"/>
  <c r="R29" i="60"/>
  <c r="Q29" i="60"/>
  <c r="O29" i="60"/>
  <c r="N29" i="60"/>
  <c r="L29" i="60"/>
  <c r="K29" i="60"/>
  <c r="I29" i="60"/>
  <c r="H29" i="60"/>
  <c r="F29" i="60"/>
  <c r="E29" i="60"/>
  <c r="D29" i="60"/>
  <c r="C29" i="60"/>
  <c r="S28" i="60"/>
  <c r="R28" i="60"/>
  <c r="Q28" i="60"/>
  <c r="O28" i="60"/>
  <c r="N28" i="60"/>
  <c r="L28" i="60"/>
  <c r="K28" i="60"/>
  <c r="I28" i="60"/>
  <c r="H28" i="60"/>
  <c r="F28" i="60"/>
  <c r="E28" i="60"/>
  <c r="D28" i="60"/>
  <c r="C28" i="60"/>
  <c r="S27" i="60"/>
  <c r="R27" i="60"/>
  <c r="Q27" i="60"/>
  <c r="O27" i="60"/>
  <c r="N27" i="60"/>
  <c r="L27" i="60"/>
  <c r="K27" i="60"/>
  <c r="I27" i="60"/>
  <c r="H27" i="60"/>
  <c r="F27" i="60"/>
  <c r="E27" i="60"/>
  <c r="D27" i="60"/>
  <c r="C27" i="60"/>
  <c r="S26" i="60"/>
  <c r="R26" i="60"/>
  <c r="Q26" i="60"/>
  <c r="O26" i="60"/>
  <c r="N26" i="60"/>
  <c r="L26" i="60"/>
  <c r="K26" i="60"/>
  <c r="I26" i="60"/>
  <c r="H26" i="60"/>
  <c r="F26" i="60"/>
  <c r="E26" i="60"/>
  <c r="D26" i="60"/>
  <c r="C26" i="60"/>
  <c r="S25" i="60"/>
  <c r="R25" i="60"/>
  <c r="Q25" i="60"/>
  <c r="O25" i="60"/>
  <c r="N25" i="60"/>
  <c r="L25" i="60"/>
  <c r="K25" i="60"/>
  <c r="I25" i="60"/>
  <c r="H25" i="60"/>
  <c r="F25" i="60"/>
  <c r="E25" i="60"/>
  <c r="D25" i="60"/>
  <c r="C25" i="60"/>
  <c r="S24" i="60"/>
  <c r="R24" i="60"/>
  <c r="Q24" i="60"/>
  <c r="O24" i="60"/>
  <c r="N24" i="60"/>
  <c r="L24" i="60"/>
  <c r="K24" i="60"/>
  <c r="I24" i="60"/>
  <c r="H24" i="60"/>
  <c r="F24" i="60"/>
  <c r="E24" i="60"/>
  <c r="D24" i="60"/>
  <c r="C24" i="60"/>
  <c r="S22" i="60"/>
  <c r="R22" i="60"/>
  <c r="Q22" i="60"/>
  <c r="O22" i="60"/>
  <c r="N22" i="60"/>
  <c r="L22" i="60"/>
  <c r="K22" i="60"/>
  <c r="I22" i="60"/>
  <c r="H22" i="60"/>
  <c r="F22" i="60"/>
  <c r="E22" i="60"/>
  <c r="D22" i="60"/>
  <c r="C22" i="60"/>
  <c r="S21" i="60"/>
  <c r="R21" i="60"/>
  <c r="Q21" i="60"/>
  <c r="O21" i="60"/>
  <c r="N21" i="60"/>
  <c r="L21" i="60"/>
  <c r="K21" i="60"/>
  <c r="I21" i="60"/>
  <c r="H21" i="60"/>
  <c r="F21" i="60"/>
  <c r="E21" i="60"/>
  <c r="D21" i="60"/>
  <c r="C21" i="60"/>
  <c r="S20" i="60"/>
  <c r="R20" i="60"/>
  <c r="Q20" i="60"/>
  <c r="O20" i="60"/>
  <c r="N20" i="60"/>
  <c r="L20" i="60"/>
  <c r="K20" i="60"/>
  <c r="I20" i="60"/>
  <c r="H20" i="60"/>
  <c r="F20" i="60"/>
  <c r="E20" i="60"/>
  <c r="D20" i="60"/>
  <c r="C20" i="60"/>
  <c r="S19" i="60"/>
  <c r="R19" i="60"/>
  <c r="Q19" i="60"/>
  <c r="O19" i="60"/>
  <c r="N19" i="60"/>
  <c r="L19" i="60"/>
  <c r="K19" i="60"/>
  <c r="I19" i="60"/>
  <c r="H19" i="60"/>
  <c r="F19" i="60"/>
  <c r="E19" i="60"/>
  <c r="D19" i="60"/>
  <c r="C19" i="60"/>
  <c r="S18" i="60"/>
  <c r="R18" i="60"/>
  <c r="Q18" i="60"/>
  <c r="O18" i="60"/>
  <c r="N18" i="60"/>
  <c r="L18" i="60"/>
  <c r="K18" i="60"/>
  <c r="I18" i="60"/>
  <c r="H18" i="60"/>
  <c r="F18" i="60"/>
  <c r="E18" i="60"/>
  <c r="D18" i="60"/>
  <c r="C18" i="60"/>
  <c r="S17" i="60"/>
  <c r="R17" i="60"/>
  <c r="Q17" i="60"/>
  <c r="O17" i="60"/>
  <c r="N17" i="60"/>
  <c r="L17" i="60"/>
  <c r="K17" i="60"/>
  <c r="I17" i="60"/>
  <c r="H17" i="60"/>
  <c r="F17" i="60"/>
  <c r="E17" i="60"/>
  <c r="D17" i="60"/>
  <c r="C17" i="60"/>
  <c r="S15" i="60"/>
  <c r="R15" i="60"/>
  <c r="Q15" i="60"/>
  <c r="O15" i="60"/>
  <c r="N15" i="60"/>
  <c r="L15" i="60"/>
  <c r="K15" i="60"/>
  <c r="I15" i="60"/>
  <c r="H15" i="60"/>
  <c r="F15" i="60"/>
  <c r="E15" i="60"/>
  <c r="D15" i="60"/>
  <c r="C15" i="60"/>
  <c r="S13" i="60"/>
  <c r="R13" i="60"/>
  <c r="Q13" i="60"/>
  <c r="O13" i="60"/>
  <c r="N13" i="60"/>
  <c r="L13" i="60"/>
  <c r="K13" i="60"/>
  <c r="I13" i="60"/>
  <c r="H13" i="60"/>
  <c r="F13" i="60"/>
  <c r="E13" i="60"/>
  <c r="D13" i="60"/>
  <c r="C13" i="60"/>
  <c r="S12" i="60"/>
  <c r="R12" i="60"/>
  <c r="Q12" i="60"/>
  <c r="O12" i="60"/>
  <c r="N12" i="60"/>
  <c r="L12" i="60"/>
  <c r="K12" i="60"/>
  <c r="I12" i="60"/>
  <c r="H12" i="60"/>
  <c r="F12" i="60"/>
  <c r="E12" i="60"/>
  <c r="D12" i="60"/>
  <c r="C12" i="60"/>
  <c r="S11" i="60"/>
  <c r="R11" i="60"/>
  <c r="Q11" i="60"/>
  <c r="O11" i="60"/>
  <c r="N11" i="60"/>
  <c r="L11" i="60"/>
  <c r="K11" i="60"/>
  <c r="I11" i="60"/>
  <c r="H11" i="60"/>
  <c r="F11" i="60"/>
  <c r="E11" i="60"/>
  <c r="D11" i="60"/>
  <c r="C11" i="60"/>
  <c r="S10" i="60"/>
  <c r="R10" i="60"/>
  <c r="Q10" i="60"/>
  <c r="O10" i="60"/>
  <c r="N10" i="60"/>
  <c r="L10" i="60"/>
  <c r="K10" i="60"/>
  <c r="I10" i="60"/>
  <c r="H10" i="60"/>
  <c r="F10" i="60"/>
  <c r="E10" i="60"/>
  <c r="D10" i="60"/>
  <c r="C10" i="60"/>
  <c r="S9" i="60"/>
  <c r="R9" i="60"/>
  <c r="Q9" i="60"/>
  <c r="O9" i="60"/>
  <c r="N9" i="60"/>
  <c r="L9" i="60"/>
  <c r="K9" i="60"/>
  <c r="I9" i="60"/>
  <c r="H9" i="60"/>
  <c r="F9" i="60"/>
  <c r="E9" i="60"/>
  <c r="D9" i="60"/>
  <c r="C9" i="60"/>
  <c r="S8" i="60"/>
  <c r="R8" i="60"/>
  <c r="Q8" i="60"/>
  <c r="O8" i="60"/>
  <c r="N8" i="60"/>
  <c r="L8" i="60"/>
  <c r="K8" i="60"/>
  <c r="I8" i="60"/>
  <c r="H8" i="60"/>
  <c r="F8" i="60"/>
  <c r="E8" i="60"/>
  <c r="D8" i="60"/>
  <c r="C8" i="60"/>
  <c r="R7" i="60"/>
  <c r="F7" i="60"/>
  <c r="D7" i="60"/>
  <c r="R6" i="60"/>
  <c r="Q6" i="60"/>
  <c r="O6" i="60"/>
  <c r="N6" i="60"/>
  <c r="L6" i="60"/>
  <c r="K6" i="60"/>
  <c r="I6" i="60"/>
  <c r="H6" i="60"/>
  <c r="F6" i="60"/>
  <c r="E6" i="60"/>
  <c r="D6" i="60"/>
  <c r="C6" i="60"/>
  <c r="G23" i="72" l="1"/>
  <c r="F23" i="72"/>
  <c r="C23" i="72"/>
  <c r="E23" i="72" s="1"/>
  <c r="I23" i="72"/>
  <c r="H23" i="72"/>
  <c r="D23" i="72"/>
  <c r="G25" i="72"/>
  <c r="F25" i="72"/>
  <c r="H25" i="72"/>
  <c r="D25" i="72"/>
  <c r="C25" i="72"/>
  <c r="E25" i="72" s="1"/>
  <c r="I25" i="72"/>
  <c r="I24" i="72"/>
  <c r="D24" i="72"/>
  <c r="H24" i="72"/>
  <c r="C24" i="72"/>
  <c r="E24" i="72" s="1"/>
  <c r="F24" i="72"/>
  <c r="G24" i="72"/>
  <c r="G19" i="72"/>
  <c r="F19" i="72"/>
  <c r="C19" i="72"/>
  <c r="E19" i="72" s="1"/>
  <c r="I19" i="72"/>
  <c r="H19" i="72"/>
  <c r="D19" i="72"/>
  <c r="I28" i="72"/>
  <c r="D28" i="72"/>
  <c r="H28" i="72"/>
  <c r="C28" i="72"/>
  <c r="E28" i="72" s="1"/>
  <c r="F28" i="72"/>
  <c r="G28" i="72"/>
  <c r="G21" i="72"/>
  <c r="F21" i="72"/>
  <c r="H21" i="72"/>
  <c r="D21" i="72"/>
  <c r="C21" i="72"/>
  <c r="E21" i="72" s="1"/>
  <c r="I21" i="72"/>
  <c r="I20" i="72"/>
  <c r="D20" i="72"/>
  <c r="H20" i="72"/>
  <c r="C20" i="72"/>
  <c r="E20" i="72" s="1"/>
  <c r="F20" i="72"/>
  <c r="G20" i="72"/>
  <c r="I26" i="72"/>
  <c r="D26" i="72"/>
  <c r="H26" i="72"/>
  <c r="C26" i="72"/>
  <c r="E26" i="72" s="1"/>
  <c r="G26" i="72"/>
  <c r="F26" i="72"/>
  <c r="I18" i="72"/>
  <c r="D18" i="72"/>
  <c r="H18" i="72"/>
  <c r="C18" i="72"/>
  <c r="E18" i="72" s="1"/>
  <c r="G18" i="72"/>
  <c r="F18" i="72"/>
  <c r="F17" i="72"/>
  <c r="H17" i="72"/>
  <c r="G17" i="72"/>
  <c r="D17" i="72"/>
  <c r="I17" i="72"/>
  <c r="C17" i="72"/>
  <c r="E17" i="72" s="1"/>
  <c r="G27" i="72"/>
  <c r="F27" i="72"/>
  <c r="C27" i="72"/>
  <c r="E27" i="72" s="1"/>
  <c r="I27" i="72"/>
  <c r="H27" i="72"/>
  <c r="D27" i="72"/>
  <c r="I22" i="72"/>
  <c r="D22" i="72"/>
  <c r="H22" i="72"/>
  <c r="C22" i="72"/>
  <c r="E22" i="72" s="1"/>
  <c r="G22" i="72"/>
  <c r="F22" i="72"/>
  <c r="F23" i="60"/>
  <c r="L23" i="60"/>
  <c r="R23" i="60"/>
  <c r="C36" i="60"/>
  <c r="J14" i="60"/>
  <c r="C23" i="60"/>
  <c r="H23" i="60"/>
  <c r="N23" i="60"/>
  <c r="M14" i="60"/>
  <c r="G14" i="60"/>
  <c r="P16" i="60"/>
  <c r="J16" i="60"/>
  <c r="E23" i="60"/>
  <c r="K23" i="60"/>
  <c r="Q23" i="60"/>
  <c r="M16" i="60"/>
  <c r="P14" i="60"/>
  <c r="I23" i="60"/>
  <c r="O23" i="60"/>
  <c r="E7" i="60"/>
  <c r="K7" i="60"/>
  <c r="Q7" i="60"/>
  <c r="L7" i="60"/>
  <c r="G16" i="60"/>
  <c r="H7" i="60"/>
  <c r="I7" i="60"/>
  <c r="N7" i="60"/>
  <c r="O7" i="60"/>
  <c r="S56" i="60" l="1"/>
  <c r="S36" i="60"/>
  <c r="S23" i="60"/>
  <c r="S46" i="60"/>
  <c r="S7" i="60"/>
  <c r="S6" i="60" l="1"/>
  <c r="J69" i="60"/>
  <c r="P69" i="60"/>
  <c r="P70" i="60"/>
  <c r="P86" i="60"/>
  <c r="J99" i="60"/>
  <c r="J109" i="60"/>
  <c r="P109" i="60"/>
  <c r="J119" i="60"/>
  <c r="J127" i="60"/>
  <c r="G119" i="60"/>
  <c r="G127" i="60"/>
  <c r="G70" i="60"/>
  <c r="G86" i="60"/>
  <c r="G99" i="60"/>
  <c r="J70" i="60"/>
  <c r="J86" i="60"/>
  <c r="P99" i="60"/>
  <c r="P119" i="60"/>
  <c r="P127" i="60"/>
  <c r="M69" i="60"/>
  <c r="M70" i="60"/>
  <c r="M86" i="60"/>
  <c r="M99" i="60"/>
  <c r="G109" i="60"/>
  <c r="M109" i="60"/>
  <c r="M119" i="60"/>
  <c r="M127" i="60"/>
  <c r="G69" i="60"/>
  <c r="M71" i="60" l="1"/>
  <c r="M72" i="60"/>
  <c r="M73" i="60"/>
  <c r="M74" i="60"/>
  <c r="M75" i="60"/>
  <c r="M76" i="60"/>
  <c r="M77" i="60"/>
  <c r="G78" i="60"/>
  <c r="G81" i="60"/>
  <c r="G82" i="60"/>
  <c r="G83" i="60"/>
  <c r="G85" i="60"/>
  <c r="G72" i="60"/>
  <c r="G73" i="60"/>
  <c r="G74" i="60"/>
  <c r="G75" i="60"/>
  <c r="G76" i="60"/>
  <c r="G77" i="60"/>
  <c r="M78" i="60"/>
  <c r="M79" i="60"/>
  <c r="M80" i="60"/>
  <c r="M81" i="60"/>
  <c r="M82" i="60"/>
  <c r="M83" i="60"/>
  <c r="G84" i="60"/>
  <c r="M84" i="60"/>
  <c r="M85" i="60"/>
  <c r="G87" i="60"/>
  <c r="M87" i="60"/>
  <c r="G88" i="60"/>
  <c r="G71" i="60"/>
  <c r="G79" i="60"/>
  <c r="G80" i="60"/>
  <c r="M88" i="60"/>
  <c r="G89" i="60"/>
  <c r="M89" i="60"/>
  <c r="G90" i="60"/>
  <c r="M90" i="60"/>
  <c r="G91" i="60"/>
  <c r="G10" i="60"/>
  <c r="M10" i="60"/>
  <c r="G26" i="60"/>
  <c r="M26" i="60"/>
  <c r="G27" i="60"/>
  <c r="M27" i="60"/>
  <c r="G28" i="60"/>
  <c r="M28" i="60"/>
  <c r="G29" i="60"/>
  <c r="M29" i="60"/>
  <c r="G30" i="60"/>
  <c r="M30" i="60"/>
  <c r="G31" i="60"/>
  <c r="M31" i="60"/>
  <c r="G32" i="60"/>
  <c r="M91" i="60"/>
  <c r="G92" i="60"/>
  <c r="M92" i="60"/>
  <c r="G93" i="60"/>
  <c r="M93" i="60"/>
  <c r="G94" i="60"/>
  <c r="M94" i="60"/>
  <c r="G95" i="60"/>
  <c r="M95" i="60"/>
  <c r="G96" i="60"/>
  <c r="M96" i="60"/>
  <c r="G97" i="60"/>
  <c r="M97" i="60"/>
  <c r="G98" i="60"/>
  <c r="M98" i="60"/>
  <c r="G100" i="60"/>
  <c r="M100" i="60"/>
  <c r="G101" i="60"/>
  <c r="M101" i="60"/>
  <c r="G102" i="60"/>
  <c r="M102" i="60"/>
  <c r="G103" i="60"/>
  <c r="M103" i="60"/>
  <c r="G104" i="60"/>
  <c r="M104" i="60"/>
  <c r="G105" i="60"/>
  <c r="M105" i="60"/>
  <c r="G106" i="60"/>
  <c r="M106" i="60"/>
  <c r="G107" i="60"/>
  <c r="M107" i="60"/>
  <c r="G108" i="60"/>
  <c r="M108" i="60"/>
  <c r="G110" i="60"/>
  <c r="M110" i="60"/>
  <c r="G111" i="60"/>
  <c r="M111" i="60"/>
  <c r="G112" i="60"/>
  <c r="M112" i="60"/>
  <c r="G113" i="60"/>
  <c r="M113" i="60"/>
  <c r="G114" i="60"/>
  <c r="M114" i="60"/>
  <c r="G115" i="60"/>
  <c r="M115" i="60"/>
  <c r="G116" i="60"/>
  <c r="M116" i="60"/>
  <c r="G117" i="60"/>
  <c r="M117" i="60"/>
  <c r="G118" i="60"/>
  <c r="M118" i="60"/>
  <c r="G120" i="60"/>
  <c r="M120" i="60"/>
  <c r="G121" i="60"/>
  <c r="M121" i="60"/>
  <c r="G122" i="60"/>
  <c r="M122" i="60"/>
  <c r="G123" i="60"/>
  <c r="M123" i="60"/>
  <c r="G124" i="60"/>
  <c r="M124" i="60"/>
  <c r="G125" i="60"/>
  <c r="M125" i="60"/>
  <c r="G126" i="60"/>
  <c r="M32" i="60"/>
  <c r="G33" i="60"/>
  <c r="M33" i="60"/>
  <c r="G34" i="60"/>
  <c r="M34" i="60"/>
  <c r="G35" i="60"/>
  <c r="M35" i="60"/>
  <c r="G38" i="60"/>
  <c r="M38" i="60"/>
  <c r="G39" i="60"/>
  <c r="M39" i="60"/>
  <c r="G40" i="60"/>
  <c r="M40" i="60"/>
  <c r="G41" i="60"/>
  <c r="M41" i="60"/>
  <c r="G42" i="60"/>
  <c r="M42" i="60"/>
  <c r="G43" i="60"/>
  <c r="M43" i="60"/>
  <c r="G44" i="60"/>
  <c r="M44" i="60"/>
  <c r="G45" i="60"/>
  <c r="M45" i="60"/>
  <c r="G48" i="60"/>
  <c r="M48" i="60"/>
  <c r="G49" i="60"/>
  <c r="M49" i="60"/>
  <c r="G50" i="60"/>
  <c r="M50" i="60"/>
  <c r="G51" i="60"/>
  <c r="M51" i="60"/>
  <c r="G52" i="60"/>
  <c r="M52" i="60"/>
  <c r="G53" i="60"/>
  <c r="M53" i="60"/>
  <c r="M11" i="60"/>
  <c r="G11" i="60"/>
  <c r="G12" i="60"/>
  <c r="M12" i="60"/>
  <c r="G13" i="60"/>
  <c r="M13" i="60"/>
  <c r="G17" i="60"/>
  <c r="M17" i="60"/>
  <c r="G18" i="60"/>
  <c r="M18" i="60"/>
  <c r="G19" i="60"/>
  <c r="M19" i="60"/>
  <c r="G20" i="60"/>
  <c r="M20" i="60"/>
  <c r="G21" i="60"/>
  <c r="G22" i="60"/>
  <c r="M22" i="60"/>
  <c r="G25" i="60"/>
  <c r="M25" i="60"/>
  <c r="M21" i="60"/>
  <c r="G54" i="60"/>
  <c r="M54" i="60"/>
  <c r="G55" i="60"/>
  <c r="M55" i="60"/>
  <c r="G57" i="60"/>
  <c r="M57" i="60"/>
  <c r="G58" i="60"/>
  <c r="M58" i="60"/>
  <c r="G59" i="60"/>
  <c r="M59" i="60"/>
  <c r="G60" i="60"/>
  <c r="M60" i="60"/>
  <c r="G61" i="60"/>
  <c r="M61" i="60"/>
  <c r="G62" i="60"/>
  <c r="M62" i="60"/>
  <c r="G63" i="60"/>
  <c r="M63" i="60"/>
  <c r="M126" i="60"/>
  <c r="J17" i="60"/>
  <c r="P17" i="60"/>
  <c r="P10" i="60"/>
  <c r="J11" i="60"/>
  <c r="P12" i="60"/>
  <c r="J13" i="60"/>
  <c r="J10" i="60"/>
  <c r="P11" i="60"/>
  <c r="J12" i="60"/>
  <c r="P13" i="60"/>
  <c r="P15" i="60"/>
  <c r="J18" i="60"/>
  <c r="P18" i="60"/>
  <c r="J19" i="60"/>
  <c r="P19" i="60"/>
  <c r="J20" i="60"/>
  <c r="P20" i="60"/>
  <c r="J21" i="60"/>
  <c r="P21" i="60"/>
  <c r="J22" i="60"/>
  <c r="P22" i="60"/>
  <c r="J25" i="60"/>
  <c r="P25" i="60"/>
  <c r="J26" i="60"/>
  <c r="P26" i="60"/>
  <c r="J27" i="60"/>
  <c r="P27" i="60"/>
  <c r="J28" i="60"/>
  <c r="P28" i="60"/>
  <c r="J29" i="60"/>
  <c r="P29" i="60"/>
  <c r="J30" i="60"/>
  <c r="P30" i="60"/>
  <c r="J31" i="60"/>
  <c r="P31" i="60"/>
  <c r="J32" i="60"/>
  <c r="P32" i="60"/>
  <c r="J33" i="60"/>
  <c r="P33" i="60"/>
  <c r="J34" i="60"/>
  <c r="P34" i="60"/>
  <c r="J35" i="60"/>
  <c r="P35" i="60"/>
  <c r="J38" i="60"/>
  <c r="P38" i="60"/>
  <c r="J39" i="60"/>
  <c r="P39" i="60"/>
  <c r="J40" i="60"/>
  <c r="P40" i="60"/>
  <c r="J41" i="60"/>
  <c r="P41" i="60"/>
  <c r="J42" i="60"/>
  <c r="P42" i="60"/>
  <c r="J43" i="60"/>
  <c r="P43" i="60"/>
  <c r="J44" i="60"/>
  <c r="P44" i="60"/>
  <c r="J45" i="60"/>
  <c r="P45" i="60"/>
  <c r="J48" i="60"/>
  <c r="P48" i="60"/>
  <c r="J49" i="60"/>
  <c r="P49" i="60"/>
  <c r="J50" i="60"/>
  <c r="P50" i="60"/>
  <c r="J51" i="60"/>
  <c r="P51" i="60"/>
  <c r="J52" i="60"/>
  <c r="P52" i="60"/>
  <c r="J53" i="60"/>
  <c r="P53" i="60"/>
  <c r="J54" i="60"/>
  <c r="P54" i="60"/>
  <c r="J55" i="60"/>
  <c r="P55" i="60"/>
  <c r="J57" i="60"/>
  <c r="P57" i="60"/>
  <c r="J58" i="60"/>
  <c r="P58" i="60"/>
  <c r="J59" i="60"/>
  <c r="P59" i="60"/>
  <c r="J60" i="60"/>
  <c r="P60" i="60"/>
  <c r="J61" i="60"/>
  <c r="P61" i="60"/>
  <c r="J62" i="60"/>
  <c r="P62" i="60"/>
  <c r="J63" i="60"/>
  <c r="P63" i="60"/>
  <c r="J71" i="60"/>
  <c r="P71" i="60"/>
  <c r="J72" i="60"/>
  <c r="P72" i="60"/>
  <c r="J73" i="60"/>
  <c r="P73" i="60"/>
  <c r="J74" i="60"/>
  <c r="P74" i="60"/>
  <c r="J75" i="60"/>
  <c r="P75" i="60"/>
  <c r="J76" i="60"/>
  <c r="P76" i="60"/>
  <c r="J77" i="60"/>
  <c r="P77" i="60"/>
  <c r="J78" i="60"/>
  <c r="P78" i="60"/>
  <c r="J79" i="60"/>
  <c r="P79" i="60"/>
  <c r="J80" i="60"/>
  <c r="P80" i="60"/>
  <c r="J81" i="60"/>
  <c r="P81" i="60"/>
  <c r="J82" i="60"/>
  <c r="P82" i="60"/>
  <c r="J83" i="60"/>
  <c r="P83" i="60"/>
  <c r="J84" i="60"/>
  <c r="P84" i="60"/>
  <c r="J85" i="60"/>
  <c r="P85" i="60"/>
  <c r="J87" i="60"/>
  <c r="P87" i="60"/>
  <c r="J88" i="60"/>
  <c r="P88" i="60"/>
  <c r="J89" i="60"/>
  <c r="P89" i="60"/>
  <c r="J90" i="60"/>
  <c r="P90" i="60"/>
  <c r="J91" i="60"/>
  <c r="P91" i="60"/>
  <c r="J92" i="60"/>
  <c r="P92" i="60"/>
  <c r="J93" i="60"/>
  <c r="P93" i="60"/>
  <c r="J94" i="60"/>
  <c r="P94" i="60"/>
  <c r="J95" i="60"/>
  <c r="P95" i="60"/>
  <c r="J96" i="60"/>
  <c r="P96" i="60"/>
  <c r="J97" i="60"/>
  <c r="P97" i="60"/>
  <c r="J98" i="60"/>
  <c r="P98" i="60"/>
  <c r="J100" i="60"/>
  <c r="P100" i="60"/>
  <c r="J101" i="60"/>
  <c r="P101" i="60"/>
  <c r="J102" i="60"/>
  <c r="P102" i="60"/>
  <c r="J103" i="60"/>
  <c r="P103" i="60"/>
  <c r="J104" i="60"/>
  <c r="P104" i="60"/>
  <c r="J105" i="60"/>
  <c r="P105" i="60"/>
  <c r="J106" i="60"/>
  <c r="P106" i="60"/>
  <c r="J107" i="60"/>
  <c r="P107" i="60"/>
  <c r="J108" i="60"/>
  <c r="P108" i="60"/>
  <c r="J110" i="60"/>
  <c r="P110" i="60"/>
  <c r="J111" i="60"/>
  <c r="P111" i="60"/>
  <c r="J112" i="60"/>
  <c r="P112" i="60"/>
  <c r="J113" i="60"/>
  <c r="P113" i="60"/>
  <c r="J114" i="60"/>
  <c r="P114" i="60"/>
  <c r="J115" i="60"/>
  <c r="P115" i="60"/>
  <c r="J116" i="60"/>
  <c r="P116" i="60"/>
  <c r="J117" i="60"/>
  <c r="P117" i="60"/>
  <c r="J118" i="60"/>
  <c r="P118" i="60"/>
  <c r="J120" i="60"/>
  <c r="P120" i="60"/>
  <c r="J121" i="60"/>
  <c r="P121" i="60"/>
  <c r="J122" i="60"/>
  <c r="P122" i="60"/>
  <c r="J123" i="60"/>
  <c r="P123" i="60"/>
  <c r="J124" i="60"/>
  <c r="P124" i="60"/>
  <c r="J125" i="60"/>
  <c r="P125" i="60"/>
  <c r="J126" i="60"/>
  <c r="P126" i="60"/>
  <c r="G15" i="60"/>
  <c r="M15" i="60"/>
  <c r="J15" i="60"/>
  <c r="C7" i="60"/>
  <c r="M7" i="60" l="1"/>
  <c r="G36" i="60"/>
  <c r="M36" i="60"/>
  <c r="G46" i="60"/>
  <c r="M46" i="60"/>
  <c r="G56" i="60"/>
  <c r="M56" i="60"/>
  <c r="G23" i="60"/>
  <c r="M23" i="60"/>
  <c r="G8" i="60"/>
  <c r="M8" i="60"/>
  <c r="G9" i="60"/>
  <c r="M9" i="60"/>
  <c r="G24" i="60"/>
  <c r="M24" i="60"/>
  <c r="G37" i="60"/>
  <c r="M37" i="60"/>
  <c r="G47" i="60"/>
  <c r="M47" i="60"/>
  <c r="G64" i="60"/>
  <c r="M64" i="60"/>
  <c r="G7" i="60"/>
  <c r="J46" i="60"/>
  <c r="P46" i="60"/>
  <c r="J56" i="60"/>
  <c r="P56" i="60"/>
  <c r="J64" i="60"/>
  <c r="G6" i="60"/>
  <c r="J7" i="60"/>
  <c r="P8" i="60"/>
  <c r="P9" i="60"/>
  <c r="J24" i="60"/>
  <c r="P37" i="60"/>
  <c r="P47" i="60"/>
  <c r="J23" i="60"/>
  <c r="P36" i="60"/>
  <c r="J6" i="60"/>
  <c r="P6" i="60"/>
  <c r="M6" i="60"/>
  <c r="P7" i="60"/>
  <c r="J8" i="60"/>
  <c r="J9" i="60"/>
  <c r="P24" i="60"/>
  <c r="J37" i="60"/>
  <c r="J47" i="60"/>
  <c r="P23" i="60"/>
  <c r="J36" i="60"/>
  <c r="P64" i="60"/>
  <c r="M12" i="35" l="1"/>
  <c r="L12" i="35"/>
  <c r="G37" i="35"/>
  <c r="F37" i="35"/>
  <c r="M26" i="35"/>
  <c r="L26" i="35"/>
  <c r="M25" i="35"/>
  <c r="L25" i="35"/>
  <c r="M24" i="35"/>
  <c r="L24" i="35"/>
  <c r="M23" i="35"/>
  <c r="L23" i="35"/>
  <c r="M21" i="35"/>
  <c r="L21" i="35"/>
  <c r="M20" i="35"/>
  <c r="L20" i="35"/>
  <c r="M19" i="35"/>
  <c r="L19" i="35"/>
  <c r="M17" i="35"/>
  <c r="L17" i="35"/>
  <c r="M16" i="35"/>
  <c r="L16" i="35"/>
  <c r="M15" i="35"/>
  <c r="L15" i="35"/>
  <c r="M14" i="35"/>
  <c r="L14" i="35"/>
  <c r="M13" i="35"/>
  <c r="L13" i="35"/>
  <c r="M10" i="35"/>
  <c r="L10" i="35"/>
  <c r="M9" i="35"/>
  <c r="L9" i="35"/>
  <c r="M8" i="35"/>
  <c r="L8" i="35"/>
  <c r="G44" i="35"/>
  <c r="F44" i="35"/>
  <c r="G43" i="35"/>
  <c r="F43" i="35"/>
  <c r="G42" i="35"/>
  <c r="F42" i="35"/>
  <c r="G41" i="35"/>
  <c r="F41" i="35"/>
  <c r="G40" i="35"/>
  <c r="F40" i="35"/>
  <c r="G39" i="35"/>
  <c r="F39" i="35"/>
  <c r="G36" i="35"/>
  <c r="F36" i="35"/>
  <c r="G35" i="35"/>
  <c r="F35" i="35"/>
  <c r="G34" i="35"/>
  <c r="F34" i="35"/>
  <c r="G33" i="35"/>
  <c r="F33" i="35"/>
  <c r="G32" i="35"/>
  <c r="F32" i="35"/>
  <c r="G31" i="35"/>
  <c r="F31" i="35"/>
  <c r="G29" i="35"/>
  <c r="F29" i="35"/>
  <c r="G28" i="35"/>
  <c r="F28" i="35"/>
  <c r="G27" i="35"/>
  <c r="F27" i="35"/>
  <c r="G26" i="35"/>
  <c r="F26" i="35"/>
  <c r="G25" i="35"/>
  <c r="F25" i="35"/>
  <c r="G24" i="35"/>
  <c r="F24" i="35"/>
  <c r="G23" i="35"/>
  <c r="F23" i="35"/>
  <c r="G21" i="35"/>
  <c r="F21" i="35"/>
  <c r="G20" i="35"/>
  <c r="F20" i="35"/>
  <c r="G19" i="35"/>
  <c r="F19" i="35"/>
  <c r="G18" i="35"/>
  <c r="F18" i="35"/>
  <c r="G17" i="35"/>
  <c r="F17" i="35"/>
  <c r="G16" i="35"/>
  <c r="F16" i="35"/>
  <c r="G15" i="35"/>
  <c r="F15" i="35"/>
  <c r="G13" i="35"/>
  <c r="F13" i="35"/>
  <c r="G12" i="35"/>
  <c r="H12" i="35" s="1"/>
  <c r="G10" i="35"/>
  <c r="F10" i="35"/>
  <c r="G9" i="35"/>
  <c r="F9" i="35"/>
  <c r="G8" i="35"/>
  <c r="F8" i="35"/>
  <c r="N14" i="35" l="1"/>
  <c r="N16" i="35"/>
  <c r="H36" i="35"/>
  <c r="H40" i="35"/>
  <c r="H42" i="35"/>
  <c r="N9" i="35"/>
  <c r="N20" i="35"/>
  <c r="N23" i="35"/>
  <c r="H21" i="35"/>
  <c r="N12" i="35"/>
  <c r="H13" i="35"/>
  <c r="H16" i="35"/>
  <c r="H18" i="35"/>
  <c r="H20" i="35"/>
  <c r="H23" i="35"/>
  <c r="H25" i="35"/>
  <c r="H27" i="35"/>
  <c r="H29" i="35"/>
  <c r="H32" i="35"/>
  <c r="H34" i="35"/>
  <c r="H15" i="35"/>
  <c r="N25" i="35"/>
  <c r="H17" i="35"/>
  <c r="H19" i="35"/>
  <c r="H24" i="35"/>
  <c r="H26" i="35"/>
  <c r="H28" i="35"/>
  <c r="H31" i="35"/>
  <c r="H10" i="35"/>
  <c r="H8" i="35"/>
  <c r="H9" i="35"/>
  <c r="H37" i="35"/>
  <c r="H33" i="35"/>
  <c r="H44" i="35"/>
  <c r="H35" i="35"/>
  <c r="N13" i="35"/>
  <c r="N15" i="35"/>
  <c r="N17" i="35"/>
  <c r="H39" i="35"/>
  <c r="H41" i="35"/>
  <c r="H43" i="35"/>
  <c r="N8" i="35"/>
  <c r="N10" i="35"/>
  <c r="N19" i="35"/>
  <c r="N21" i="35"/>
  <c r="N24" i="35"/>
  <c r="N26" i="35"/>
  <c r="B32" i="46"/>
  <c r="B31" i="46"/>
  <c r="B30" i="46"/>
  <c r="B29" i="46"/>
  <c r="B28" i="46"/>
  <c r="B26" i="46"/>
  <c r="B25" i="46"/>
  <c r="B24" i="46"/>
  <c r="B23" i="46"/>
  <c r="B21" i="46"/>
  <c r="B20" i="46"/>
  <c r="B19" i="46"/>
  <c r="B18" i="46"/>
  <c r="B17" i="46"/>
  <c r="J18" i="46" l="1"/>
  <c r="M18" i="46"/>
  <c r="L18" i="46"/>
  <c r="O18" i="46"/>
  <c r="K18" i="46"/>
  <c r="N18" i="46"/>
  <c r="O17" i="46"/>
  <c r="K17" i="46"/>
  <c r="N17" i="46"/>
  <c r="J17" i="46"/>
  <c r="M17" i="46"/>
  <c r="L17" i="46"/>
  <c r="O21" i="46"/>
  <c r="K21" i="46"/>
  <c r="N21" i="46"/>
  <c r="J21" i="46"/>
  <c r="M21" i="46"/>
  <c r="L21" i="46"/>
  <c r="L25" i="46"/>
  <c r="O25" i="46"/>
  <c r="K25" i="46"/>
  <c r="N25" i="46"/>
  <c r="J25" i="46"/>
  <c r="M25" i="46"/>
  <c r="O29" i="46"/>
  <c r="K29" i="46"/>
  <c r="N29" i="46"/>
  <c r="J29" i="46"/>
  <c r="M29" i="46"/>
  <c r="L29" i="46"/>
  <c r="J30" i="46"/>
  <c r="M30" i="46"/>
  <c r="L30" i="46"/>
  <c r="O30" i="46"/>
  <c r="K30" i="46"/>
  <c r="N30" i="46"/>
  <c r="J22" i="46"/>
  <c r="M22" i="46"/>
  <c r="L22" i="46"/>
  <c r="O22" i="46"/>
  <c r="K22" i="46"/>
  <c r="N22" i="46"/>
  <c r="L19" i="46"/>
  <c r="O19" i="46"/>
  <c r="K19" i="46"/>
  <c r="N19" i="46"/>
  <c r="J19" i="46"/>
  <c r="M19" i="46"/>
  <c r="O23" i="46"/>
  <c r="K23" i="46"/>
  <c r="N23" i="46"/>
  <c r="J23" i="46"/>
  <c r="M23" i="46"/>
  <c r="L23" i="46"/>
  <c r="O27" i="46"/>
  <c r="K27" i="46"/>
  <c r="N27" i="46"/>
  <c r="J27" i="46"/>
  <c r="M27" i="46"/>
  <c r="L27" i="46"/>
  <c r="L31" i="46"/>
  <c r="O31" i="46"/>
  <c r="K31" i="46"/>
  <c r="N31" i="46"/>
  <c r="J31" i="46"/>
  <c r="M31" i="46"/>
  <c r="N26" i="46"/>
  <c r="M26" i="46"/>
  <c r="L26" i="46"/>
  <c r="O26" i="46"/>
  <c r="K26" i="46"/>
  <c r="J26" i="46"/>
  <c r="K20" i="46"/>
  <c r="N20" i="46"/>
  <c r="M20" i="46"/>
  <c r="L20" i="46"/>
  <c r="O20" i="46"/>
  <c r="J20" i="46"/>
  <c r="J24" i="46"/>
  <c r="M24" i="46"/>
  <c r="L24" i="46"/>
  <c r="O24" i="46"/>
  <c r="K24" i="46"/>
  <c r="N24" i="46"/>
  <c r="N28" i="46"/>
  <c r="M28" i="46"/>
  <c r="L28" i="46"/>
  <c r="O28" i="46"/>
  <c r="K28" i="46"/>
  <c r="J28" i="46"/>
  <c r="O32" i="46"/>
  <c r="N32" i="46"/>
  <c r="M32" i="46"/>
  <c r="L32" i="46"/>
  <c r="K32" i="46"/>
  <c r="J32" i="46"/>
  <c r="G20" i="46"/>
  <c r="F20" i="46"/>
  <c r="I20" i="46"/>
  <c r="D20" i="46"/>
  <c r="H20" i="46"/>
  <c r="C20" i="46"/>
  <c r="E20" i="46" s="1"/>
  <c r="F29" i="46"/>
  <c r="I29" i="46"/>
  <c r="H29" i="46"/>
  <c r="D29" i="46"/>
  <c r="G29" i="46"/>
  <c r="C29" i="46"/>
  <c r="E29" i="46" s="1"/>
  <c r="G23" i="46"/>
  <c r="F23" i="46"/>
  <c r="I23" i="46"/>
  <c r="D23" i="46"/>
  <c r="H23" i="46"/>
  <c r="C23" i="46"/>
  <c r="E23" i="46" s="1"/>
  <c r="I28" i="46"/>
  <c r="H28" i="46"/>
  <c r="D28" i="46"/>
  <c r="G28" i="46"/>
  <c r="C28" i="46"/>
  <c r="E28" i="46" s="1"/>
  <c r="F28" i="46"/>
  <c r="F17" i="46"/>
  <c r="I17" i="46"/>
  <c r="H17" i="46"/>
  <c r="D17" i="46"/>
  <c r="G17" i="46"/>
  <c r="C17" i="46"/>
  <c r="E17" i="46" s="1"/>
  <c r="H21" i="46"/>
  <c r="D21" i="46"/>
  <c r="G21" i="46"/>
  <c r="C21" i="46"/>
  <c r="E21" i="46" s="1"/>
  <c r="F21" i="46"/>
  <c r="I21" i="46"/>
  <c r="F25" i="46"/>
  <c r="I25" i="46"/>
  <c r="H25" i="46"/>
  <c r="D25" i="46"/>
  <c r="G25" i="46"/>
  <c r="C25" i="46"/>
  <c r="E25" i="46" s="1"/>
  <c r="G18" i="46"/>
  <c r="C18" i="46"/>
  <c r="E18" i="46" s="1"/>
  <c r="F18" i="46"/>
  <c r="I18" i="46"/>
  <c r="H18" i="46"/>
  <c r="D18" i="46"/>
  <c r="I22" i="46"/>
  <c r="H22" i="46"/>
  <c r="D22" i="46"/>
  <c r="G22" i="46"/>
  <c r="C22" i="46"/>
  <c r="E22" i="46" s="1"/>
  <c r="F22" i="46"/>
  <c r="G26" i="46"/>
  <c r="C26" i="46"/>
  <c r="E26" i="46" s="1"/>
  <c r="F26" i="46"/>
  <c r="I26" i="46"/>
  <c r="H26" i="46"/>
  <c r="D26" i="46"/>
  <c r="G30" i="46"/>
  <c r="C30" i="46"/>
  <c r="E30" i="46" s="1"/>
  <c r="F30" i="46"/>
  <c r="I30" i="46"/>
  <c r="H30" i="46"/>
  <c r="D30" i="46"/>
  <c r="I19" i="46"/>
  <c r="D19" i="46"/>
  <c r="H19" i="46"/>
  <c r="C19" i="46"/>
  <c r="E19" i="46" s="1"/>
  <c r="G19" i="46"/>
  <c r="F19" i="46"/>
  <c r="H27" i="46"/>
  <c r="D27" i="46"/>
  <c r="G27" i="46"/>
  <c r="C27" i="46"/>
  <c r="E27" i="46" s="1"/>
  <c r="F27" i="46"/>
  <c r="I27" i="46"/>
  <c r="H31" i="46"/>
  <c r="D31" i="46"/>
  <c r="G31" i="46"/>
  <c r="C31" i="46"/>
  <c r="E31" i="46" s="1"/>
  <c r="F31" i="46"/>
  <c r="I31" i="46"/>
  <c r="I24" i="46"/>
  <c r="D24" i="46"/>
  <c r="H24" i="46"/>
  <c r="C24" i="46"/>
  <c r="E24" i="46" s="1"/>
  <c r="G24" i="46"/>
  <c r="F24" i="46"/>
  <c r="I32" i="46"/>
  <c r="H32" i="46"/>
  <c r="D32" i="46"/>
  <c r="G32" i="46"/>
  <c r="C32" i="46"/>
  <c r="E32" i="46" s="1"/>
  <c r="F32" i="46"/>
  <c r="B4" i="35" l="1"/>
  <c r="L3" i="46"/>
  <c r="J9" i="7"/>
  <c r="J8" i="7"/>
  <c r="J7" i="7"/>
  <c r="J17" i="7" l="1"/>
  <c r="J18" i="7"/>
  <c r="L22" i="35"/>
  <c r="J11" i="7"/>
  <c r="J15" i="7"/>
  <c r="M22" i="35"/>
  <c r="L7" i="35"/>
  <c r="F7" i="35"/>
  <c r="J13" i="7"/>
  <c r="F14" i="35"/>
  <c r="G14" i="35"/>
  <c r="H10" i="7"/>
  <c r="J16" i="7"/>
  <c r="L18" i="35"/>
  <c r="J14" i="7"/>
  <c r="G11" i="35"/>
  <c r="J12" i="7"/>
  <c r="F11" i="35"/>
  <c r="F30" i="35"/>
  <c r="G38" i="35"/>
  <c r="F38" i="35"/>
  <c r="F22" i="35"/>
  <c r="G30" i="35"/>
  <c r="M7" i="35"/>
  <c r="M18" i="35"/>
  <c r="J6" i="7"/>
  <c r="I10" i="7"/>
  <c r="M11" i="35"/>
  <c r="H5" i="7"/>
  <c r="G22" i="35"/>
  <c r="H22" i="35" s="1"/>
  <c r="I5" i="7"/>
  <c r="L11" i="35"/>
  <c r="G7" i="35"/>
  <c r="H30" i="35" l="1"/>
  <c r="H7" i="35"/>
  <c r="N22" i="35"/>
  <c r="N7" i="35"/>
  <c r="N18" i="35"/>
  <c r="N11" i="35"/>
  <c r="H38" i="35"/>
  <c r="H11" i="35"/>
  <c r="H14" i="35"/>
  <c r="J10" i="7"/>
  <c r="H3" i="7"/>
  <c r="I3" i="7"/>
  <c r="J5" i="7"/>
  <c r="J3" i="7" l="1"/>
</calcChain>
</file>

<file path=xl/comments1.xml><?xml version="1.0" encoding="utf-8"?>
<comments xmlns="http://schemas.openxmlformats.org/spreadsheetml/2006/main">
  <authors>
    <author>Neal, James  VBACO</author>
  </authors>
  <commentList>
    <comment ref="B4" authorId="0">
      <text>
        <r>
          <rPr>
            <b/>
            <sz val="11"/>
            <color indexed="81"/>
            <rFont val="Tahoma"/>
            <family val="2"/>
          </rPr>
          <t>Select which VBA District to view in order to show constituent Regional Offices.</t>
        </r>
      </text>
    </comment>
  </commentList>
</comments>
</file>

<file path=xl/comments2.xml><?xml version="1.0" encoding="utf-8"?>
<comments xmlns="http://schemas.openxmlformats.org/spreadsheetml/2006/main">
  <authors>
    <author>Neal, James  VBACO</author>
  </authors>
  <commentList>
    <comment ref="B4" authorId="0">
      <text>
        <r>
          <rPr>
            <b/>
            <sz val="11"/>
            <color indexed="81"/>
            <rFont val="Tahoma"/>
            <family val="2"/>
          </rPr>
          <t>Select which VBA District to view in order to show constituent Regional Offices.</t>
        </r>
      </text>
    </comment>
  </commentList>
</comments>
</file>

<file path=xl/comments3.xml><?xml version="1.0" encoding="utf-8"?>
<comments xmlns="http://schemas.openxmlformats.org/spreadsheetml/2006/main">
  <authors>
    <author>Neal, James  VBACO</author>
  </authors>
  <commentList>
    <comment ref="B4" authorId="0">
      <text>
        <r>
          <rPr>
            <b/>
            <sz val="11"/>
            <color indexed="81"/>
            <rFont val="Tahoma"/>
            <family val="2"/>
          </rPr>
          <t>Select which VBA District to view in order to show constituent Regional Offices.</t>
        </r>
      </text>
    </comment>
  </commentList>
</comments>
</file>

<file path=xl/comments4.xml><?xml version="1.0" encoding="utf-8"?>
<comments xmlns="http://schemas.openxmlformats.org/spreadsheetml/2006/main">
  <authors>
    <author>McFadden, Patrick, VBAVACO</author>
    <author>Mikuliak, Alex, VBAVACO</author>
  </authors>
  <commentList>
    <comment ref="C3"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3"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3"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3"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3"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3"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3"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0" authorId="1">
      <text>
        <r>
          <rPr>
            <b/>
            <sz val="8"/>
            <color indexed="81"/>
            <rFont val="Tahoma"/>
            <family val="2"/>
          </rPr>
          <t>Pending Remands Sent to the Appeals Management Center</t>
        </r>
      </text>
    </comment>
    <comment ref="C73" author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3" authorId="0">
      <text>
        <r>
          <rPr>
            <b/>
            <sz val="12"/>
            <color indexed="81"/>
            <rFont val="Tahoma"/>
            <family val="2"/>
          </rPr>
          <t>Pension Entitlement Bundle End Products:</t>
        </r>
        <r>
          <rPr>
            <sz val="12"/>
            <color indexed="81"/>
            <rFont val="Tahoma"/>
            <family val="2"/>
          </rPr>
          <t xml:space="preserve">  
EP 180, EP 120, EP 190</t>
        </r>
      </text>
    </comment>
    <comment ref="H73" author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3" authorId="0">
      <text>
        <r>
          <rPr>
            <b/>
            <sz val="12"/>
            <color indexed="81"/>
            <rFont val="Tahoma"/>
            <family val="2"/>
          </rPr>
          <t xml:space="preserve">Pension Program Review Bundle End Products:  </t>
        </r>
        <r>
          <rPr>
            <sz val="12"/>
            <color indexed="81"/>
            <rFont val="Tahoma"/>
            <family val="2"/>
          </rPr>
          <t xml:space="preserve">
EP 154, EP 696, EP 697</t>
        </r>
      </text>
    </comment>
    <comment ref="N73" authorId="0">
      <text>
        <r>
          <rPr>
            <b/>
            <sz val="12"/>
            <color indexed="81"/>
            <rFont val="Tahoma"/>
            <family val="2"/>
          </rPr>
          <t xml:space="preserve">Pension Other Bundle End Products: </t>
        </r>
        <r>
          <rPr>
            <sz val="12"/>
            <color indexed="81"/>
            <rFont val="Tahoma"/>
            <family val="2"/>
          </rPr>
          <t xml:space="preserve">
EP 407, EP 507, EP 937</t>
        </r>
      </text>
    </comment>
    <comment ref="Q73" author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3" author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79" authorId="1">
      <text>
        <r>
          <rPr>
            <b/>
            <sz val="14"/>
            <color indexed="81"/>
            <rFont val="Tahoma"/>
            <family val="2"/>
          </rPr>
          <t>In Transit to a Pension Maintenance Center</t>
        </r>
      </text>
    </comment>
  </commentList>
</comments>
</file>

<file path=xl/comments5.xml><?xml version="1.0" encoding="utf-8"?>
<comments xmlns="http://schemas.openxmlformats.org/spreadsheetml/2006/main">
  <authors>
    <author>Mikuliak, Alex, VBAVACO</author>
  </authors>
  <commentList>
    <comment ref="S68" authorId="0">
      <text>
        <r>
          <rPr>
            <b/>
            <sz val="11"/>
            <color indexed="81"/>
            <rFont val="Tahoma"/>
            <family val="2"/>
          </rPr>
          <t>All appeals are represented in the table above</t>
        </r>
      </text>
    </comment>
  </commentList>
</comments>
</file>

<file path=xl/connections.xml><?xml version="1.0" encoding="utf-8"?>
<connections xmlns="http://schemas.openxmlformats.org/spreadsheetml/2006/main">
  <connection id="1" name="MMWR_ACCURACY_RO" type="1" refreshedVersion="4" savePassword="1" deleted="1" background="1" saveData="1">
    <dbPr connection="" command=""/>
  </connection>
  <connection id="2" name="MMWR_APP_NATIONAL" type="1" refreshedVersion="4" savePassword="1" deleted="1" background="1" saveData="1">
    <dbPr connection="" command=""/>
  </connection>
  <connection id="3" name="MMWR_APP_RO" type="1" refreshedVersion="4" savePassword="1" deleted="1" background="1" saveData="1">
    <dbPr connection="" command=""/>
  </connection>
  <connection id="4" name="MMWR_APP_STATE_COMP" type="1" refreshedVersion="4" savePassword="1" deleted="1" background="1" saveData="1">
    <dbPr connection="" command=""/>
  </connection>
  <connection id="5" name="MMWR_APP_STATE_PEN" type="1" refreshedVersion="4" savePassword="1" deleted="1" background="1" saveData="1">
    <dbPr connection="" command=""/>
  </connection>
  <connection id="6" name="MMWR_DATES1" type="1" refreshedVersion="4" savePassword="1" deleted="1" background="1" saveData="1">
    <dbPr connection="" command=""/>
  </connection>
  <connection id="7" name="MMWR_RATING_RO_ROLLUP" type="1" refreshedVersion="4" savePassword="1" deleted="1" background="1" saveData="1">
    <dbPr connection="" command=""/>
  </connection>
  <connection id="8" name="MMWR_RATING_STATE_ROLLUP_BDD" type="1" refreshedVersion="4" savePassword="1" deleted="1" background="1" saveData="1">
    <dbPr connection="" command=""/>
  </connection>
  <connection id="9" name="MMWR_RATING_STATE_ROLLUP_PMC" type="1" refreshedVersion="4" savePassword="1" deleted="1" background="1" saveData="1">
    <dbPr connection="" command=""/>
  </connection>
  <connection id="10" name="MMWR_RATING_STATE_ROLLUP_QST" type="1" refreshedVersion="4" savePassword="1" deleted="1" background="1" saveData="1">
    <dbPr connection="" command=""/>
  </connection>
  <connection id="11" name="MMWR_RATING_STATE_ROLLUP_VSC" type="1" refreshedVersion="4" savePassword="1" deleted="1" background="1" saveData="1">
    <dbPr connection="" command=""/>
  </connection>
  <connection id="12" name="MMWR_TRAD_AGG_DISTRICT_COMP" type="1" refreshedVersion="4" savePassword="1" deleted="1" background="1" saveData="1">
    <dbPr connection="" command=""/>
  </connection>
  <connection id="13" name="MMWR_TRAD_AGG_NATIONAL" type="1" refreshedVersion="4" savePassword="1" deleted="1" background="1" saveData="1">
    <dbPr connection="" command=""/>
  </connection>
  <connection id="14" name="MMWR_TRAD_AGG_RO_COMP" type="1" refreshedVersion="4" savePassword="1" deleted="1" background="1" saveData="1">
    <dbPr connection="" command=""/>
  </connection>
  <connection id="15" name="MMWR_TRAD_AGG_RO_PEN" type="1" refreshedVersion="4" savePassword="1" deleted="1" background="1" saveData="1">
    <dbPr connection="" command=""/>
  </connection>
  <connection id="16" name="MMWR_TRAD_AGG_ST_DISTRICT_COMP" type="1" refreshedVersion="4" savePassword="1" deleted="1" background="1" saveData="1">
    <dbPr connection="" command=""/>
  </connection>
  <connection id="17" name="MMWR_TRAD_AGG_ST_DISTRICT_PEN" type="1" refreshedVersion="4" savePassword="1" deleted="1" background="1" saveData="1">
    <dbPr connection="" command=""/>
  </connection>
  <connection id="18" name="MMWR_TRAD_AGG_STATE_COMP" type="1" refreshedVersion="4" savePassword="1" deleted="1" background="1" saveData="1">
    <dbPr connection="" command=""/>
  </connection>
  <connection id="19" name="MMWR_TRAD_AGG_STATE_PEN" type="1" refreshedVersion="4" savePassword="1" deleted="1" background="1" saveData="1">
    <dbPr connection="" command=""/>
  </connection>
  <connection id="20" name="Z_GEO_SPCMSN_V2" type="1" refreshedVersion="4" savePassword="1" deleted="1" background="1" saveData="1">
    <dbPr connection="" command=""/>
  </connection>
  <connection id="21" name="Z_ST_DIM" type="1" refreshedVersion="4" savePassword="1" deleted="1" background="1" saveData="1">
    <dbPr connection="" command=""/>
  </connection>
</connections>
</file>

<file path=xl/sharedStrings.xml><?xml version="1.0" encoding="utf-8"?>
<sst xmlns="http://schemas.openxmlformats.org/spreadsheetml/2006/main" count="4089" uniqueCount="1062">
  <si>
    <t>Initial entitlement for service-connected disability (&lt;=7)</t>
  </si>
  <si>
    <t>Supplemental Entitlement</t>
  </si>
  <si>
    <t># Pending Over 125</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</si>
  <si>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</si>
  <si>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</si>
  <si>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</si>
  <si>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</si>
  <si>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</si>
  <si>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</si>
  <si>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</si>
  <si>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</si>
  <si>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</si>
  <si>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</si>
  <si>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</si>
  <si>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</si>
  <si>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</si>
  <si>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entitlement for service-connected disability (=&gt;8)</t>
  </si>
  <si>
    <t>Initial claims from surviving spouses, children or parents</t>
  </si>
  <si>
    <t>Increased evaluation and/or additional claimed conditions</t>
  </si>
  <si>
    <t>Increased entitlement due to hospitalization or surgery</t>
  </si>
  <si>
    <t>095</t>
  </si>
  <si>
    <t>010</t>
  </si>
  <si>
    <t>020</t>
  </si>
  <si>
    <t>Education</t>
  </si>
  <si>
    <t>Buffalo</t>
  </si>
  <si>
    <t>Atlanta</t>
  </si>
  <si>
    <t>St Louis</t>
  </si>
  <si>
    <t>Muskogee</t>
  </si>
  <si>
    <t>Current Work Items Pending</t>
  </si>
  <si>
    <t>Work Items Pending Last Week</t>
  </si>
  <si>
    <t>Weekly Change</t>
  </si>
  <si>
    <t>Percent Change</t>
  </si>
  <si>
    <t xml:space="preserve">Program Reviews </t>
  </si>
  <si>
    <r>
      <t>Program Review</t>
    </r>
    <r>
      <rPr>
        <b/>
        <sz val="10"/>
        <color indexed="10"/>
        <rFont val="Arial"/>
        <family val="2"/>
      </rPr>
      <t xml:space="preserve"> </t>
    </r>
  </si>
  <si>
    <t>Albuquerque</t>
  </si>
  <si>
    <t>Anchorage</t>
  </si>
  <si>
    <t>Baltimore</t>
  </si>
  <si>
    <t>Boise</t>
  </si>
  <si>
    <t>Boston</t>
  </si>
  <si>
    <t>Cheyenne</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</si>
  <si>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</si>
  <si>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</si>
  <si>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</si>
  <si>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</si>
  <si>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</si>
  <si>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</si>
  <si>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</si>
  <si>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</si>
  <si>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</si>
  <si>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</si>
  <si>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</si>
  <si>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</si>
  <si>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</si>
  <si>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</si>
  <si>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</si>
  <si>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</si>
  <si>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</si>
  <si>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</si>
  <si>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</si>
  <si>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</si>
  <si>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</si>
  <si>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</si>
  <si>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</si>
  <si>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</si>
  <si>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</si>
  <si>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</si>
  <si>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</si>
  <si>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</si>
  <si>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</si>
  <si>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</si>
  <si>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</si>
  <si>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</si>
  <si>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</si>
  <si>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</si>
  <si>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</si>
  <si>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</si>
  <si>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</si>
  <si>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</si>
  <si>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</si>
  <si>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</si>
  <si>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</si>
  <si>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</si>
  <si>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</si>
  <si>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</si>
  <si>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</si>
  <si>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</si>
  <si>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</si>
  <si>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</si>
  <si>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</si>
  <si>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</si>
  <si>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</si>
  <si>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110</t>
  </si>
  <si>
    <t>405</t>
  </si>
  <si>
    <t>140</t>
  </si>
  <si>
    <t>320</t>
  </si>
  <si>
    <t>681</t>
  </si>
  <si>
    <t>420</t>
  </si>
  <si>
    <t>450</t>
  </si>
  <si>
    <t>410</t>
  </si>
  <si>
    <t>600</t>
  </si>
  <si>
    <t>133</t>
  </si>
  <si>
    <t>290</t>
  </si>
  <si>
    <t>310</t>
  </si>
  <si>
    <t>135</t>
  </si>
  <si>
    <t>130</t>
  </si>
  <si>
    <t>682</t>
  </si>
  <si>
    <t>685</t>
  </si>
  <si>
    <t>690</t>
  </si>
  <si>
    <t>314</t>
  </si>
  <si>
    <t>684</t>
  </si>
  <si>
    <t>680</t>
  </si>
  <si>
    <t>173</t>
  </si>
  <si>
    <t>510</t>
  </si>
  <si>
    <t>400</t>
  </si>
  <si>
    <t>960</t>
  </si>
  <si>
    <t>930</t>
  </si>
  <si>
    <t>500</t>
  </si>
  <si>
    <t>120</t>
  </si>
  <si>
    <t>180</t>
  </si>
  <si>
    <t>190</t>
  </si>
  <si>
    <t>607</t>
  </si>
  <si>
    <t>297</t>
  </si>
  <si>
    <t>150</t>
  </si>
  <si>
    <t>137</t>
  </si>
  <si>
    <t>697</t>
  </si>
  <si>
    <t>696</t>
  </si>
  <si>
    <t>154</t>
  </si>
  <si>
    <t>937</t>
  </si>
  <si>
    <t>507</t>
  </si>
  <si>
    <t>967</t>
  </si>
  <si>
    <t>407</t>
  </si>
  <si>
    <t>160</t>
  </si>
  <si>
    <t>165</t>
  </si>
  <si>
    <t>690G</t>
  </si>
  <si>
    <t>135p</t>
  </si>
  <si>
    <t>Eastern Area</t>
  </si>
  <si>
    <t>Southern Area</t>
  </si>
  <si>
    <t>Central Area</t>
  </si>
  <si>
    <t>Western Area</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</si>
  <si>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</si>
  <si>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</si>
  <si>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</si>
  <si>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</si>
  <si>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</si>
  <si>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</si>
  <si>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</si>
  <si>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</si>
  <si>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</si>
  <si>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</si>
  <si>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</si>
  <si>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</si>
  <si>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</si>
  <si>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</si>
  <si>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</si>
  <si>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</si>
  <si>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</si>
  <si>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</si>
  <si>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</si>
  <si>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</si>
  <si>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</si>
  <si>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</si>
  <si>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</si>
  <si>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</si>
  <si>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</si>
  <si>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</si>
  <si>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</si>
  <si>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</si>
  <si>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</si>
  <si>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</si>
  <si>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</si>
  <si>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</si>
  <si>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</si>
  <si>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</si>
  <si>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</si>
  <si>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</si>
  <si>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</si>
  <si>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</si>
  <si>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</si>
  <si>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</si>
  <si>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</si>
  <si>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</si>
  <si>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</si>
  <si>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</si>
  <si>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</si>
  <si>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</si>
  <si>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</si>
  <si>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</si>
  <si>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Fort Harrison</t>
  </si>
  <si>
    <t>436</t>
  </si>
  <si>
    <t>437</t>
  </si>
  <si>
    <t>438</t>
  </si>
  <si>
    <t>452</t>
  </si>
  <si>
    <t>459</t>
  </si>
  <si>
    <t>460</t>
  </si>
  <si>
    <t>463</t>
  </si>
  <si>
    <t>Completed Claims - Month to Date</t>
  </si>
  <si>
    <t>12 Month Authorization Accuracy - Claim Level</t>
  </si>
  <si>
    <t>12 Month Entitlement Accuracy - Claim Level</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</si>
  <si>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</si>
  <si>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</si>
  <si>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</si>
  <si>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</si>
  <si>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</si>
  <si>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</si>
  <si>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</si>
  <si>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</si>
  <si>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</si>
  <si>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</si>
  <si>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</si>
  <si>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</si>
  <si>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</si>
  <si>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</si>
  <si>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Completed Claims - Fiscal Year to Date</t>
  </si>
  <si>
    <r>
      <t>Entitlement</t>
    </r>
    <r>
      <rPr>
        <b/>
        <sz val="10"/>
        <color indexed="10"/>
        <rFont val="Arial"/>
        <family val="2"/>
      </rPr>
      <t xml:space="preserve"> </t>
    </r>
    <r>
      <rPr>
        <b/>
        <sz val="10"/>
        <rFont val="Arial"/>
        <family val="2"/>
      </rPr>
      <t xml:space="preserve">  </t>
    </r>
  </si>
  <si>
    <t>Avg. Days to Complete - Month to Date</t>
  </si>
  <si>
    <t>Avg. Days to Complete - Fiscal Year to Date</t>
  </si>
  <si>
    <t>PMC</t>
  </si>
  <si>
    <t>Milwaukee PMC</t>
  </si>
  <si>
    <t>Philadelphia PMC</t>
  </si>
  <si>
    <t>Salt Lake City BDD</t>
  </si>
  <si>
    <t>St. Paul PMC</t>
  </si>
  <si>
    <t>Winston-Salem BDD</t>
  </si>
  <si>
    <t>ENTIT</t>
  </si>
  <si>
    <t>ENTIT125</t>
  </si>
  <si>
    <t>AWD</t>
  </si>
  <si>
    <t>AWD125</t>
  </si>
  <si>
    <t>PROGRVW</t>
  </si>
  <si>
    <t>PROGRVW125</t>
  </si>
  <si>
    <t>OTH</t>
  </si>
  <si>
    <t>OTH125</t>
  </si>
  <si>
    <t>BUR</t>
  </si>
  <si>
    <t>ACC</t>
  </si>
  <si>
    <t>Pension Other</t>
  </si>
  <si>
    <t>Non-Rating</t>
  </si>
  <si>
    <t xml:space="preserve"> # Pending</t>
  </si>
  <si>
    <t>Percentage Pending &gt; 125 days (Backlog)</t>
  </si>
  <si>
    <t>Percentage Pending &gt; 125 days</t>
  </si>
  <si>
    <t>Avg. Days Pending for Notice of Disagreements</t>
  </si>
  <si>
    <t>Avg. Days Pending for Form 9s</t>
  </si>
  <si>
    <t>Avg. Days Pending for Remands at a Regional Office</t>
  </si>
  <si>
    <t>Avg. Days Pending for Remands at the Appeals Management Center</t>
  </si>
  <si>
    <t>Original Entitlement</t>
  </si>
  <si>
    <t>Initial entitlement - Veteran's Pension</t>
  </si>
  <si>
    <t>Total Education Claims - All Education Programs</t>
  </si>
  <si>
    <t>Pension Entitlement</t>
  </si>
  <si>
    <t>Pension Award Adjustments</t>
  </si>
  <si>
    <t>Compensation Other</t>
  </si>
  <si>
    <t>Compensation Entitlement</t>
  </si>
  <si>
    <t>Pending Notice of Disagreements</t>
  </si>
  <si>
    <t>Pending Form 9s</t>
  </si>
  <si>
    <t>Pending Remands Returned to the Regional Office</t>
  </si>
  <si>
    <t>Pending Remands sent to the Appeals Management Center</t>
  </si>
  <si>
    <t>Total</t>
  </si>
  <si>
    <t>Total Burials Pending</t>
  </si>
  <si>
    <t>Total Accrued Pending</t>
  </si>
  <si>
    <t>EP 010 - Initial entitlement for service-connected disability (=&gt;8)</t>
  </si>
  <si>
    <t>EP 110 - Initial entitlement for service-connected disability (&lt;=7)</t>
  </si>
  <si>
    <t>EP 095 - Initial entitlement decisions for Voc Rehab</t>
  </si>
  <si>
    <t>EP 410 - Initial claims from children Veterans with Spina bifida and/or birth defects</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</si>
  <si>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</si>
  <si>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</si>
  <si>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</si>
  <si>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</si>
  <si>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</si>
  <si>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</si>
  <si>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</si>
  <si>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</si>
  <si>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</si>
  <si>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</si>
  <si>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</si>
  <si>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</si>
  <si>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</si>
  <si>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</si>
  <si>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</si>
  <si>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</si>
  <si>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</si>
  <si>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</si>
  <si>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</si>
  <si>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</si>
  <si>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</si>
  <si>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</si>
  <si>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</si>
  <si>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</si>
  <si>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</si>
  <si>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</si>
  <si>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</si>
  <si>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</si>
  <si>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</si>
  <si>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</si>
  <si>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</si>
  <si>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</si>
  <si>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</si>
  <si>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</si>
  <si>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</si>
  <si>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</si>
  <si>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</si>
  <si>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EP 173 - Pre-decisional hearings</t>
  </si>
  <si>
    <t xml:space="preserve">EP 400 - Correspondence </t>
  </si>
  <si>
    <t>EP 500 - Congressional correspondence</t>
  </si>
  <si>
    <t>EP 510 - Freedom of Information Act (FOIA) requests</t>
  </si>
  <si>
    <t>EP 930 - Review, including quality assurance</t>
  </si>
  <si>
    <t>EP 960 - Correction of errors</t>
  </si>
  <si>
    <t>Compensation and Pension Claims Processing</t>
  </si>
  <si>
    <t>Station of Origination
Compensation and Pension Rating Bundle Metrics</t>
  </si>
  <si>
    <t>Station of Jurisdiction
Compensation and Pension Rating Bundle Metrics</t>
  </si>
  <si>
    <t>Compensation and Pension National Inventory - Historical Reporting Bundles*</t>
  </si>
  <si>
    <t>EP 696 - Cost of Living Adjustments</t>
  </si>
  <si>
    <r>
      <t>Original Entitlement - Veterans</t>
    </r>
    <r>
      <rPr>
        <b/>
        <vertAlign val="superscript"/>
        <sz val="13"/>
        <rFont val="Arial"/>
        <family val="2"/>
      </rPr>
      <t>1</t>
    </r>
  </si>
  <si>
    <r>
      <t>Original Entitlement - Survivors</t>
    </r>
    <r>
      <rPr>
        <b/>
        <vertAlign val="superscript"/>
        <sz val="13"/>
        <rFont val="Arial"/>
        <family val="2"/>
      </rPr>
      <t>2</t>
    </r>
  </si>
  <si>
    <t>Reporting Period:</t>
  </si>
  <si>
    <t>Previous Transformation Tab</t>
  </si>
  <si>
    <t>Current Traditional Aggregate Tab</t>
  </si>
  <si>
    <t>Monday Morning Workload Report Introduction</t>
  </si>
  <si>
    <r>
      <t xml:space="preserve">Notes about the data:
1) The Station of Jurisdiction represents pending claims at the regional office currently assigned to work the claim.
2) The Pension, Quick Start and Benefits Delivery at Discharge totals are </t>
    </r>
    <r>
      <rPr>
        <b/>
        <i/>
        <u/>
        <sz val="12"/>
        <rFont val="Arial"/>
        <family val="2"/>
      </rPr>
      <t>not</t>
    </r>
    <r>
      <rPr>
        <i/>
        <sz val="12"/>
        <rFont val="Arial"/>
        <family val="2"/>
      </rPr>
      <t xml:space="preserve"> included in the Compensation totals.</t>
    </r>
  </si>
  <si>
    <r>
      <rPr>
        <b/>
        <sz val="12"/>
        <rFont val="Arial"/>
        <family val="2"/>
      </rPr>
      <t>Understanding the Report:</t>
    </r>
    <r>
      <rPr>
        <sz val="12"/>
        <rFont val="Arial"/>
        <family val="2"/>
      </rPr>
      <t xml:space="preserve"> </t>
    </r>
    <r>
      <rPr>
        <sz val="12"/>
        <rFont val="Arial"/>
        <family val="2"/>
      </rPr>
      <t>To learn more about the Monday Morning Workload Report, including recent formatting changes,double-click the Microsoft Word icon to the right.</t>
    </r>
    <r>
      <rPr>
        <sz val="14"/>
        <rFont val="Arial"/>
        <family val="2"/>
      </rPr>
      <t xml:space="preserve">
</t>
    </r>
    <r>
      <rPr>
        <b/>
        <sz val="12"/>
        <rFont val="Arial"/>
        <family val="2"/>
      </rPr>
      <t>Finding Data:</t>
    </r>
    <r>
      <rPr>
        <sz val="12"/>
        <rFont val="Arial"/>
        <family val="2"/>
      </rPr>
      <t xml:space="preserve">  The screenshots below provide a quick reference to historical reporting bundles that were previously on the Transformation tab, but now reside on the Traditional Aggregate tab.</t>
    </r>
  </si>
  <si>
    <t>NBRINV</t>
  </si>
  <si>
    <t>Other Quick Start</t>
  </si>
  <si>
    <t>Other Benefits Delivery at Discharge</t>
  </si>
  <si>
    <t>OTHER</t>
  </si>
  <si>
    <t>¬</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</si>
  <si>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indexed="10"/>
        <rFont val="Arial"/>
        <family val="2"/>
      </rPr>
      <t xml:space="preserve">End products which are included in the Rating Bundle group are indicated with arrows </t>
    </r>
    <r>
      <rPr>
        <b/>
        <sz val="14"/>
        <color indexed="10"/>
        <rFont val="Symbol"/>
        <family val="1"/>
        <charset val="2"/>
      </rPr>
      <t>¬</t>
    </r>
  </si>
  <si>
    <t>Arrow indicates an EP included
in the Rating Bundle group</t>
  </si>
  <si>
    <t>EP 967 - Correction of errors</t>
  </si>
  <si>
    <t>687</t>
  </si>
  <si>
    <t>155</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</si>
  <si>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</si>
  <si>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</si>
  <si>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</si>
  <si>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</si>
  <si>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</si>
  <si>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</si>
  <si>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</si>
  <si>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</si>
  <si>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</si>
  <si>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</si>
  <si>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</si>
  <si>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</si>
  <si>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</si>
  <si>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</si>
  <si>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</si>
  <si>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</si>
  <si>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</si>
  <si>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</si>
  <si>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</si>
  <si>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</si>
  <si>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</si>
  <si>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</si>
  <si>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</si>
  <si>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</si>
  <si>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</si>
  <si>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</si>
  <si>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</si>
  <si>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</si>
  <si>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</si>
  <si>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</si>
  <si>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</si>
  <si>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</si>
  <si>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</si>
  <si>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</si>
  <si>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</si>
  <si>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</si>
  <si>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</si>
  <si>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</si>
  <si>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</si>
  <si>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</si>
  <si>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</si>
  <si>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</si>
  <si>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</si>
  <si>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</si>
  <si>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</si>
  <si>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</si>
  <si>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</si>
  <si>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</si>
  <si>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</si>
  <si>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</si>
  <si>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</si>
  <si>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GEOGRAPHY_DIM_SID</t>
  </si>
  <si>
    <t>LCTN_ID</t>
  </si>
  <si>
    <t>Central Office</t>
  </si>
  <si>
    <t>North Atlantic</t>
  </si>
  <si>
    <t>Eastern</t>
  </si>
  <si>
    <t>Massachusetts</t>
  </si>
  <si>
    <t>Rhode Island</t>
  </si>
  <si>
    <t>Connecticut</t>
  </si>
  <si>
    <t>New Jersey</t>
  </si>
  <si>
    <t>Pennsylvania</t>
  </si>
  <si>
    <t>Maryland</t>
  </si>
  <si>
    <t>Southern</t>
  </si>
  <si>
    <t>Virginia</t>
  </si>
  <si>
    <t>West Virginia</t>
  </si>
  <si>
    <t>Southeast</t>
  </si>
  <si>
    <t>Georgia</t>
  </si>
  <si>
    <t>North Carolina</t>
  </si>
  <si>
    <t>South Carolina</t>
  </si>
  <si>
    <t>Tennessee</t>
  </si>
  <si>
    <t>Continental</t>
  </si>
  <si>
    <t>Central</t>
  </si>
  <si>
    <t>Louisiana</t>
  </si>
  <si>
    <t>Alabama</t>
  </si>
  <si>
    <t>Mississippi</t>
  </si>
  <si>
    <t>Midwest</t>
  </si>
  <si>
    <t>Ohio</t>
  </si>
  <si>
    <t>Indiana</t>
  </si>
  <si>
    <t>Kentucky</t>
  </si>
  <si>
    <t>Illinois</t>
  </si>
  <si>
    <t>Michigan</t>
  </si>
  <si>
    <t>Wisconsin</t>
  </si>
  <si>
    <t>Missouri</t>
  </si>
  <si>
    <t>DES</t>
  </si>
  <si>
    <t>Iowa</t>
  </si>
  <si>
    <t>Nebraska</t>
  </si>
  <si>
    <t>Minnesota</t>
  </si>
  <si>
    <t>Western</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</si>
  <si>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</si>
  <si>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</si>
  <si>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</si>
  <si>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</si>
  <si>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</si>
  <si>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</si>
  <si>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</si>
  <si>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</si>
  <si>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</si>
  <si>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</si>
  <si>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</si>
  <si>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</si>
  <si>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</si>
  <si>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</si>
  <si>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</si>
  <si>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</si>
  <si>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</si>
  <si>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</si>
  <si>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</si>
  <si>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</si>
  <si>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</si>
  <si>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</si>
  <si>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</si>
  <si>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</si>
  <si>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</si>
  <si>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</si>
  <si>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North Atlantic District</t>
  </si>
  <si>
    <t>Washington DC</t>
  </si>
  <si>
    <r>
      <t xml:space="preserve">Notes about the data:
1) The State listed is based on the address associated with the claim, not payment address
2) The Pension, Quick Start and Benefits Delivery at Discharge totals are </t>
    </r>
    <r>
      <rPr>
        <b/>
        <i/>
        <u/>
        <sz val="12"/>
        <rFont val="Arial"/>
        <family val="2"/>
      </rPr>
      <t>not</t>
    </r>
    <r>
      <rPr>
        <i/>
        <sz val="12"/>
        <rFont val="Arial"/>
        <family val="2"/>
      </rPr>
      <t xml:space="preserve"> included in the Compensation totals.</t>
    </r>
  </si>
  <si>
    <t>Continental District</t>
  </si>
  <si>
    <t>Midwest District</t>
  </si>
  <si>
    <t>Pacific District</t>
  </si>
  <si>
    <t>Southeast District</t>
  </si>
  <si>
    <t>District</t>
  </si>
  <si>
    <t>1</t>
  </si>
  <si>
    <t>2</t>
  </si>
  <si>
    <t>4</t>
  </si>
  <si>
    <t>5</t>
  </si>
  <si>
    <t>6</t>
  </si>
  <si>
    <t>7</t>
  </si>
  <si>
    <t>8</t>
  </si>
  <si>
    <t>9</t>
  </si>
  <si>
    <t>10</t>
  </si>
  <si>
    <t>11</t>
  </si>
  <si>
    <t>12</t>
  </si>
  <si>
    <t>13</t>
  </si>
  <si>
    <t>14</t>
  </si>
  <si>
    <t>15</t>
  </si>
  <si>
    <t xml:space="preserve"> </t>
  </si>
  <si>
    <t>16</t>
  </si>
  <si>
    <t>17</t>
  </si>
  <si>
    <t>NONE</t>
  </si>
  <si>
    <t>Select District:</t>
  </si>
  <si>
    <t>CNT</t>
  </si>
  <si>
    <t>STATE</t>
  </si>
  <si>
    <t>CNT_BL</t>
  </si>
  <si>
    <t>ENT125</t>
  </si>
  <si>
    <t>PROG125</t>
  </si>
  <si>
    <t>USA Compensation</t>
  </si>
  <si>
    <t>USA Pension</t>
  </si>
  <si>
    <t>ST</t>
  </si>
  <si>
    <t>STATE_OTHER</t>
  </si>
  <si>
    <t>AREA</t>
  </si>
  <si>
    <t>EAREA</t>
  </si>
  <si>
    <t>SAREA</t>
  </si>
  <si>
    <t>NA</t>
  </si>
  <si>
    <t>WAREA</t>
  </si>
  <si>
    <t>CAREA</t>
  </si>
  <si>
    <t>MH</t>
  </si>
  <si>
    <t>Marshall Islands</t>
  </si>
  <si>
    <t>PW</t>
  </si>
  <si>
    <t>Palau</t>
  </si>
  <si>
    <t>AS</t>
  </si>
  <si>
    <t>American Samoa</t>
  </si>
  <si>
    <t>AK</t>
  </si>
  <si>
    <t>GU</t>
  </si>
  <si>
    <t>Guam</t>
  </si>
  <si>
    <t>MP</t>
  </si>
  <si>
    <t>Northern Mariana Islands</t>
  </si>
  <si>
    <t>VI</t>
  </si>
  <si>
    <t>U.S. Virgin Islands</t>
  </si>
  <si>
    <t>FM</t>
  </si>
  <si>
    <t>Federated States of Micronesia</t>
  </si>
  <si>
    <t>COMPENSATION</t>
  </si>
  <si>
    <t>PENSION</t>
  </si>
  <si>
    <t>Appeals Pending</t>
  </si>
  <si>
    <t>St. Louis RMC</t>
  </si>
  <si>
    <t>Appeals Management Center</t>
  </si>
  <si>
    <t>St. Paul RACC</t>
  </si>
  <si>
    <t>STATE_DIST</t>
  </si>
  <si>
    <t>ID_RO</t>
  </si>
  <si>
    <t>ID_ORD</t>
  </si>
  <si>
    <t>DEF_RO</t>
  </si>
  <si>
    <t>ID_SPM</t>
  </si>
  <si>
    <t>DEF_SPM</t>
  </si>
  <si>
    <t>ID_AREA</t>
  </si>
  <si>
    <t>DEF_AREA</t>
  </si>
  <si>
    <t>AREA_NBR</t>
  </si>
  <si>
    <t>ID_DIST</t>
  </si>
  <si>
    <t>DEF_DIST</t>
  </si>
  <si>
    <t>ID_STATE</t>
  </si>
  <si>
    <t>DEF_STATE</t>
  </si>
  <si>
    <t>KEY_RO</t>
  </si>
  <si>
    <t>KEY_SPM</t>
  </si>
  <si>
    <t>KEY_HL</t>
  </si>
  <si>
    <t>Area</t>
  </si>
  <si>
    <t>Washington CO</t>
  </si>
  <si>
    <t>OT</t>
  </si>
  <si>
    <t>301V</t>
  </si>
  <si>
    <t>Boston VSC</t>
  </si>
  <si>
    <t>304V</t>
  </si>
  <si>
    <t>Providence VSC</t>
  </si>
  <si>
    <t>304D</t>
  </si>
  <si>
    <t>Providence DES</t>
  </si>
  <si>
    <t>306V</t>
  </si>
  <si>
    <t>New York VSC</t>
  </si>
  <si>
    <t>307V</t>
  </si>
  <si>
    <t>Buffalo VSC</t>
  </si>
  <si>
    <t>308V</t>
  </si>
  <si>
    <t>Hartford VSC</t>
  </si>
  <si>
    <t>309V</t>
  </si>
  <si>
    <t>Newark VSC</t>
  </si>
  <si>
    <t>310V</t>
  </si>
  <si>
    <t>Philadelphia VSC</t>
  </si>
  <si>
    <t>310P</t>
  </si>
  <si>
    <t>311V</t>
  </si>
  <si>
    <t>Pittsburgh VSC</t>
  </si>
  <si>
    <t>311F</t>
  </si>
  <si>
    <t>Pittsburgh Foreign</t>
  </si>
  <si>
    <t>313V</t>
  </si>
  <si>
    <t>Baltimore VSC</t>
  </si>
  <si>
    <t>314V</t>
  </si>
  <si>
    <t>Roanoke VSC</t>
  </si>
  <si>
    <t>315V</t>
  </si>
  <si>
    <t>Huntington VSC</t>
  </si>
  <si>
    <t>316V</t>
  </si>
  <si>
    <t>Atlanta VSC</t>
  </si>
  <si>
    <t>317V</t>
  </si>
  <si>
    <t>St. Petersburg VSC</t>
  </si>
  <si>
    <t>318V</t>
  </si>
  <si>
    <t>Winston-Salem VSC</t>
  </si>
  <si>
    <t>318B</t>
  </si>
  <si>
    <t>318Q</t>
  </si>
  <si>
    <t>319V</t>
  </si>
  <si>
    <t>Columbia VSC</t>
  </si>
  <si>
    <t>320V</t>
  </si>
  <si>
    <t>Nashville VSC</t>
  </si>
  <si>
    <t>321V</t>
  </si>
  <si>
    <t>New Orleans VSC</t>
  </si>
  <si>
    <t>322V</t>
  </si>
  <si>
    <t>Montgomery VSC</t>
  </si>
  <si>
    <t>323V</t>
  </si>
  <si>
    <t>Jackson VSC</t>
  </si>
  <si>
    <t>323R</t>
  </si>
  <si>
    <t>Jackson Radiation</t>
  </si>
  <si>
    <t>325V</t>
  </si>
  <si>
    <t>Cleveland VSC</t>
  </si>
  <si>
    <t>326V</t>
  </si>
  <si>
    <t>Indianapolis VSC</t>
  </si>
  <si>
    <t>327V</t>
  </si>
  <si>
    <t>Louisville VSC</t>
  </si>
  <si>
    <t>327C</t>
  </si>
  <si>
    <t>Louisville CLCW</t>
  </si>
  <si>
    <t>328V</t>
  </si>
  <si>
    <t>Chicago VSC</t>
  </si>
  <si>
    <t>329V</t>
  </si>
  <si>
    <t>Detroit VSC</t>
  </si>
  <si>
    <t>330V</t>
  </si>
  <si>
    <t>Milwaukee VSC</t>
  </si>
  <si>
    <t>330P</t>
  </si>
  <si>
    <t>331V</t>
  </si>
  <si>
    <t>St. Louis VSC</t>
  </si>
  <si>
    <t>333V</t>
  </si>
  <si>
    <t>Des Moines VSC</t>
  </si>
  <si>
    <t>334V</t>
  </si>
  <si>
    <t>Lincoln VSC</t>
  </si>
  <si>
    <t>335V</t>
  </si>
  <si>
    <t>St. Paul VSC</t>
  </si>
  <si>
    <t>335L</t>
  </si>
  <si>
    <t>335P</t>
  </si>
  <si>
    <t>339V</t>
  </si>
  <si>
    <t>Denver VSC</t>
  </si>
  <si>
    <t>340V</t>
  </si>
  <si>
    <t>Albuquerque VSC</t>
  </si>
  <si>
    <t>341V</t>
  </si>
  <si>
    <t>Salt Lake City VSC</t>
  </si>
  <si>
    <t>341B</t>
  </si>
  <si>
    <t>343V</t>
  </si>
  <si>
    <t>Oakland VSC</t>
  </si>
  <si>
    <t>344V</t>
  </si>
  <si>
    <t>Los Angeles VSC</t>
  </si>
  <si>
    <t>345V</t>
  </si>
  <si>
    <t>Phoenix VSC</t>
  </si>
  <si>
    <t>346V</t>
  </si>
  <si>
    <t>Seattle VSC</t>
  </si>
  <si>
    <t>346D</t>
  </si>
  <si>
    <t>Seattle DES</t>
  </si>
  <si>
    <t>347V</t>
  </si>
  <si>
    <t>Boise VSC</t>
  </si>
  <si>
    <t>348V</t>
  </si>
  <si>
    <t>Portland VSC</t>
  </si>
  <si>
    <t>349V</t>
  </si>
  <si>
    <t>Waco VSC</t>
  </si>
  <si>
    <t>350V</t>
  </si>
  <si>
    <t>Little Rock VSC</t>
  </si>
  <si>
    <t>351V</t>
  </si>
  <si>
    <t>Muskogee VSC</t>
  </si>
  <si>
    <t>354V</t>
  </si>
  <si>
    <t>Reno VSC</t>
  </si>
  <si>
    <t>355V</t>
  </si>
  <si>
    <t>San Juan VSC</t>
  </si>
  <si>
    <t>358V</t>
  </si>
  <si>
    <t>Manila VSC</t>
  </si>
  <si>
    <t>PH</t>
  </si>
  <si>
    <t>Philippines</t>
  </si>
  <si>
    <t>362V</t>
  </si>
  <si>
    <t>Houston VSC</t>
  </si>
  <si>
    <t>372V</t>
  </si>
  <si>
    <t>373V</t>
  </si>
  <si>
    <t>Manchester VSC</t>
  </si>
  <si>
    <t>377V</t>
  </si>
  <si>
    <t>San Diego VSC</t>
  </si>
  <si>
    <t>377Q</t>
  </si>
  <si>
    <t>402V</t>
  </si>
  <si>
    <t>Togus VSC</t>
  </si>
  <si>
    <t>405V</t>
  </si>
  <si>
    <t>White River Junction VSC</t>
  </si>
  <si>
    <t>436V</t>
  </si>
  <si>
    <t>Ft. Harrison VSC</t>
  </si>
  <si>
    <t>437V</t>
  </si>
  <si>
    <t>Fargo VSC</t>
  </si>
  <si>
    <t>438V</t>
  </si>
  <si>
    <t>Sioux Falls VSC</t>
  </si>
  <si>
    <t>442V</t>
  </si>
  <si>
    <t>Cheyenne VSC</t>
  </si>
  <si>
    <t>452V</t>
  </si>
  <si>
    <t>Wichita VSC</t>
  </si>
  <si>
    <t>459V</t>
  </si>
  <si>
    <t>Honolulu VSC</t>
  </si>
  <si>
    <t>460V</t>
  </si>
  <si>
    <t>Wilmington VSC</t>
  </si>
  <si>
    <t>463V</t>
  </si>
  <si>
    <t>Anchorage VSC</t>
  </si>
  <si>
    <t>MMWR_TRAD_AGG_ST_DISTRICT_PEN</t>
  </si>
  <si>
    <t>MMWR_TRAD_AGG_ST_DISTRICT_COMP</t>
  </si>
  <si>
    <t>MMWR_TRAD_AGG_DISTRICT_COMP</t>
  </si>
  <si>
    <t>MMWR_TRAD_AGG_STATE_PEN</t>
  </si>
  <si>
    <t>MMWR_TRAD_AGG_STATE_COMP</t>
  </si>
  <si>
    <t>MMWR_TRAD_AGG_RO_PEN</t>
  </si>
  <si>
    <t>MMWR_TRAD_AGG_RO_COMP</t>
  </si>
  <si>
    <t>MMWR_TRAD_AGG_NATIONAL</t>
  </si>
  <si>
    <t>-99</t>
  </si>
  <si>
    <t>3</t>
  </si>
  <si>
    <t>20</t>
  </si>
  <si>
    <t>21</t>
  </si>
  <si>
    <t>22</t>
  </si>
  <si>
    <t>18</t>
  </si>
  <si>
    <t>23</t>
  </si>
  <si>
    <t>31</t>
  </si>
  <si>
    <t>30</t>
  </si>
  <si>
    <t>32</t>
  </si>
  <si>
    <t>33</t>
  </si>
  <si>
    <t>34</t>
  </si>
  <si>
    <t>35</t>
  </si>
  <si>
    <t>101</t>
  </si>
  <si>
    <t>24</t>
  </si>
  <si>
    <t>372</t>
  </si>
  <si>
    <t>Washington DC VSC</t>
  </si>
  <si>
    <t>376</t>
  </si>
  <si>
    <t>397</t>
  </si>
  <si>
    <t>442</t>
  </si>
  <si>
    <t>999</t>
  </si>
  <si>
    <t>999P</t>
  </si>
  <si>
    <t>999B</t>
  </si>
  <si>
    <t>999Q</t>
  </si>
  <si>
    <t>TYP_SPM</t>
  </si>
  <si>
    <t>BDD</t>
  </si>
  <si>
    <t>QST</t>
  </si>
  <si>
    <t>FGN</t>
  </si>
  <si>
    <t>VSC</t>
  </si>
  <si>
    <t>RAD</t>
  </si>
  <si>
    <t>CLC</t>
  </si>
  <si>
    <t>999V</t>
  </si>
  <si>
    <t>Other VSC</t>
  </si>
  <si>
    <t>Anchorage Appeals</t>
  </si>
  <si>
    <t>APP</t>
  </si>
  <si>
    <t>St. Paul PMC Appeals</t>
  </si>
  <si>
    <t>Milwaukee PMC Appeals</t>
  </si>
  <si>
    <t>Philadelphia PMC Appeals</t>
  </si>
  <si>
    <t>White River Junction Foreign Appeals</t>
  </si>
  <si>
    <t>Houston Foreign Appeals</t>
  </si>
  <si>
    <t>Pittsburgh Foreign Appeals</t>
  </si>
  <si>
    <t>USA BDD Total</t>
  </si>
  <si>
    <t>USA PMC Total</t>
  </si>
  <si>
    <t>USA QST Total</t>
  </si>
  <si>
    <t>USA Total</t>
  </si>
  <si>
    <t>SOO_INVENTORY</t>
  </si>
  <si>
    <t>SOO_BL_INVENTORY</t>
  </si>
  <si>
    <t>SOO_ADP</t>
  </si>
  <si>
    <t>SOO_PRODUCTION_FYTD</t>
  </si>
  <si>
    <t>SOO_PRODUCTION_MTD</t>
  </si>
  <si>
    <t>SOJ_INVENTORY</t>
  </si>
  <si>
    <t>SOJ_BL_INVENTORY</t>
  </si>
  <si>
    <t>SOJ_ADP</t>
  </si>
  <si>
    <t>SOJ_PRODUCTION_FYTD</t>
  </si>
  <si>
    <t>SOJ_PRODUCTION_MTD</t>
  </si>
  <si>
    <t>SOJ_ADC_FYTD</t>
  </si>
  <si>
    <t>SOJ_ADC_MTD</t>
  </si>
  <si>
    <t>MMWR_RATING_RO_ROLLUP</t>
  </si>
  <si>
    <t>SOO_ADC_FYTD</t>
  </si>
  <si>
    <t>SOO_ADC_MTD</t>
  </si>
  <si>
    <t>STATE_INVENTORY</t>
  </si>
  <si>
    <t>STATE_BL_INVENTORY</t>
  </si>
  <si>
    <t>STATE_ADP</t>
  </si>
  <si>
    <t>STATE_PRODUCTION_FYTD</t>
  </si>
  <si>
    <t>STATE_PRODUCTION_MTD</t>
  </si>
  <si>
    <t>STATE_ADC_FYTD</t>
  </si>
  <si>
    <t>STATE_ADC_MTD</t>
  </si>
  <si>
    <t>250A</t>
  </si>
  <si>
    <t>256A</t>
  </si>
  <si>
    <t>257A</t>
  </si>
  <si>
    <t>258A</t>
  </si>
  <si>
    <t>259A</t>
  </si>
  <si>
    <t>260A</t>
  </si>
  <si>
    <t>261A</t>
  </si>
  <si>
    <t>USA VSC Total</t>
  </si>
  <si>
    <t>USA TOTAL</t>
  </si>
  <si>
    <t>DIST_TYP</t>
  </si>
  <si>
    <t>ALL DISTRICTS</t>
  </si>
  <si>
    <t>Compensation Claims Processing at Veterans Service Centers (VSC)</t>
  </si>
  <si>
    <t>Pension Claims Processing at Pension Management Centers (PMC)</t>
  </si>
  <si>
    <t>Benefits Delivery at Discharge (BDD) Processing</t>
  </si>
  <si>
    <t>STATE_DISTRICT_SM</t>
  </si>
  <si>
    <t>STATE_SM</t>
  </si>
  <si>
    <t>Arkansas BDD</t>
  </si>
  <si>
    <t>Continental BDD</t>
  </si>
  <si>
    <t>Colorado BDD</t>
  </si>
  <si>
    <t>Louisiana BDD</t>
  </si>
  <si>
    <t>Mississippi BDD</t>
  </si>
  <si>
    <t>Montana BDD</t>
  </si>
  <si>
    <t>Oklahoma BDD</t>
  </si>
  <si>
    <t>Texas BDD</t>
  </si>
  <si>
    <t>Utah BDD</t>
  </si>
  <si>
    <t>Wyoming BDD</t>
  </si>
  <si>
    <t>Arkansas PMC</t>
  </si>
  <si>
    <t>Continental PMC</t>
  </si>
  <si>
    <t>Colorado PMC</t>
  </si>
  <si>
    <t>Louisiana PMC</t>
  </si>
  <si>
    <t>Mississippi PMC</t>
  </si>
  <si>
    <t>Montana PMC</t>
  </si>
  <si>
    <t>Oklahoma PMC</t>
  </si>
  <si>
    <t>Texas PMC</t>
  </si>
  <si>
    <t>Utah PMC</t>
  </si>
  <si>
    <t>Wyoming PMC</t>
  </si>
  <si>
    <t>Arkansas QST</t>
  </si>
  <si>
    <t>Continental QST</t>
  </si>
  <si>
    <t>Colorado QST</t>
  </si>
  <si>
    <t>Louisiana QST</t>
  </si>
  <si>
    <t>Mississippi QST</t>
  </si>
  <si>
    <t>Montana QST</t>
  </si>
  <si>
    <t>Oklahoma QST</t>
  </si>
  <si>
    <t>Texas QST</t>
  </si>
  <si>
    <t>Utah QST</t>
  </si>
  <si>
    <t>Wyoming QST</t>
  </si>
  <si>
    <t>Continental VSC</t>
  </si>
  <si>
    <t>Illinois BDD</t>
  </si>
  <si>
    <t>Midwest BDD</t>
  </si>
  <si>
    <t>Indiana BDD</t>
  </si>
  <si>
    <t>Iowa BDD</t>
  </si>
  <si>
    <t>Kansas BDD</t>
  </si>
  <si>
    <t>Michigan BDD</t>
  </si>
  <si>
    <t>Minnesota BDD</t>
  </si>
  <si>
    <t>Missouri BDD</t>
  </si>
  <si>
    <t>Nebraska BDD</t>
  </si>
  <si>
    <t>North Dakota BDD</t>
  </si>
  <si>
    <t>Ohio BDD</t>
  </si>
  <si>
    <t>South Dakota BDD</t>
  </si>
  <si>
    <t>Wisconsin BDD</t>
  </si>
  <si>
    <t>Illinois PMC</t>
  </si>
  <si>
    <t>Midwest PMC</t>
  </si>
  <si>
    <t>Indiana PMC</t>
  </si>
  <si>
    <t>Iowa PMC</t>
  </si>
  <si>
    <t>Kansas PMC</t>
  </si>
  <si>
    <t>Michigan PMC</t>
  </si>
  <si>
    <t>Minnesota PMC</t>
  </si>
  <si>
    <t>Missouri PMC</t>
  </si>
  <si>
    <t>Nebraska PMC</t>
  </si>
  <si>
    <t>North Dakota PMC</t>
  </si>
  <si>
    <t>Ohio PMC</t>
  </si>
  <si>
    <t>South Dakota PMC</t>
  </si>
  <si>
    <t>Wisconsin PMC</t>
  </si>
  <si>
    <t>Illinois QST</t>
  </si>
  <si>
    <t>Midwest QST</t>
  </si>
  <si>
    <t>Indiana QST</t>
  </si>
  <si>
    <t>Iowa QST</t>
  </si>
  <si>
    <t>Kansas QST</t>
  </si>
  <si>
    <t>Michigan QST</t>
  </si>
  <si>
    <t>Minnesota QST</t>
  </si>
  <si>
    <t>Missouri QST</t>
  </si>
  <si>
    <t>Nebraska QST</t>
  </si>
  <si>
    <t>North Dakota QST</t>
  </si>
  <si>
    <t>Ohio QST</t>
  </si>
  <si>
    <t>South Dakota QST</t>
  </si>
  <si>
    <t>Wisconsin QST</t>
  </si>
  <si>
    <t>Midwest VSC</t>
  </si>
  <si>
    <t>Connecticut BDD</t>
  </si>
  <si>
    <t>North Atlantic BDD</t>
  </si>
  <si>
    <t>Delaware BDD</t>
  </si>
  <si>
    <t>District of Columbia BDD</t>
  </si>
  <si>
    <t>Maine BDD</t>
  </si>
  <si>
    <t>Maryland BDD</t>
  </si>
  <si>
    <t>Massachusetts BDD</t>
  </si>
  <si>
    <t>New Hampshire BDD</t>
  </si>
  <si>
    <t>New Jersey BDD</t>
  </si>
  <si>
    <t>New York BDD</t>
  </si>
  <si>
    <t>North Carolina BDD</t>
  </si>
  <si>
    <t>Pennsylvania BDD</t>
  </si>
  <si>
    <t>Rhode Island BDD</t>
  </si>
  <si>
    <t>Vermont BDD</t>
  </si>
  <si>
    <t>Virginia BDD</t>
  </si>
  <si>
    <t>West Virginia BDD</t>
  </si>
  <si>
    <t>Connecticut PMC</t>
  </si>
  <si>
    <t>North Atlantic PMC</t>
  </si>
  <si>
    <t>Delaware PMC</t>
  </si>
  <si>
    <t>District of Columbia PMC</t>
  </si>
  <si>
    <t>Maine PMC</t>
  </si>
  <si>
    <t>Maryland PMC</t>
  </si>
  <si>
    <t>Massachusetts PMC</t>
  </si>
  <si>
    <t>New Hampshire PMC</t>
  </si>
  <si>
    <t>New Jersey PMC</t>
  </si>
  <si>
    <t>New York PMC</t>
  </si>
  <si>
    <t>North Carolina PMC</t>
  </si>
  <si>
    <t>Pennsylvania PMC</t>
  </si>
  <si>
    <t>Rhode Island PMC</t>
  </si>
  <si>
    <t>Vermont PMC</t>
  </si>
  <si>
    <t>Virginia PMC</t>
  </si>
  <si>
    <t>West Virginia PMC</t>
  </si>
  <si>
    <t>Connecticut QST</t>
  </si>
  <si>
    <t>North Atlantic QST</t>
  </si>
  <si>
    <t>Delaware QST</t>
  </si>
  <si>
    <t>District of Columbia QST</t>
  </si>
  <si>
    <t>Maine QST</t>
  </si>
  <si>
    <t>Maryland QST</t>
  </si>
  <si>
    <t>Massachusetts QST</t>
  </si>
  <si>
    <t>New Hampshire QST</t>
  </si>
  <si>
    <t>New Jersey QST</t>
  </si>
  <si>
    <t>New York QST</t>
  </si>
  <si>
    <t>North Carolina QST</t>
  </si>
  <si>
    <t>Pennsylvania QST</t>
  </si>
  <si>
    <t>Rhode Island QST</t>
  </si>
  <si>
    <t>Vermont QST</t>
  </si>
  <si>
    <t>Virginia QST</t>
  </si>
  <si>
    <t>West Virginia QST</t>
  </si>
  <si>
    <t>North Atlantic VSC</t>
  </si>
  <si>
    <t>Other BDD</t>
  </si>
  <si>
    <t>Other PMC</t>
  </si>
  <si>
    <t>Other QST</t>
  </si>
  <si>
    <t>Alaska BDD</t>
  </si>
  <si>
    <t>Pacific BDD</t>
  </si>
  <si>
    <t>Arizona BDD</t>
  </si>
  <si>
    <t>California BDD</t>
  </si>
  <si>
    <t>Hawaii BDD</t>
  </si>
  <si>
    <t>Idaho BDD</t>
  </si>
  <si>
    <t>Nevada BDD</t>
  </si>
  <si>
    <t>New Mexico BDD</t>
  </si>
  <si>
    <t>Oregon BDD</t>
  </si>
  <si>
    <t>Washington BDD</t>
  </si>
  <si>
    <t>Alaska PMC</t>
  </si>
  <si>
    <t>Pacific PMC</t>
  </si>
  <si>
    <t>Arizona PMC</t>
  </si>
  <si>
    <t>California PMC</t>
  </si>
  <si>
    <t>Hawaii PMC</t>
  </si>
  <si>
    <t>Idaho PMC</t>
  </si>
  <si>
    <t>Nevada PMC</t>
  </si>
  <si>
    <t>New Mexico PMC</t>
  </si>
  <si>
    <t>Oregon PMC</t>
  </si>
  <si>
    <t>Washington PMC</t>
  </si>
  <si>
    <t>Alaska QST</t>
  </si>
  <si>
    <t>Pacific QST</t>
  </si>
  <si>
    <t>Arizona QST</t>
  </si>
  <si>
    <t>California QST</t>
  </si>
  <si>
    <t>Hawaii QST</t>
  </si>
  <si>
    <t>Idaho QST</t>
  </si>
  <si>
    <t>Nevada QST</t>
  </si>
  <si>
    <t>New Mexico QST</t>
  </si>
  <si>
    <t>Oregon QST</t>
  </si>
  <si>
    <t>Washington QST</t>
  </si>
  <si>
    <t>Pacific VSC</t>
  </si>
  <si>
    <t>Alabama BDD</t>
  </si>
  <si>
    <t>Southeast BDD</t>
  </si>
  <si>
    <t>Florida BDD</t>
  </si>
  <si>
    <t>Georgia BDD</t>
  </si>
  <si>
    <t>Kentucky BDD</t>
  </si>
  <si>
    <t>Puerto Rico BDD</t>
  </si>
  <si>
    <t>South Carolina BDD</t>
  </si>
  <si>
    <t>Tennessee BDD</t>
  </si>
  <si>
    <t>Alabama PMC</t>
  </si>
  <si>
    <t>Southeast PMC</t>
  </si>
  <si>
    <t>Florida PMC</t>
  </si>
  <si>
    <t>Georgia PMC</t>
  </si>
  <si>
    <t>Kentucky PMC</t>
  </si>
  <si>
    <t>Puerto Rico PMC</t>
  </si>
  <si>
    <t>South Carolina PMC</t>
  </si>
  <si>
    <t>Tennessee PMC</t>
  </si>
  <si>
    <t>Alabama QST</t>
  </si>
  <si>
    <t>Southeast QST</t>
  </si>
  <si>
    <t>Florida QST</t>
  </si>
  <si>
    <t>Georgia QST</t>
  </si>
  <si>
    <t>Kentucky QST</t>
  </si>
  <si>
    <t>Puerto Rico QST</t>
  </si>
  <si>
    <t>South Carolina QST</t>
  </si>
  <si>
    <t>Tennessee QST</t>
  </si>
  <si>
    <t>Southeast VSC</t>
  </si>
  <si>
    <t>Quick Start (QST) Claims Processing</t>
  </si>
  <si>
    <t>ALL STATES</t>
  </si>
  <si>
    <t>RELEASE_DATE</t>
  </si>
  <si>
    <t>RO</t>
  </si>
  <si>
    <t>COMP3_ISSUES_WGHTED_ACC</t>
  </si>
  <si>
    <t>COMP3_RTNG_CLM_WGHTED_ACC</t>
  </si>
  <si>
    <t>PMC3_RTNG_CLM_WGHTED_ACC</t>
  </si>
  <si>
    <t>COMP12_RTNG_CLM_WGHTED_ACC</t>
  </si>
  <si>
    <t>COMP12_AUTH_CLM_WGHTED_ACC</t>
  </si>
  <si>
    <t>COMP12_AUTH_CLM_MOE</t>
  </si>
  <si>
    <t>% Correct</t>
  </si>
  <si>
    <t>3 Month Entitlement Accuracy - 
Issue Based
% Correct</t>
  </si>
  <si>
    <t>3 month Entitlement Accuracy - 
Claim Level
% Correct</t>
  </si>
  <si>
    <t>PMC12_RTNG_CLM_WGHTED_ACC</t>
  </si>
  <si>
    <t>PMC12_RTNG_CLM_MOE</t>
  </si>
  <si>
    <t>PMC12_AUTH_CLM_WGHTED_ACC</t>
  </si>
  <si>
    <t>PMC12_AUTH_CLM_MOE</t>
  </si>
  <si>
    <r>
      <t xml:space="preserve">Margin of Error </t>
    </r>
    <r>
      <rPr>
        <sz val="7"/>
        <rFont val="Arial"/>
        <family val="2"/>
      </rPr>
      <t xml:space="preserve">+ / −  </t>
    </r>
  </si>
  <si>
    <t>APPEALS_INVENTORY</t>
  </si>
  <si>
    <t>NOD_INVENTORY</t>
  </si>
  <si>
    <t>NOD_ADP</t>
  </si>
  <si>
    <t>SOC_INVENTORY</t>
  </si>
  <si>
    <t>SOC_ADP</t>
  </si>
  <si>
    <t>FORM9_INVENTORY</t>
  </si>
  <si>
    <t>FORM9_ADP</t>
  </si>
  <si>
    <t>RMND_AT_RO_INVENTORY</t>
  </si>
  <si>
    <t>RMND_AT_RO_ADP</t>
  </si>
  <si>
    <t>RMND_AT_AMC_INVENTORY</t>
  </si>
  <si>
    <t>RMND_AT_AMC_ADP</t>
  </si>
  <si>
    <t>RMND_TB_READY_INVENTORY</t>
  </si>
  <si>
    <t>RMND_TB_READY_ADP</t>
  </si>
  <si>
    <t>MMWR_APP_RO</t>
  </si>
  <si>
    <t>MMWR_APP_STATE_COMP</t>
  </si>
  <si>
    <t>MMWR_APP_STATE_PEN</t>
  </si>
  <si>
    <t>Remands Ready for Travel Board</t>
  </si>
  <si>
    <t>Burials, Accrued</t>
  </si>
  <si>
    <t>TITLE</t>
  </si>
  <si>
    <t>INVENTORY</t>
  </si>
  <si>
    <t>ALL Remands</t>
  </si>
  <si>
    <t>ALL APPEALS</t>
  </si>
  <si>
    <t>Traditional Aggregate (National)</t>
  </si>
  <si>
    <t>Traditional Aggregate (Regional Office)</t>
  </si>
  <si>
    <t>San Diego Quick Start</t>
  </si>
  <si>
    <t>Winston-Salem Quick Start</t>
  </si>
  <si>
    <t>Compensation Claims Processing</t>
  </si>
  <si>
    <t>Pension Claims Processing</t>
  </si>
  <si>
    <t>Rating Bundle Metrics:
Station of Origination</t>
  </si>
  <si>
    <t>Rating Bundle Metrics:
Station of Jurisdiction</t>
  </si>
  <si>
    <t>Rating Bundle Metrics:
Claimant State</t>
  </si>
  <si>
    <t>Total Chapter 33 Original Claims</t>
  </si>
  <si>
    <t>Appeals in the "Statement of the case" status awaiting Veteran response</t>
  </si>
  <si>
    <t>Avg. Days Pending for Remands ready for the travel board</t>
  </si>
  <si>
    <t>Total Appeals Pending Under VBA control</t>
  </si>
  <si>
    <t>Pending Remands Sent to the Appeals Management Center</t>
  </si>
  <si>
    <t>Chapter 33 is the Post-9/11GI Bill.  "All" represents all Education Benefit Programs Including  Chapter 33 claims.</t>
  </si>
  <si>
    <t>To view Rating Bundle data at Regional Office level, click a jurisdiction filter below. 
Claims broken up by the traditional aggregate bundles are also available.</t>
  </si>
  <si>
    <t>Notes about the data:
1)  The Station of Origination (SOO) primarily represents pending claims based on geographic boundaries; however, a tab reporting directly by geography has been added: "Rating Bundle Measures - STATE"</t>
  </si>
  <si>
    <t>Accuracy measurement is not applicable at the 
station of origination level - see Rating Bundle Measures - SOJ tab.</t>
  </si>
  <si>
    <t>Accuracy measurement is not applicable at the state level - 
see Rating Bundle Measures - SOJ tab.</t>
  </si>
  <si>
    <t>DATA_DATE</t>
  </si>
  <si>
    <t>FILE_DATE</t>
  </si>
  <si>
    <t>MONTH_NUM</t>
  </si>
  <si>
    <t>409</t>
  </si>
  <si>
    <t>Appeals in the "Statement of the Case" status awaiting Veteran response</t>
  </si>
  <si>
    <t>Claims Pending by State
Compensation and Pension Rating Bundle Metrics</t>
  </si>
  <si>
    <r>
      <rPr>
        <b/>
        <sz val="18"/>
        <rFont val="Arial"/>
        <family val="2"/>
      </rPr>
      <t xml:space="preserve">Compensation and Pension Rating Bundle Totals
</t>
    </r>
    <r>
      <rPr>
        <b/>
        <sz val="13"/>
        <rFont val="Arial"/>
        <family val="2"/>
      </rPr>
      <t xml:space="preserve">(Represents the 8 End Products + Agent Orange Claims VA Uses to Define the 125 Day and 98% Accuracy Targets) </t>
    </r>
  </si>
  <si>
    <t>Connecticut VSC</t>
  </si>
  <si>
    <t>Delaware VSC</t>
  </si>
  <si>
    <t>District of Columbia VSC</t>
  </si>
  <si>
    <t>Maine VSC</t>
  </si>
  <si>
    <t>Maryland VSC</t>
  </si>
  <si>
    <t>Massachusetts VSC</t>
  </si>
  <si>
    <t>New Hampshire VSC</t>
  </si>
  <si>
    <t>New Jersey VSC</t>
  </si>
  <si>
    <t>North Carolina VSC</t>
  </si>
  <si>
    <t>Pennsylvania VSC</t>
  </si>
  <si>
    <t>Rhode Island VSC</t>
  </si>
  <si>
    <t>Vermont VSC</t>
  </si>
  <si>
    <t>Virginia VSC</t>
  </si>
  <si>
    <t>West Virginia VSC</t>
  </si>
  <si>
    <t>Arkansas VSC</t>
  </si>
  <si>
    <t>Colorado VSC</t>
  </si>
  <si>
    <t>Louisiana VSC</t>
  </si>
  <si>
    <t>Mississippi VSC</t>
  </si>
  <si>
    <t>Montana VSC</t>
  </si>
  <si>
    <t>Oklahoma VSC</t>
  </si>
  <si>
    <t>Texas VSC</t>
  </si>
  <si>
    <t>Utah VSC</t>
  </si>
  <si>
    <t>Wyoming VSC</t>
  </si>
  <si>
    <t>Illinois VSC</t>
  </si>
  <si>
    <t>Indiana VSC</t>
  </si>
  <si>
    <t>Iowa VSC</t>
  </si>
  <si>
    <t>Kansas VSC</t>
  </si>
  <si>
    <t>Michigan VSC</t>
  </si>
  <si>
    <t>Minnesota VSC</t>
  </si>
  <si>
    <t>Missouri VSC</t>
  </si>
  <si>
    <t>Nebraska VSC</t>
  </si>
  <si>
    <t>North Dakota VSC</t>
  </si>
  <si>
    <t>Ohio VSC</t>
  </si>
  <si>
    <t>South Dakota VSC</t>
  </si>
  <si>
    <t>Wisconsin VSC</t>
  </si>
  <si>
    <t>Alaska VSC</t>
  </si>
  <si>
    <t>Arizona VSC</t>
  </si>
  <si>
    <t>California VSC</t>
  </si>
  <si>
    <t>Hawaii VSC</t>
  </si>
  <si>
    <t>Idaho VSC</t>
  </si>
  <si>
    <t>Nevada VSC</t>
  </si>
  <si>
    <t>New Mexico VSC</t>
  </si>
  <si>
    <t>Oregon VSC</t>
  </si>
  <si>
    <t>Washington VSC</t>
  </si>
  <si>
    <t>Alabama VSC</t>
  </si>
  <si>
    <t>Florida VSC</t>
  </si>
  <si>
    <t>Georgia VSC</t>
  </si>
  <si>
    <t>Kentucky VSC</t>
  </si>
  <si>
    <t>Puerto Rico VSC</t>
  </si>
  <si>
    <t>South Carolina VSC</t>
  </si>
  <si>
    <t>Tennessee VSC</t>
  </si>
  <si>
    <t>MMWR_RATING_STATE_ROLLUP_VSC</t>
  </si>
  <si>
    <t>MMWR_RATING_STATE_ROLLUP_PMC</t>
  </si>
  <si>
    <t>MMWR_RATING_STATE_ROLLUP_QST</t>
  </si>
  <si>
    <t>MMWR_RATING_STATE_ROLLUP_BDD</t>
  </si>
  <si>
    <t>District_STATES</t>
  </si>
  <si>
    <t>USA Compensation Total</t>
  </si>
  <si>
    <t>USA Benefits Delivery at Discharge Total</t>
  </si>
  <si>
    <t>USA Pension Total</t>
  </si>
  <si>
    <t>USA Quick Start Total</t>
  </si>
  <si>
    <t>Quick Start Claims Processing</t>
  </si>
  <si>
    <t>Benefits Delivery at Discharge Claims Processing</t>
  </si>
  <si>
    <t>Represents the 8 End Products + Agent Orange Claims VA Uses to Define the 125 Day and 98% Accuracy Targets</t>
  </si>
  <si>
    <t>COMP12_RTNG_CLM_MOE</t>
  </si>
  <si>
    <t>USA Radiation Total</t>
  </si>
  <si>
    <t>USA Foreign Total</t>
  </si>
  <si>
    <t>USA DES Total</t>
  </si>
  <si>
    <t>USA CLCW Total</t>
  </si>
  <si>
    <t>USA Other Total</t>
  </si>
  <si>
    <t>MMWR_ACCURACY_RO</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</si>
</sst>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_(&quot;$&quot;* \(#,##0.00\);_(&quot;$&quot;* &quot;-&quot;??_);_(@_)"/>
    <numFmt numFmtId="43" formatCode="_(* #,##0.00_);_(* \(#,##0.00\);_(* &quot;-&quot;??_);_(@_)"/>
    <numFmt numFmtId="164" formatCode="0.0"/>
    <numFmt numFmtId="165" formatCode="#,##0.0"/>
    <numFmt numFmtId="166" formatCode="_(* #,##0_);_(* \(#,##0\);_(* &quot;-&quot;??_);_(@_)"/>
    <numFmt numFmtId="167" formatCode="0.0%"/>
    <numFmt numFmtId="168" formatCode="[$-409]mmmm\ d\,\ yyyy;@"/>
    <numFmt numFmtId="169" formatCode="_(* #,##0.0_);_(* \(#,##0.0\);_(* &quot;-&quot;??_);_(@_)"/>
    <numFmt numFmtId="170" formatCode="0.00000"/>
    <numFmt numFmtId="171" formatCode="#,##0.0_);\(#,##0.0\)"/>
  </numFmts>
  <fonts count="6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b/>
      <sz val="16"/>
      <name val="Arial"/>
      <family val="2"/>
    </font>
    <font>
      <sz val="10"/>
      <name val="Arial"/>
      <family val="2"/>
    </font>
    <font>
      <b/>
      <sz val="10"/>
      <name val="Arial"/>
      <family val="2"/>
    </font>
    <font>
      <b/>
      <sz val="9"/>
      <name val="Arial"/>
      <family val="2"/>
    </font>
    <font>
      <sz val="8"/>
      <name val="Arial"/>
      <family val="2"/>
    </font>
    <font>
      <sz val="9"/>
      <name val="Arial"/>
      <family val="2"/>
    </font>
    <font>
      <b/>
      <sz val="20"/>
      <name val="Arial"/>
      <family val="2"/>
    </font>
    <font>
      <sz val="12"/>
      <name val="Arial"/>
      <family val="2"/>
    </font>
    <font>
      <b/>
      <sz val="12"/>
      <name val="Arial"/>
      <family val="2"/>
    </font>
    <font>
      <u/>
      <sz val="10"/>
      <color indexed="12"/>
      <name val="Arial"/>
      <family val="2"/>
    </font>
    <font>
      <b/>
      <sz val="11"/>
      <name val="Arial"/>
      <family val="2"/>
    </font>
    <font>
      <sz val="11"/>
      <name val="Arial"/>
      <family val="2"/>
    </font>
    <font>
      <b/>
      <sz val="10"/>
      <color indexed="10"/>
      <name val="Arial"/>
      <family val="2"/>
    </font>
    <font>
      <sz val="10"/>
      <name val="Arial"/>
      <family val="2"/>
    </font>
    <font>
      <sz val="10"/>
      <name val="Arial"/>
      <family val="2"/>
    </font>
    <font>
      <b/>
      <sz val="13"/>
      <name val="Arial"/>
      <family val="2"/>
    </font>
    <font>
      <b/>
      <sz val="18"/>
      <name val="Arial"/>
      <family val="2"/>
    </font>
    <font>
      <sz val="10"/>
      <name val="Arial"/>
      <family val="2"/>
    </font>
    <font>
      <b/>
      <u/>
      <sz val="14"/>
      <name val="Arial"/>
      <family val="2"/>
    </font>
    <font>
      <sz val="18"/>
      <name val="Arial"/>
      <family val="2"/>
    </font>
    <font>
      <sz val="10"/>
      <name val="Arial"/>
      <family val="2"/>
    </font>
    <font>
      <b/>
      <sz val="11"/>
      <color indexed="81"/>
      <name val="Tahoma"/>
      <family val="2"/>
    </font>
    <font>
      <i/>
      <sz val="12"/>
      <name val="Arial"/>
      <family val="2"/>
    </font>
    <font>
      <b/>
      <i/>
      <u/>
      <sz val="12"/>
      <name val="Arial"/>
      <family val="2"/>
    </font>
    <font>
      <b/>
      <vertAlign val="superscript"/>
      <sz val="13"/>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4"/>
      <color indexed="10"/>
      <name val="Arial"/>
      <family val="2"/>
    </font>
    <font>
      <b/>
      <sz val="14"/>
      <color indexed="10"/>
      <name val="Symbol"/>
      <family val="1"/>
      <charset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28"/>
      <color rgb="FFFF0000"/>
      <name val="Symbol"/>
      <family val="1"/>
      <charset val="2"/>
    </font>
    <font>
      <b/>
      <sz val="16"/>
      <color rgb="FFFF0000"/>
      <name val="Arial"/>
      <family val="2"/>
    </font>
    <font>
      <b/>
      <sz val="10"/>
      <color theme="1"/>
      <name val="Arial"/>
      <family val="2"/>
    </font>
    <font>
      <b/>
      <sz val="14"/>
      <color indexed="81"/>
      <name val="Tahoma"/>
      <family val="2"/>
    </font>
    <font>
      <sz val="7"/>
      <name val="Arial"/>
      <family val="2"/>
    </font>
    <font>
      <u/>
      <sz val="18"/>
      <color indexed="12"/>
      <name val="Arial"/>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s>
  <fills count="4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darkUp"/>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gradientFill degree="270">
        <stop position="0">
          <color theme="0"/>
        </stop>
        <stop position="1">
          <color rgb="FFFFC000"/>
        </stop>
      </gradientFill>
    </fill>
    <fill>
      <gradientFill degree="90">
        <stop position="0">
          <color theme="0"/>
        </stop>
        <stop position="1">
          <color rgb="FFFFC000"/>
        </stop>
      </gradientFill>
    </fill>
    <fill>
      <gradientFill degree="90">
        <stop position="0">
          <color theme="0"/>
        </stop>
        <stop position="1">
          <color theme="0" tint="-0.25098422193060094"/>
        </stop>
      </gradientFill>
    </fill>
    <fill>
      <patternFill patternType="solid">
        <fgColor theme="0"/>
        <bgColor indexed="64"/>
      </patternFill>
    </fill>
    <fill>
      <gradientFill degree="90">
        <stop position="0">
          <color theme="0"/>
        </stop>
        <stop position="1">
          <color theme="4"/>
        </stop>
      </gradientFill>
    </fill>
    <fill>
      <gradientFill degree="90">
        <stop position="0">
          <color theme="0"/>
        </stop>
        <stop position="1">
          <color theme="1" tint="0.49803155613879818"/>
        </stop>
      </gradientFill>
    </fill>
    <fill>
      <gradientFill degree="90">
        <stop position="0">
          <color theme="0"/>
        </stop>
        <stop position="1">
          <color theme="3" tint="0.40000610370189521"/>
        </stop>
      </gradientFill>
    </fill>
    <fill>
      <gradientFill degree="90">
        <stop position="0">
          <color theme="0"/>
        </stop>
        <stop position="0.5">
          <color rgb="FFFFFF99"/>
        </stop>
        <stop position="1">
          <color theme="0"/>
        </stop>
      </gradientFill>
    </fill>
  </fills>
  <borders count="10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style="medium">
        <color indexed="64"/>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right/>
      <top style="thin">
        <color theme="4"/>
      </top>
      <bottom/>
      <diagonal/>
    </border>
    <border>
      <left/>
      <right style="thin">
        <color theme="4"/>
      </right>
      <top style="thin">
        <color theme="4"/>
      </top>
      <bottom/>
      <diagonal/>
    </border>
    <border>
      <left/>
      <right/>
      <top style="thin">
        <color theme="4"/>
      </top>
      <bottom style="thin">
        <color theme="4"/>
      </bottom>
      <diagonal/>
    </border>
    <border>
      <left/>
      <right style="thin">
        <color theme="4"/>
      </right>
      <top style="thin">
        <color theme="4"/>
      </top>
      <bottom style="thin">
        <color theme="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bottom style="thin">
        <color theme="4" tint="0.39997558519241921"/>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top style="medium">
        <color indexed="64"/>
      </top>
      <bottom style="thin">
        <color indexed="64"/>
      </bottom>
      <diagonal/>
    </border>
  </borders>
  <cellStyleXfs count="139">
    <xf numFmtId="0" fontId="0" fillId="0" borderId="0"/>
    <xf numFmtId="0" fontId="39" fillId="5" borderId="0" applyNumberFormat="0" applyBorder="0" applyAlignment="0" applyProtection="0"/>
    <xf numFmtId="0" fontId="39" fillId="6" borderId="0" applyNumberFormat="0" applyBorder="0" applyAlignment="0" applyProtection="0"/>
    <xf numFmtId="0" fontId="39" fillId="7" borderId="0" applyNumberFormat="0" applyBorder="0" applyAlignment="0" applyProtection="0"/>
    <xf numFmtId="0" fontId="39" fillId="8"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1" borderId="0" applyNumberFormat="0" applyBorder="0" applyAlignment="0" applyProtection="0"/>
    <xf numFmtId="0" fontId="39" fillId="12"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39" fillId="15" borderId="0" applyNumberFormat="0" applyBorder="0" applyAlignment="0" applyProtection="0"/>
    <xf numFmtId="0" fontId="39" fillId="16"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40" fillId="19" borderId="0" applyNumberFormat="0" applyBorder="0" applyAlignment="0" applyProtection="0"/>
    <xf numFmtId="0" fontId="40" fillId="20" borderId="0" applyNumberFormat="0" applyBorder="0" applyAlignment="0" applyProtection="0"/>
    <xf numFmtId="0" fontId="40" fillId="21" borderId="0" applyNumberFormat="0" applyBorder="0" applyAlignment="0" applyProtection="0"/>
    <xf numFmtId="0" fontId="40" fillId="22" borderId="0" applyNumberFormat="0" applyBorder="0" applyAlignment="0" applyProtection="0"/>
    <xf numFmtId="0" fontId="40" fillId="23"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40" fillId="26" borderId="0" applyNumberFormat="0" applyBorder="0" applyAlignment="0" applyProtection="0"/>
    <xf numFmtId="0" fontId="40" fillId="27" borderId="0" applyNumberFormat="0" applyBorder="0" applyAlignment="0" applyProtection="0"/>
    <xf numFmtId="0" fontId="40" fillId="28" borderId="0" applyNumberFormat="0" applyBorder="0" applyAlignment="0" applyProtection="0"/>
    <xf numFmtId="0" fontId="41" fillId="29" borderId="0" applyNumberFormat="0" applyBorder="0" applyAlignment="0" applyProtection="0"/>
    <xf numFmtId="0" fontId="42" fillId="30" borderId="54" applyNumberFormat="0" applyAlignment="0" applyProtection="0"/>
    <xf numFmtId="0" fontId="43" fillId="31" borderId="55" applyNumberFormat="0" applyAlignment="0" applyProtection="0"/>
    <xf numFmtId="43" fontId="4" fillId="0" borderId="0" applyFont="0" applyFill="0" applyBorder="0" applyAlignment="0" applyProtection="0"/>
    <xf numFmtId="43" fontId="20" fillId="0" borderId="0" applyFont="0" applyFill="0" applyBorder="0" applyAlignment="0" applyProtection="0"/>
    <xf numFmtId="43" fontId="8" fillId="0" borderId="0" applyFont="0" applyFill="0" applyBorder="0" applyAlignment="0" applyProtection="0"/>
    <xf numFmtId="0" fontId="8" fillId="0" borderId="0"/>
    <xf numFmtId="43" fontId="2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xf numFmtId="43" fontId="24" fillId="0" borderId="0" applyFont="0" applyFill="0" applyBorder="0" applyAlignment="0" applyProtection="0"/>
    <xf numFmtId="43" fontId="27" fillId="0" borderId="0" applyFont="0" applyFill="0" applyBorder="0" applyAlignment="0" applyProtection="0"/>
    <xf numFmtId="43" fontId="39" fillId="0" borderId="0" applyFont="0" applyFill="0" applyBorder="0" applyAlignment="0" applyProtection="0"/>
    <xf numFmtId="44" fontId="20" fillId="0" borderId="0" applyFont="0" applyFill="0" applyBorder="0" applyAlignment="0" applyProtection="0"/>
    <xf numFmtId="44" fontId="8" fillId="0" borderId="0" applyFont="0" applyFill="0" applyBorder="0" applyAlignment="0" applyProtection="0"/>
    <xf numFmtId="44" fontId="21" fillId="0" borderId="0" applyFont="0" applyFill="0" applyBorder="0" applyAlignment="0" applyProtection="0"/>
    <xf numFmtId="44" fontId="8" fillId="0" borderId="0" applyFont="0" applyFill="0" applyBorder="0" applyAlignment="0" applyProtection="0"/>
    <xf numFmtId="0" fontId="44" fillId="0" borderId="0" applyNumberFormat="0" applyFill="0" applyBorder="0" applyAlignment="0" applyProtection="0"/>
    <xf numFmtId="0" fontId="45" fillId="32" borderId="0" applyNumberFormat="0" applyBorder="0" applyAlignment="0" applyProtection="0"/>
    <xf numFmtId="0" fontId="46" fillId="0" borderId="56" applyNumberFormat="0" applyFill="0" applyAlignment="0" applyProtection="0"/>
    <xf numFmtId="0" fontId="47" fillId="0" borderId="57" applyNumberFormat="0" applyFill="0" applyAlignment="0" applyProtection="0"/>
    <xf numFmtId="0" fontId="48" fillId="0" borderId="58" applyNumberFormat="0" applyFill="0" applyAlignment="0" applyProtection="0"/>
    <xf numFmtId="0" fontId="48" fillId="0" borderId="0" applyNumberFormat="0" applyFill="0" applyBorder="0" applyAlignment="0" applyProtection="0"/>
    <xf numFmtId="0" fontId="16" fillId="0" borderId="0" applyNumberFormat="0" applyFill="0" applyBorder="0" applyAlignment="0" applyProtection="0">
      <alignment vertical="top"/>
      <protection locked="0"/>
    </xf>
    <xf numFmtId="0" fontId="49" fillId="33" borderId="54" applyNumberFormat="0" applyAlignment="0" applyProtection="0"/>
    <xf numFmtId="0" fontId="50" fillId="0" borderId="59" applyNumberFormat="0" applyFill="0" applyAlignment="0" applyProtection="0"/>
    <xf numFmtId="0" fontId="51" fillId="34" borderId="0" applyNumberFormat="0" applyBorder="0" applyAlignment="0" applyProtection="0"/>
    <xf numFmtId="0" fontId="8" fillId="0" borderId="0"/>
    <xf numFmtId="0" fontId="39" fillId="0" borderId="0"/>
    <xf numFmtId="0" fontId="39" fillId="0" borderId="0"/>
    <xf numFmtId="0" fontId="39" fillId="35" borderId="60" applyNumberFormat="0" applyFont="0" applyAlignment="0" applyProtection="0"/>
    <xf numFmtId="0" fontId="52" fillId="30" borderId="61" applyNumberFormat="0" applyAlignment="0" applyProtection="0"/>
    <xf numFmtId="9" fontId="4" fillId="0" borderId="0" applyFont="0" applyFill="0" applyBorder="0" applyAlignment="0" applyProtection="0"/>
    <xf numFmtId="9" fontId="20" fillId="0" borderId="0" applyFont="0" applyFill="0" applyBorder="0" applyAlignment="0" applyProtection="0"/>
    <xf numFmtId="9" fontId="8" fillId="0" borderId="0" applyFont="0" applyFill="0" applyBorder="0" applyAlignment="0" applyProtection="0"/>
    <xf numFmtId="9" fontId="21"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4" fillId="0" borderId="0" applyFont="0" applyFill="0" applyBorder="0" applyAlignment="0" applyProtection="0"/>
    <xf numFmtId="9" fontId="27" fillId="0" borderId="0" applyFont="0" applyFill="0" applyBorder="0" applyAlignment="0" applyProtection="0"/>
    <xf numFmtId="0" fontId="53" fillId="0" borderId="0" applyNumberFormat="0" applyFill="0" applyBorder="0" applyAlignment="0" applyProtection="0"/>
    <xf numFmtId="0" fontId="54" fillId="0" borderId="62" applyNumberFormat="0" applyFill="0" applyAlignment="0" applyProtection="0"/>
    <xf numFmtId="0" fontId="55" fillId="0" borderId="0" applyNumberFormat="0" applyFill="0" applyBorder="0" applyAlignment="0" applyProtection="0"/>
    <xf numFmtId="0" fontId="4" fillId="0" borderId="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5" borderId="60"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5" borderId="60" applyNumberFormat="0" applyFont="0" applyAlignment="0" applyProtection="0"/>
    <xf numFmtId="0" fontId="1" fillId="0" borderId="0"/>
    <xf numFmtId="0" fontId="1" fillId="35" borderId="60" applyNumberFormat="0" applyFont="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9"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6" borderId="0" applyNumberFormat="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cellStyleXfs>
  <cellXfs count="460">
    <xf numFmtId="0" fontId="0" fillId="0" borderId="0" xfId="0"/>
    <xf numFmtId="0" fontId="8" fillId="0" borderId="0" xfId="0" applyFont="1" applyBorder="1"/>
    <xf numFmtId="0" fontId="0" fillId="39" borderId="8" xfId="0" applyFill="1" applyBorder="1"/>
    <xf numFmtId="0" fontId="0" fillId="39" borderId="0" xfId="0" applyFill="1" applyBorder="1"/>
    <xf numFmtId="0" fontId="0" fillId="39" borderId="9" xfId="0" applyFill="1" applyBorder="1"/>
    <xf numFmtId="0" fontId="0" fillId="39" borderId="15" xfId="0" applyFill="1" applyBorder="1"/>
    <xf numFmtId="0" fontId="0" fillId="39" borderId="16" xfId="0" applyFill="1" applyBorder="1"/>
    <xf numFmtId="0" fontId="0" fillId="39" borderId="30" xfId="0" applyFill="1" applyBorder="1"/>
    <xf numFmtId="4" fontId="5" fillId="38" borderId="18" xfId="0" applyNumberFormat="1" applyFont="1" applyFill="1" applyBorder="1" applyAlignment="1" applyProtection="1">
      <alignment vertical="center" wrapText="1"/>
      <protection hidden="1"/>
    </xf>
    <xf numFmtId="0" fontId="8" fillId="0" borderId="0" xfId="0" applyFont="1" applyBorder="1" applyProtection="1"/>
    <xf numFmtId="4" fontId="8" fillId="0" borderId="0" xfId="0" applyNumberFormat="1" applyFont="1" applyFill="1" applyBorder="1" applyProtection="1"/>
    <xf numFmtId="4" fontId="9" fillId="38" borderId="3" xfId="0" applyNumberFormat="1" applyFont="1" applyFill="1" applyBorder="1" applyAlignment="1" applyProtection="1">
      <protection hidden="1"/>
    </xf>
    <xf numFmtId="4" fontId="8" fillId="38" borderId="3" xfId="0" applyNumberFormat="1" applyFont="1" applyFill="1" applyBorder="1" applyAlignment="1" applyProtection="1">
      <protection hidden="1"/>
    </xf>
    <xf numFmtId="4" fontId="8" fillId="38" borderId="5" xfId="0" applyNumberFormat="1" applyFont="1" applyFill="1" applyBorder="1" applyAlignment="1" applyProtection="1">
      <protection hidden="1"/>
    </xf>
    <xf numFmtId="0" fontId="57" fillId="0" borderId="94" xfId="0" applyFont="1" applyBorder="1"/>
    <xf numFmtId="0" fontId="57" fillId="0" borderId="95" xfId="0" applyFont="1" applyBorder="1"/>
    <xf numFmtId="0" fontId="57" fillId="0" borderId="96" xfId="0" applyFont="1" applyBorder="1"/>
    <xf numFmtId="0" fontId="57" fillId="0" borderId="97" xfId="0" applyFont="1" applyBorder="1"/>
    <xf numFmtId="14" fontId="0" fillId="0" borderId="0" xfId="0" applyNumberFormat="1"/>
    <xf numFmtId="9" fontId="0" fillId="0" borderId="0" xfId="58" applyFont="1"/>
    <xf numFmtId="4" fontId="56" fillId="0" borderId="0" xfId="0" applyNumberFormat="1" applyFont="1" applyFill="1" applyBorder="1" applyProtection="1"/>
    <xf numFmtId="0" fontId="8" fillId="39" borderId="0" xfId="0" applyFont="1" applyFill="1" applyBorder="1"/>
    <xf numFmtId="0" fontId="29" fillId="0" borderId="17" xfId="0" applyFont="1" applyBorder="1" applyAlignment="1">
      <alignment vertical="center" wrapText="1"/>
    </xf>
    <xf numFmtId="0" fontId="29" fillId="0" borderId="38" xfId="0" applyFont="1" applyBorder="1" applyAlignment="1">
      <alignment vertical="center" wrapText="1"/>
    </xf>
    <xf numFmtId="0" fontId="0" fillId="0" borderId="0" xfId="0" applyProtection="1"/>
    <xf numFmtId="0" fontId="8" fillId="39" borderId="0" xfId="0" applyFont="1" applyFill="1" applyBorder="1" applyProtection="1">
      <protection hidden="1"/>
    </xf>
    <xf numFmtId="4" fontId="8" fillId="39" borderId="0" xfId="0" applyNumberFormat="1" applyFont="1" applyFill="1" applyBorder="1" applyProtection="1">
      <protection hidden="1"/>
    </xf>
    <xf numFmtId="4" fontId="56" fillId="39" borderId="0" xfId="0" applyNumberFormat="1" applyFont="1" applyFill="1" applyBorder="1" applyProtection="1">
      <protection hidden="1"/>
    </xf>
    <xf numFmtId="0" fontId="0" fillId="39" borderId="0" xfId="0" applyFill="1" applyProtection="1">
      <protection hidden="1"/>
    </xf>
    <xf numFmtId="4" fontId="25" fillId="39" borderId="9" xfId="0" applyNumberFormat="1" applyFont="1" applyFill="1" applyBorder="1" applyAlignment="1" applyProtection="1">
      <alignment vertical="center" wrapText="1"/>
      <protection hidden="1"/>
    </xf>
    <xf numFmtId="0" fontId="4" fillId="39" borderId="0" xfId="0" applyFont="1" applyFill="1" applyBorder="1" applyProtection="1">
      <protection hidden="1"/>
    </xf>
    <xf numFmtId="4" fontId="4" fillId="39" borderId="0" xfId="0" applyNumberFormat="1" applyFont="1" applyFill="1" applyBorder="1" applyProtection="1">
      <protection hidden="1"/>
    </xf>
    <xf numFmtId="0" fontId="17" fillId="0" borderId="12" xfId="0" applyFont="1" applyBorder="1" applyAlignment="1" applyProtection="1">
      <alignment horizontal="center" vertical="center" wrapText="1"/>
      <protection hidden="1"/>
    </xf>
    <xf numFmtId="0" fontId="17" fillId="0" borderId="10" xfId="0" applyFont="1" applyBorder="1" applyAlignment="1" applyProtection="1">
      <alignment horizontal="center" vertical="center" wrapText="1"/>
      <protection hidden="1"/>
    </xf>
    <xf numFmtId="4" fontId="4" fillId="39" borderId="9" xfId="0" applyNumberFormat="1" applyFont="1" applyFill="1" applyBorder="1" applyProtection="1">
      <protection hidden="1"/>
    </xf>
    <xf numFmtId="0" fontId="17" fillId="0" borderId="13" xfId="0" applyFont="1" applyBorder="1" applyAlignment="1" applyProtection="1">
      <alignment horizontal="center" vertical="center" wrapText="1"/>
      <protection hidden="1"/>
    </xf>
    <xf numFmtId="0" fontId="17" fillId="0" borderId="2" xfId="0" applyFont="1" applyBorder="1" applyAlignment="1" applyProtection="1">
      <alignment horizontal="center" vertical="center" wrapText="1"/>
      <protection hidden="1"/>
    </xf>
    <xf numFmtId="0" fontId="17" fillId="0" borderId="14" xfId="0" applyFont="1" applyBorder="1" applyAlignment="1" applyProtection="1">
      <alignment horizontal="center" vertical="center" wrapText="1"/>
      <protection hidden="1"/>
    </xf>
    <xf numFmtId="0" fontId="17" fillId="0" borderId="11" xfId="0" applyFont="1" applyBorder="1" applyAlignment="1" applyProtection="1">
      <alignment horizontal="center" vertical="center" wrapText="1"/>
      <protection hidden="1"/>
    </xf>
    <xf numFmtId="0" fontId="56" fillId="39" borderId="0" xfId="0" applyFont="1" applyFill="1" applyProtection="1">
      <protection hidden="1"/>
    </xf>
    <xf numFmtId="4" fontId="4" fillId="36" borderId="2" xfId="96" applyNumberFormat="1" applyFont="1" applyFill="1" applyBorder="1" applyAlignment="1" applyProtection="1">
      <alignment horizontal="center" vertical="center" wrapText="1"/>
      <protection hidden="1"/>
    </xf>
    <xf numFmtId="4" fontId="9" fillId="38" borderId="21" xfId="0" applyNumberFormat="1" applyFont="1" applyFill="1" applyBorder="1" applyProtection="1">
      <protection hidden="1"/>
    </xf>
    <xf numFmtId="4" fontId="8" fillId="4" borderId="2" xfId="53" applyNumberFormat="1" applyFont="1" applyFill="1" applyBorder="1" applyAlignment="1" applyProtection="1">
      <alignment horizontal="center" vertical="center" wrapText="1"/>
      <protection hidden="1"/>
    </xf>
    <xf numFmtId="0" fontId="8" fillId="39" borderId="4" xfId="0" applyFont="1" applyFill="1" applyBorder="1" applyProtection="1">
      <protection hidden="1"/>
    </xf>
    <xf numFmtId="4" fontId="9" fillId="38" borderId="3" xfId="0" applyNumberFormat="1" applyFont="1" applyFill="1" applyBorder="1" applyAlignment="1" applyProtection="1">
      <alignment wrapText="1"/>
      <protection hidden="1"/>
    </xf>
    <xf numFmtId="4" fontId="8" fillId="38" borderId="3" xfId="0" applyNumberFormat="1" applyFont="1" applyFill="1" applyBorder="1" applyProtection="1">
      <protection hidden="1"/>
    </xf>
    <xf numFmtId="4" fontId="8" fillId="38" borderId="5" xfId="0" applyNumberFormat="1" applyFont="1" applyFill="1" applyBorder="1" applyProtection="1">
      <protection hidden="1"/>
    </xf>
    <xf numFmtId="4" fontId="8" fillId="38" borderId="5" xfId="0" applyNumberFormat="1" applyFont="1" applyFill="1" applyBorder="1" applyAlignment="1" applyProtection="1">
      <alignment wrapText="1"/>
      <protection hidden="1"/>
    </xf>
    <xf numFmtId="4" fontId="8" fillId="39" borderId="9" xfId="0" applyNumberFormat="1" applyFont="1" applyFill="1" applyBorder="1" applyProtection="1">
      <protection hidden="1"/>
    </xf>
    <xf numFmtId="0" fontId="8" fillId="0" borderId="10" xfId="0" applyFont="1" applyFill="1" applyBorder="1" applyAlignment="1" applyProtection="1">
      <alignment horizontal="center" vertical="center" wrapText="1"/>
      <protection hidden="1"/>
    </xf>
    <xf numFmtId="0" fontId="8" fillId="0" borderId="2" xfId="0" applyFont="1" applyFill="1" applyBorder="1" applyAlignment="1" applyProtection="1">
      <alignment horizontal="center" vertical="center" wrapText="1"/>
      <protection hidden="1"/>
    </xf>
    <xf numFmtId="0" fontId="8" fillId="0" borderId="11" xfId="0" applyFont="1" applyFill="1" applyBorder="1" applyAlignment="1" applyProtection="1">
      <alignment horizontal="center" vertical="center" wrapText="1"/>
      <protection hidden="1"/>
    </xf>
    <xf numFmtId="4" fontId="8" fillId="36" borderId="2" xfId="53" applyNumberFormat="1" applyFont="1" applyFill="1" applyBorder="1" applyAlignment="1" applyProtection="1">
      <alignment horizontal="center" vertical="center" wrapText="1"/>
      <protection hidden="1"/>
    </xf>
    <xf numFmtId="4" fontId="4" fillId="38" borderId="3" xfId="0" applyNumberFormat="1" applyFont="1" applyFill="1" applyBorder="1" applyProtection="1">
      <protection hidden="1"/>
    </xf>
    <xf numFmtId="4" fontId="8" fillId="39" borderId="0" xfId="0" applyNumberFormat="1" applyFont="1" applyFill="1" applyBorder="1" applyAlignment="1" applyProtection="1">
      <alignment vertical="center" wrapText="1"/>
      <protection hidden="1"/>
    </xf>
    <xf numFmtId="0" fontId="15" fillId="39" borderId="9" xfId="0" applyFont="1" applyFill="1" applyBorder="1" applyAlignment="1" applyProtection="1">
      <alignment vertical="center" wrapText="1"/>
      <protection hidden="1"/>
    </xf>
    <xf numFmtId="0" fontId="13" fillId="39" borderId="0" xfId="0" applyFont="1" applyFill="1" applyBorder="1" applyAlignment="1" applyProtection="1">
      <alignment horizontal="center" wrapText="1"/>
      <protection hidden="1"/>
    </xf>
    <xf numFmtId="0" fontId="9" fillId="0" borderId="3" xfId="0" applyFont="1" applyFill="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0" borderId="9" xfId="0" applyFont="1" applyBorder="1" applyAlignment="1" applyProtection="1">
      <alignment horizontal="center" vertical="center" wrapText="1"/>
      <protection hidden="1"/>
    </xf>
    <xf numFmtId="0" fontId="9" fillId="0" borderId="2" xfId="0" applyFont="1" applyFill="1" applyBorder="1" applyAlignment="1" applyProtection="1">
      <alignment horizontal="center" vertical="center" wrapText="1"/>
      <protection hidden="1"/>
    </xf>
    <xf numFmtId="0" fontId="9" fillId="0" borderId="2" xfId="0" applyFont="1" applyBorder="1" applyAlignment="1" applyProtection="1">
      <alignment horizontal="center" vertical="center" wrapText="1"/>
      <protection hidden="1"/>
    </xf>
    <xf numFmtId="0" fontId="9" fillId="0" borderId="1" xfId="0" applyFont="1" applyBorder="1" applyAlignment="1" applyProtection="1">
      <alignment horizontal="center" vertical="center" wrapText="1"/>
      <protection hidden="1"/>
    </xf>
    <xf numFmtId="0" fontId="8" fillId="39" borderId="0"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0" borderId="98" xfId="0" applyFont="1" applyFill="1" applyBorder="1" applyAlignment="1" applyProtection="1">
      <alignment horizontal="center" vertical="center" wrapText="1"/>
      <protection hidden="1"/>
    </xf>
    <xf numFmtId="3" fontId="15" fillId="39" borderId="0" xfId="0" applyNumberFormat="1" applyFont="1" applyFill="1" applyBorder="1" applyAlignment="1" applyProtection="1">
      <alignment horizontal="center" vertical="center" wrapText="1"/>
      <protection hidden="1"/>
    </xf>
    <xf numFmtId="3" fontId="22" fillId="41" borderId="38" xfId="0" applyNumberFormat="1" applyFont="1" applyFill="1" applyBorder="1" applyAlignment="1" applyProtection="1">
      <alignment horizontal="center" vertical="center" wrapText="1"/>
      <protection hidden="1"/>
    </xf>
    <xf numFmtId="0" fontId="58" fillId="39" borderId="0" xfId="0" applyFont="1" applyFill="1" applyBorder="1" applyAlignment="1" applyProtection="1">
      <alignment horizontal="left" vertical="center"/>
      <protection hidden="1"/>
    </xf>
    <xf numFmtId="3" fontId="18" fillId="39" borderId="0" xfId="0" applyNumberFormat="1" applyFont="1" applyFill="1" applyBorder="1" applyAlignment="1" applyProtection="1">
      <alignment horizontal="center" vertical="center" wrapText="1"/>
      <protection hidden="1"/>
    </xf>
    <xf numFmtId="0" fontId="0" fillId="39" borderId="9" xfId="0" applyFill="1" applyBorder="1" applyProtection="1">
      <protection hidden="1"/>
    </xf>
    <xf numFmtId="0" fontId="4" fillId="39" borderId="9" xfId="0" applyFont="1" applyFill="1" applyBorder="1" applyAlignment="1" applyProtection="1">
      <protection hidden="1"/>
    </xf>
    <xf numFmtId="3" fontId="18" fillId="39" borderId="0" xfId="28" applyNumberFormat="1" applyFont="1" applyFill="1" applyBorder="1" applyAlignment="1" applyProtection="1">
      <alignment horizontal="center" vertical="center" wrapText="1"/>
      <protection hidden="1"/>
    </xf>
    <xf numFmtId="0" fontId="18" fillId="39" borderId="0" xfId="0" quotePrefix="1" applyFont="1" applyFill="1" applyBorder="1" applyAlignment="1" applyProtection="1">
      <alignment horizontal="center" vertical="center" wrapText="1"/>
      <protection hidden="1"/>
    </xf>
    <xf numFmtId="0" fontId="8" fillId="39" borderId="9" xfId="0" applyFont="1" applyFill="1" applyBorder="1" applyAlignment="1" applyProtection="1">
      <protection hidden="1"/>
    </xf>
    <xf numFmtId="0" fontId="8" fillId="39" borderId="0" xfId="0" applyFont="1" applyFill="1" applyBorder="1" applyAlignment="1" applyProtection="1">
      <alignment horizontal="center"/>
      <protection hidden="1"/>
    </xf>
    <xf numFmtId="3" fontId="13" fillId="39" borderId="0" xfId="0" applyNumberFormat="1" applyFont="1" applyFill="1" applyBorder="1" applyAlignment="1" applyProtection="1">
      <alignment horizontal="center" wrapText="1"/>
      <protection hidden="1"/>
    </xf>
    <xf numFmtId="0" fontId="13" fillId="39" borderId="16" xfId="0" applyFont="1" applyFill="1" applyBorder="1" applyAlignment="1" applyProtection="1">
      <alignment horizontal="center" wrapText="1"/>
      <protection hidden="1"/>
    </xf>
    <xf numFmtId="0" fontId="8" fillId="39" borderId="30" xfId="0" applyFont="1" applyFill="1" applyBorder="1" applyAlignment="1" applyProtection="1">
      <protection hidden="1"/>
    </xf>
    <xf numFmtId="3" fontId="56" fillId="39" borderId="0" xfId="0" applyNumberFormat="1" applyFont="1" applyFill="1" applyBorder="1" applyProtection="1">
      <protection hidden="1"/>
    </xf>
    <xf numFmtId="3" fontId="56" fillId="39" borderId="0" xfId="0" applyNumberFormat="1" applyFont="1" applyFill="1" applyBorder="1" applyAlignment="1" applyProtection="1">
      <alignment horizontal="center"/>
      <protection hidden="1"/>
    </xf>
    <xf numFmtId="0" fontId="9" fillId="40" borderId="1" xfId="0" applyFont="1" applyFill="1" applyBorder="1" applyAlignment="1" applyProtection="1">
      <alignment horizontal="center"/>
      <protection hidden="1"/>
    </xf>
    <xf numFmtId="0" fontId="9" fillId="40" borderId="2" xfId="0" applyFont="1" applyFill="1" applyBorder="1" applyAlignment="1" applyProtection="1">
      <alignment horizontal="center"/>
      <protection hidden="1"/>
    </xf>
    <xf numFmtId="0" fontId="56" fillId="39" borderId="0" xfId="0" applyFont="1" applyFill="1" applyBorder="1" applyAlignment="1" applyProtection="1">
      <alignment vertical="center" wrapText="1"/>
      <protection hidden="1"/>
    </xf>
    <xf numFmtId="0" fontId="8" fillId="0" borderId="69" xfId="0" applyFont="1" applyFill="1" applyBorder="1" applyAlignment="1" applyProtection="1">
      <alignment horizontal="center" vertical="center" wrapText="1"/>
      <protection hidden="1"/>
    </xf>
    <xf numFmtId="4" fontId="8" fillId="0" borderId="70" xfId="0" applyNumberFormat="1" applyFont="1" applyFill="1" applyBorder="1" applyAlignment="1" applyProtection="1">
      <alignment horizontal="center" vertical="center" wrapText="1"/>
      <protection hidden="1"/>
    </xf>
    <xf numFmtId="0" fontId="8" fillId="0" borderId="77" xfId="0" applyFont="1" applyFill="1" applyBorder="1" applyAlignment="1" applyProtection="1">
      <alignment horizontal="center" vertical="center" wrapText="1"/>
      <protection hidden="1"/>
    </xf>
    <xf numFmtId="0" fontId="8" fillId="0" borderId="78" xfId="0" applyFont="1" applyBorder="1" applyAlignment="1" applyProtection="1">
      <alignment horizontal="center" vertical="center" wrapText="1"/>
      <protection hidden="1"/>
    </xf>
    <xf numFmtId="0" fontId="8" fillId="0" borderId="79" xfId="0" applyFont="1" applyBorder="1" applyAlignment="1" applyProtection="1">
      <alignment horizontal="center" vertical="center" wrapText="1"/>
      <protection hidden="1"/>
    </xf>
    <xf numFmtId="0" fontId="8" fillId="0" borderId="7" xfId="0" applyFont="1" applyFill="1" applyBorder="1" applyAlignment="1" applyProtection="1">
      <alignment horizontal="center" vertical="center" wrapText="1"/>
      <protection hidden="1"/>
    </xf>
    <xf numFmtId="0" fontId="8" fillId="0" borderId="51" xfId="0" applyFont="1" applyFill="1" applyBorder="1" applyAlignment="1" applyProtection="1">
      <alignment horizontal="center" vertical="center" wrapText="1"/>
      <protection hidden="1"/>
    </xf>
    <xf numFmtId="0" fontId="8" fillId="39" borderId="0" xfId="0" applyFont="1" applyFill="1" applyBorder="1" applyAlignment="1" applyProtection="1">
      <alignment vertical="center" wrapText="1"/>
      <protection hidden="1"/>
    </xf>
    <xf numFmtId="0" fontId="56" fillId="39" borderId="0" xfId="0" applyFont="1" applyFill="1" applyBorder="1" applyProtection="1">
      <protection hidden="1"/>
    </xf>
    <xf numFmtId="4" fontId="6" fillId="0" borderId="21" xfId="0" applyNumberFormat="1" applyFont="1" applyFill="1" applyBorder="1" applyAlignment="1" applyProtection="1">
      <alignment vertical="center" wrapText="1"/>
      <protection hidden="1"/>
    </xf>
    <xf numFmtId="166" fontId="6" fillId="0" borderId="71" xfId="28" applyNumberFormat="1" applyFont="1" applyFill="1" applyBorder="1" applyAlignment="1" applyProtection="1">
      <alignment vertical="center" wrapText="1"/>
      <protection hidden="1"/>
    </xf>
    <xf numFmtId="164" fontId="6" fillId="0" borderId="72" xfId="58" applyNumberFormat="1" applyFont="1" applyFill="1" applyBorder="1" applyAlignment="1" applyProtection="1">
      <alignment horizontal="right" vertical="center" wrapText="1"/>
      <protection hidden="1"/>
    </xf>
    <xf numFmtId="166" fontId="6" fillId="0" borderId="80" xfId="28" applyNumberFormat="1" applyFont="1" applyFill="1" applyBorder="1" applyAlignment="1" applyProtection="1">
      <alignment horizontal="right" vertical="center" wrapText="1"/>
      <protection hidden="1"/>
    </xf>
    <xf numFmtId="166" fontId="6" fillId="0" borderId="81" xfId="28" applyNumberFormat="1" applyFont="1" applyFill="1" applyBorder="1" applyAlignment="1" applyProtection="1">
      <alignment horizontal="right" vertical="center" wrapText="1"/>
      <protection hidden="1"/>
    </xf>
    <xf numFmtId="9" fontId="9" fillId="0" borderId="82" xfId="58" applyNumberFormat="1" applyFont="1" applyFill="1" applyBorder="1" applyAlignment="1" applyProtection="1">
      <alignment horizontal="right"/>
      <protection hidden="1"/>
    </xf>
    <xf numFmtId="9" fontId="9" fillId="0" borderId="82" xfId="58" applyFont="1" applyFill="1" applyBorder="1" applyAlignment="1" applyProtection="1">
      <alignment horizontal="right"/>
      <protection hidden="1"/>
    </xf>
    <xf numFmtId="166" fontId="6" fillId="0" borderId="2" xfId="28" applyNumberFormat="1" applyFont="1" applyFill="1" applyBorder="1" applyAlignment="1" applyProtection="1">
      <alignment horizontal="right" vertical="center" wrapText="1"/>
      <protection hidden="1"/>
    </xf>
    <xf numFmtId="0" fontId="60" fillId="0" borderId="90" xfId="0" applyFont="1" applyBorder="1" applyAlignment="1" applyProtection="1">
      <alignment horizontal="left"/>
      <protection hidden="1"/>
    </xf>
    <xf numFmtId="166" fontId="57" fillId="0" borderId="91" xfId="28" applyNumberFormat="1" applyFont="1" applyBorder="1" applyAlignment="1" applyProtection="1">
      <alignment horizontal="left"/>
      <protection hidden="1"/>
    </xf>
    <xf numFmtId="164" fontId="5" fillId="0" borderId="92" xfId="65" applyNumberFormat="1" applyFont="1" applyFill="1" applyBorder="1" applyAlignment="1" applyProtection="1">
      <alignment horizontal="right" vertical="center" wrapText="1"/>
      <protection hidden="1"/>
    </xf>
    <xf numFmtId="9" fontId="4" fillId="0" borderId="93" xfId="58" applyNumberFormat="1" applyFont="1" applyFill="1" applyBorder="1" applyAlignment="1" applyProtection="1">
      <alignment horizontal="right"/>
      <protection hidden="1"/>
    </xf>
    <xf numFmtId="9" fontId="4" fillId="0" borderId="93" xfId="58" applyFont="1" applyFill="1" applyBorder="1" applyAlignment="1" applyProtection="1">
      <alignment horizontal="right"/>
      <protection hidden="1"/>
    </xf>
    <xf numFmtId="166" fontId="57" fillId="0" borderId="89" xfId="28" applyNumberFormat="1" applyFont="1" applyBorder="1" applyAlignment="1" applyProtection="1">
      <alignment horizontal="left"/>
      <protection hidden="1"/>
    </xf>
    <xf numFmtId="49" fontId="56" fillId="39" borderId="0" xfId="0" applyNumberFormat="1" applyFont="1" applyFill="1" applyBorder="1" applyProtection="1">
      <protection hidden="1"/>
    </xf>
    <xf numFmtId="0" fontId="0" fillId="0" borderId="18" xfId="0" applyBorder="1" applyAlignment="1" applyProtection="1">
      <alignment horizontal="left" indent="1"/>
      <protection hidden="1"/>
    </xf>
    <xf numFmtId="166" fontId="5" fillId="0" borderId="73" xfId="28" applyNumberFormat="1" applyFont="1" applyFill="1" applyBorder="1" applyAlignment="1" applyProtection="1">
      <alignment horizontal="right" vertical="center" wrapText="1"/>
      <protection hidden="1"/>
    </xf>
    <xf numFmtId="164" fontId="5" fillId="0" borderId="74" xfId="65" applyNumberFormat="1" applyFont="1" applyFill="1" applyBorder="1" applyAlignment="1" applyProtection="1">
      <alignment horizontal="right" vertical="center" wrapText="1"/>
      <protection hidden="1"/>
    </xf>
    <xf numFmtId="166" fontId="5" fillId="0" borderId="83" xfId="28" applyNumberFormat="1" applyFont="1" applyFill="1" applyBorder="1" applyAlignment="1" applyProtection="1">
      <alignment horizontal="right" vertical="center" wrapText="1"/>
      <protection hidden="1"/>
    </xf>
    <xf numFmtId="166" fontId="5" fillId="0" borderId="84" xfId="28" applyNumberFormat="1" applyFont="1" applyFill="1" applyBorder="1" applyAlignment="1" applyProtection="1">
      <alignment horizontal="right" vertical="center" wrapText="1"/>
      <protection hidden="1"/>
    </xf>
    <xf numFmtId="9" fontId="4" fillId="0" borderId="85" xfId="58" applyNumberFormat="1" applyFont="1" applyFill="1" applyBorder="1" applyAlignment="1" applyProtection="1">
      <alignment horizontal="right"/>
      <protection hidden="1"/>
    </xf>
    <xf numFmtId="9" fontId="4" fillId="0" borderId="85" xfId="58" applyFont="1" applyFill="1" applyBorder="1" applyAlignment="1" applyProtection="1">
      <alignment horizontal="right"/>
      <protection hidden="1"/>
    </xf>
    <xf numFmtId="166" fontId="5" fillId="0" borderId="3" xfId="28" applyNumberFormat="1" applyFont="1" applyFill="1" applyBorder="1" applyAlignment="1" applyProtection="1">
      <alignment horizontal="right" vertical="center" wrapText="1"/>
      <protection hidden="1"/>
    </xf>
    <xf numFmtId="0" fontId="0" fillId="0" borderId="22" xfId="0" applyBorder="1" applyAlignment="1" applyProtection="1">
      <alignment horizontal="left" indent="1"/>
      <protection hidden="1"/>
    </xf>
    <xf numFmtId="4" fontId="8" fillId="39" borderId="7" xfId="0" applyNumberFormat="1" applyFont="1" applyFill="1" applyBorder="1" applyProtection="1">
      <protection hidden="1"/>
    </xf>
    <xf numFmtId="4" fontId="8" fillId="39" borderId="5" xfId="0" applyNumberFormat="1" applyFont="1" applyFill="1" applyBorder="1" applyAlignment="1" applyProtection="1">
      <alignment vertical="center" wrapText="1"/>
      <protection hidden="1"/>
    </xf>
    <xf numFmtId="166" fontId="60" fillId="0" borderId="91" xfId="28" applyNumberFormat="1" applyFont="1" applyBorder="1" applyAlignment="1" applyProtection="1">
      <alignment horizontal="left"/>
      <protection hidden="1"/>
    </xf>
    <xf numFmtId="164" fontId="6" fillId="0" borderId="92" xfId="65" applyNumberFormat="1" applyFont="1" applyFill="1" applyBorder="1" applyAlignment="1" applyProtection="1">
      <alignment horizontal="right" vertical="center" wrapText="1"/>
      <protection hidden="1"/>
    </xf>
    <xf numFmtId="166" fontId="60" fillId="0" borderId="89" xfId="28" applyNumberFormat="1" applyFont="1" applyBorder="1" applyAlignment="1" applyProtection="1">
      <alignment horizontal="left"/>
      <protection hidden="1"/>
    </xf>
    <xf numFmtId="4" fontId="8" fillId="0" borderId="18" xfId="0" applyNumberFormat="1" applyFont="1" applyFill="1" applyBorder="1" applyProtection="1">
      <protection hidden="1"/>
    </xf>
    <xf numFmtId="0" fontId="0" fillId="0" borderId="0" xfId="0" applyProtection="1">
      <protection hidden="1"/>
    </xf>
    <xf numFmtId="4" fontId="8" fillId="0" borderId="0" xfId="0" applyNumberFormat="1" applyFont="1" applyFill="1" applyBorder="1" applyProtection="1">
      <protection hidden="1"/>
    </xf>
    <xf numFmtId="4" fontId="6" fillId="0" borderId="2" xfId="0" applyNumberFormat="1" applyFont="1" applyFill="1" applyBorder="1" applyAlignment="1" applyProtection="1">
      <alignment vertical="center" wrapText="1"/>
      <protection hidden="1"/>
    </xf>
    <xf numFmtId="0" fontId="60" fillId="0" borderId="102" xfId="0" applyFont="1" applyBorder="1" applyAlignment="1" applyProtection="1">
      <alignment horizontal="left"/>
      <protection hidden="1"/>
    </xf>
    <xf numFmtId="0" fontId="0" fillId="0" borderId="3" xfId="0" applyBorder="1" applyAlignment="1" applyProtection="1">
      <alignment horizontal="left" indent="1"/>
      <protection hidden="1"/>
    </xf>
    <xf numFmtId="0" fontId="60" fillId="0" borderId="5" xfId="0" applyFont="1" applyBorder="1" applyAlignment="1" applyProtection="1">
      <alignment horizontal="left"/>
      <protection hidden="1"/>
    </xf>
    <xf numFmtId="0" fontId="60" fillId="0" borderId="89" xfId="0" applyFont="1" applyBorder="1" applyAlignment="1" applyProtection="1">
      <alignment horizontal="left"/>
      <protection hidden="1"/>
    </xf>
    <xf numFmtId="0" fontId="14" fillId="2" borderId="0" xfId="0" applyFont="1" applyFill="1" applyBorder="1" applyAlignment="1" applyProtection="1">
      <alignment vertical="center" wrapText="1"/>
      <protection hidden="1"/>
    </xf>
    <xf numFmtId="0" fontId="14" fillId="2" borderId="0" xfId="0" applyFont="1" applyFill="1" applyBorder="1" applyAlignment="1" applyProtection="1">
      <alignment horizontal="left" vertical="center" wrapText="1"/>
      <protection hidden="1"/>
    </xf>
    <xf numFmtId="0" fontId="10" fillId="2" borderId="0" xfId="0" applyFont="1" applyFill="1" applyBorder="1" applyAlignment="1" applyProtection="1">
      <alignment horizontal="center" vertical="center" wrapText="1"/>
      <protection hidden="1"/>
    </xf>
    <xf numFmtId="0" fontId="12" fillId="2" borderId="0" xfId="0" applyFont="1" applyFill="1" applyBorder="1" applyAlignment="1" applyProtection="1">
      <alignment horizontal="right" vertical="center" wrapText="1"/>
      <protection hidden="1"/>
    </xf>
    <xf numFmtId="0" fontId="11" fillId="2" borderId="0" xfId="0" applyFont="1" applyFill="1" applyBorder="1" applyAlignment="1" applyProtection="1">
      <alignment vertical="center" wrapText="1"/>
      <protection hidden="1"/>
    </xf>
    <xf numFmtId="0" fontId="8" fillId="37" borderId="32" xfId="0" applyFont="1" applyFill="1" applyBorder="1" applyAlignment="1" applyProtection="1">
      <alignment horizontal="center" vertical="center" wrapText="1"/>
      <protection hidden="1"/>
    </xf>
    <xf numFmtId="0" fontId="8" fillId="37" borderId="19" xfId="0" applyFont="1" applyFill="1" applyBorder="1" applyAlignment="1" applyProtection="1">
      <alignment horizontal="center" vertical="center" wrapText="1"/>
      <protection hidden="1"/>
    </xf>
    <xf numFmtId="10" fontId="14" fillId="0" borderId="0" xfId="58" applyNumberFormat="1" applyFont="1" applyFill="1" applyBorder="1" applyAlignment="1" applyProtection="1">
      <alignment vertical="center" wrapText="1"/>
      <protection hidden="1"/>
    </xf>
    <xf numFmtId="0" fontId="22" fillId="41" borderId="17" xfId="0" applyFont="1" applyFill="1" applyBorder="1" applyAlignment="1" applyProtection="1">
      <alignment horizontal="left" vertical="center" wrapText="1"/>
      <protection hidden="1"/>
    </xf>
    <xf numFmtId="49" fontId="17" fillId="38" borderId="4" xfId="0" applyNumberFormat="1" applyFont="1" applyFill="1" applyBorder="1" applyAlignment="1" applyProtection="1">
      <alignment horizontal="center" vertical="center" wrapText="1"/>
      <protection hidden="1"/>
    </xf>
    <xf numFmtId="0" fontId="17" fillId="38" borderId="4" xfId="0" applyFont="1" applyFill="1" applyBorder="1" applyAlignment="1" applyProtection="1">
      <alignment horizontal="center" vertical="center" wrapText="1"/>
      <protection hidden="1"/>
    </xf>
    <xf numFmtId="0" fontId="17" fillId="38" borderId="4" xfId="0" quotePrefix="1" applyFont="1" applyFill="1" applyBorder="1" applyAlignment="1" applyProtection="1">
      <alignment horizontal="center" vertical="center" wrapText="1"/>
      <protection hidden="1"/>
    </xf>
    <xf numFmtId="0" fontId="17" fillId="38" borderId="0" xfId="0" quotePrefix="1" applyFont="1" applyFill="1" applyBorder="1" applyAlignment="1" applyProtection="1">
      <alignment horizontal="center" vertical="center" wrapText="1"/>
      <protection hidden="1"/>
    </xf>
    <xf numFmtId="49" fontId="17" fillId="38" borderId="0" xfId="0" applyNumberFormat="1" applyFont="1" applyFill="1" applyBorder="1" applyAlignment="1" applyProtection="1">
      <alignment horizontal="center" vertical="center" wrapText="1"/>
      <protection hidden="1"/>
    </xf>
    <xf numFmtId="0" fontId="26" fillId="39" borderId="0" xfId="0" applyFont="1" applyFill="1" applyProtection="1">
      <protection hidden="1"/>
    </xf>
    <xf numFmtId="0" fontId="16" fillId="39" borderId="16" xfId="49" applyFill="1" applyBorder="1" applyAlignment="1" applyProtection="1">
      <alignment horizontal="center" vertical="center" wrapText="1"/>
      <protection hidden="1"/>
    </xf>
    <xf numFmtId="0" fontId="16" fillId="39" borderId="0" xfId="49" applyFill="1" applyBorder="1" applyAlignment="1" applyProtection="1">
      <alignment horizontal="center" vertical="center" wrapText="1"/>
      <protection hidden="1"/>
    </xf>
    <xf numFmtId="0" fontId="11" fillId="39" borderId="0" xfId="0" applyFont="1" applyFill="1" applyBorder="1" applyAlignment="1" applyProtection="1">
      <alignment vertical="center" wrapText="1"/>
      <protection hidden="1"/>
    </xf>
    <xf numFmtId="0" fontId="15" fillId="2" borderId="6" xfId="0" applyFont="1" applyFill="1" applyBorder="1" applyAlignment="1" applyProtection="1">
      <alignment vertical="center" wrapText="1"/>
      <protection hidden="1"/>
    </xf>
    <xf numFmtId="0" fontId="8" fillId="0" borderId="20" xfId="0" applyFont="1" applyFill="1" applyBorder="1" applyAlignment="1" applyProtection="1">
      <alignment horizontal="center" vertical="center" wrapText="1"/>
      <protection hidden="1"/>
    </xf>
    <xf numFmtId="0" fontId="14" fillId="39" borderId="0" xfId="0" applyFont="1" applyFill="1" applyBorder="1" applyAlignment="1" applyProtection="1">
      <alignment vertical="center" wrapText="1"/>
      <protection hidden="1"/>
    </xf>
    <xf numFmtId="0" fontId="14" fillId="39" borderId="0" xfId="0" applyFont="1" applyFill="1" applyBorder="1" applyAlignment="1" applyProtection="1">
      <alignment horizontal="center" wrapText="1"/>
      <protection hidden="1"/>
    </xf>
    <xf numFmtId="22" fontId="0" fillId="0" borderId="0" xfId="0" applyNumberFormat="1"/>
    <xf numFmtId="9" fontId="0" fillId="0" borderId="0" xfId="0" applyNumberFormat="1"/>
    <xf numFmtId="170" fontId="0" fillId="0" borderId="0" xfId="0" applyNumberFormat="1"/>
    <xf numFmtId="3" fontId="8" fillId="38" borderId="2" xfId="53" applyNumberFormat="1" applyFont="1" applyFill="1" applyBorder="1" applyAlignment="1" applyProtection="1">
      <alignment horizontal="right" vertical="center" wrapText="1" indent="1"/>
      <protection hidden="1"/>
    </xf>
    <xf numFmtId="165" fontId="8" fillId="38" borderId="2" xfId="53" applyNumberFormat="1" applyFont="1" applyFill="1" applyBorder="1" applyAlignment="1" applyProtection="1">
      <alignment horizontal="right" vertical="center" wrapText="1" indent="1"/>
      <protection hidden="1"/>
    </xf>
    <xf numFmtId="167" fontId="8" fillId="38" borderId="2" xfId="53" applyNumberFormat="1" applyFont="1" applyFill="1" applyBorder="1" applyAlignment="1" applyProtection="1">
      <alignment horizontal="right" vertical="center" wrapText="1" indent="1"/>
      <protection hidden="1"/>
    </xf>
    <xf numFmtId="10" fontId="8" fillId="38" borderId="2" xfId="58" applyNumberFormat="1" applyFont="1" applyFill="1" applyBorder="1" applyAlignment="1" applyProtection="1">
      <alignment horizontal="right" vertical="center" wrapText="1" indent="1"/>
      <protection hidden="1"/>
    </xf>
    <xf numFmtId="4" fontId="8" fillId="4" borderId="2" xfId="53" applyNumberFormat="1" applyFont="1" applyFill="1" applyBorder="1" applyAlignment="1" applyProtection="1">
      <alignment horizontal="right" vertical="center" wrapText="1" indent="1"/>
      <protection hidden="1"/>
    </xf>
    <xf numFmtId="167" fontId="8" fillId="38" borderId="2" xfId="58" applyNumberFormat="1" applyFont="1" applyFill="1" applyBorder="1" applyAlignment="1" applyProtection="1">
      <alignment horizontal="right" vertical="center" wrapText="1" indent="1"/>
      <protection hidden="1"/>
    </xf>
    <xf numFmtId="3" fontId="22" fillId="41" borderId="39" xfId="28" applyNumberFormat="1" applyFont="1" applyFill="1" applyBorder="1" applyAlignment="1" applyProtection="1">
      <alignment horizontal="right" vertical="center" wrapText="1" indent="1"/>
      <protection hidden="1"/>
    </xf>
    <xf numFmtId="167" fontId="22" fillId="41" borderId="38" xfId="58" applyNumberFormat="1" applyFont="1" applyFill="1" applyBorder="1" applyAlignment="1" applyProtection="1">
      <alignment horizontal="right" vertical="center" wrapText="1" indent="1"/>
      <protection hidden="1"/>
    </xf>
    <xf numFmtId="3" fontId="18" fillId="38" borderId="4" xfId="30" applyNumberFormat="1" applyFont="1" applyFill="1" applyBorder="1" applyAlignment="1" applyProtection="1">
      <alignment horizontal="right" vertical="center" wrapText="1" indent="1"/>
      <protection hidden="1"/>
    </xf>
    <xf numFmtId="167" fontId="18" fillId="38" borderId="9" xfId="60" applyNumberFormat="1" applyFont="1" applyFill="1" applyBorder="1" applyAlignment="1" applyProtection="1">
      <alignment horizontal="right" vertical="center" wrapText="1" indent="1"/>
      <protection hidden="1"/>
    </xf>
    <xf numFmtId="3" fontId="18" fillId="38" borderId="34" xfId="30" applyNumberFormat="1" applyFont="1" applyFill="1" applyBorder="1" applyAlignment="1" applyProtection="1">
      <alignment horizontal="right" vertical="center" wrapText="1" indent="1"/>
      <protection hidden="1"/>
    </xf>
    <xf numFmtId="3" fontId="18" fillId="38" borderId="3" xfId="30" applyNumberFormat="1" applyFont="1" applyFill="1" applyBorder="1" applyAlignment="1" applyProtection="1">
      <alignment horizontal="right" vertical="center" wrapText="1" indent="1"/>
      <protection hidden="1"/>
    </xf>
    <xf numFmtId="3" fontId="18" fillId="38" borderId="31" xfId="30" applyNumberFormat="1" applyFont="1" applyFill="1" applyBorder="1" applyAlignment="1" applyProtection="1">
      <alignment horizontal="right" vertical="center" wrapText="1" indent="1"/>
      <protection hidden="1"/>
    </xf>
    <xf numFmtId="167" fontId="18" fillId="38" borderId="26" xfId="60" applyNumberFormat="1" applyFont="1" applyFill="1" applyBorder="1" applyAlignment="1" applyProtection="1">
      <alignment horizontal="right" vertical="center" wrapText="1" indent="1"/>
      <protection hidden="1"/>
    </xf>
    <xf numFmtId="3" fontId="22" fillId="41" borderId="17" xfId="0" applyNumberFormat="1" applyFont="1" applyFill="1" applyBorder="1" applyAlignment="1" applyProtection="1">
      <alignment horizontal="right" vertical="center" wrapText="1" indent="1"/>
      <protection hidden="1"/>
    </xf>
    <xf numFmtId="3" fontId="22" fillId="41" borderId="17" xfId="28" applyNumberFormat="1" applyFont="1" applyFill="1" applyBorder="1" applyAlignment="1" applyProtection="1">
      <alignment horizontal="right" vertical="center" wrapText="1" indent="1"/>
      <protection hidden="1"/>
    </xf>
    <xf numFmtId="167" fontId="22" fillId="41" borderId="38" xfId="28" applyNumberFormat="1" applyFont="1" applyFill="1" applyBorder="1" applyAlignment="1" applyProtection="1">
      <alignment horizontal="right" vertical="center" wrapText="1" indent="1"/>
      <protection hidden="1"/>
    </xf>
    <xf numFmtId="3" fontId="14" fillId="38" borderId="3" xfId="28" applyNumberFormat="1" applyFont="1" applyFill="1" applyBorder="1" applyAlignment="1" applyProtection="1">
      <alignment horizontal="right" vertical="center" wrapText="1" indent="1"/>
      <protection hidden="1"/>
    </xf>
    <xf numFmtId="3" fontId="14" fillId="38" borderId="4" xfId="28" applyNumberFormat="1" applyFont="1" applyFill="1" applyBorder="1" applyAlignment="1" applyProtection="1">
      <alignment horizontal="right" vertical="center" wrapText="1" indent="1"/>
      <protection hidden="1"/>
    </xf>
    <xf numFmtId="167" fontId="14" fillId="38" borderId="9" xfId="60" applyNumberFormat="1" applyFont="1" applyFill="1" applyBorder="1" applyAlignment="1" applyProtection="1">
      <alignment horizontal="right" vertical="center" wrapText="1" indent="1"/>
      <protection hidden="1"/>
    </xf>
    <xf numFmtId="3" fontId="14" fillId="38" borderId="34" xfId="28" applyNumberFormat="1" applyFont="1" applyFill="1" applyBorder="1" applyAlignment="1" applyProtection="1">
      <alignment horizontal="right" vertical="center" wrapText="1" indent="1"/>
      <protection hidden="1"/>
    </xf>
    <xf numFmtId="3" fontId="14" fillId="38" borderId="35" xfId="28" applyNumberFormat="1" applyFont="1" applyFill="1" applyBorder="1" applyAlignment="1" applyProtection="1">
      <alignment horizontal="right" vertical="center" wrapText="1" indent="1"/>
      <protection hidden="1"/>
    </xf>
    <xf numFmtId="167" fontId="14" fillId="38" borderId="19" xfId="60" applyNumberFormat="1" applyFont="1" applyFill="1" applyBorder="1" applyAlignment="1" applyProtection="1">
      <alignment horizontal="right" vertical="center" wrapText="1" indent="1"/>
      <protection hidden="1"/>
    </xf>
    <xf numFmtId="3" fontId="14" fillId="38" borderId="31" xfId="28" applyNumberFormat="1" applyFont="1" applyFill="1" applyBorder="1" applyAlignment="1" applyProtection="1">
      <alignment horizontal="right" vertical="center" wrapText="1" indent="1"/>
      <protection hidden="1"/>
    </xf>
    <xf numFmtId="3" fontId="14" fillId="38" borderId="29" xfId="28" applyNumberFormat="1" applyFont="1" applyFill="1" applyBorder="1" applyAlignment="1" applyProtection="1">
      <alignment horizontal="right" vertical="center" wrapText="1" indent="1"/>
      <protection hidden="1"/>
    </xf>
    <xf numFmtId="167" fontId="14" fillId="38" borderId="30" xfId="60" applyNumberFormat="1" applyFont="1" applyFill="1" applyBorder="1" applyAlignment="1" applyProtection="1">
      <alignment horizontal="right" vertical="center" wrapText="1" indent="1"/>
      <protection hidden="1"/>
    </xf>
    <xf numFmtId="167" fontId="22" fillId="41" borderId="38" xfId="0" applyNumberFormat="1" applyFont="1" applyFill="1" applyBorder="1" applyAlignment="1" applyProtection="1">
      <alignment horizontal="right" vertical="center" wrapText="1" indent="1"/>
      <protection hidden="1"/>
    </xf>
    <xf numFmtId="3" fontId="22" fillId="41" borderId="38" xfId="0" applyNumberFormat="1" applyFont="1" applyFill="1" applyBorder="1" applyAlignment="1" applyProtection="1">
      <alignment horizontal="right" vertical="center" wrapText="1" indent="1"/>
      <protection hidden="1"/>
    </xf>
    <xf numFmtId="3" fontId="14" fillId="38" borderId="34" xfId="0" applyNumberFormat="1" applyFont="1" applyFill="1" applyBorder="1" applyAlignment="1" applyProtection="1">
      <alignment horizontal="right" vertical="center" wrapText="1" indent="1"/>
      <protection hidden="1"/>
    </xf>
    <xf numFmtId="165" fontId="14" fillId="38" borderId="33" xfId="0" applyNumberFormat="1" applyFont="1" applyFill="1" applyBorder="1" applyAlignment="1" applyProtection="1">
      <alignment horizontal="right" vertical="center" wrapText="1" indent="1"/>
      <protection hidden="1"/>
    </xf>
    <xf numFmtId="3" fontId="14" fillId="38" borderId="3" xfId="0" applyNumberFormat="1" applyFont="1" applyFill="1" applyBorder="1" applyAlignment="1" applyProtection="1">
      <alignment horizontal="right" vertical="center" wrapText="1" indent="1"/>
      <protection hidden="1"/>
    </xf>
    <xf numFmtId="165" fontId="14" fillId="38" borderId="26" xfId="0" applyNumberFormat="1" applyFont="1" applyFill="1" applyBorder="1" applyAlignment="1" applyProtection="1">
      <alignment horizontal="right" vertical="center" wrapText="1" indent="1"/>
      <protection hidden="1"/>
    </xf>
    <xf numFmtId="3" fontId="22" fillId="41" borderId="105" xfId="28" applyNumberFormat="1" applyFont="1" applyFill="1" applyBorder="1" applyAlignment="1" applyProtection="1">
      <alignment horizontal="right" vertical="center" wrapText="1" indent="1"/>
      <protection hidden="1"/>
    </xf>
    <xf numFmtId="3" fontId="22" fillId="41" borderId="104" xfId="28" applyNumberFormat="1" applyFont="1" applyFill="1" applyBorder="1" applyAlignment="1" applyProtection="1">
      <alignment horizontal="right" vertical="center" wrapText="1" indent="1"/>
      <protection hidden="1"/>
    </xf>
    <xf numFmtId="169" fontId="6" fillId="0" borderId="72" xfId="28" applyNumberFormat="1" applyFont="1" applyFill="1" applyBorder="1" applyAlignment="1" applyProtection="1">
      <alignment horizontal="right" vertical="center" wrapText="1" indent="1"/>
      <protection hidden="1"/>
    </xf>
    <xf numFmtId="166" fontId="6" fillId="0" borderId="80" xfId="28" applyNumberFormat="1" applyFont="1" applyFill="1" applyBorder="1" applyAlignment="1" applyProtection="1">
      <alignment horizontal="right" vertical="center" wrapText="1" indent="1"/>
      <protection hidden="1"/>
    </xf>
    <xf numFmtId="166" fontId="6" fillId="0" borderId="81" xfId="28" applyNumberFormat="1" applyFont="1" applyFill="1" applyBorder="1" applyAlignment="1" applyProtection="1">
      <alignment horizontal="right" vertical="center" wrapText="1" indent="1"/>
      <protection hidden="1"/>
    </xf>
    <xf numFmtId="169" fontId="5" fillId="0" borderId="92" xfId="28" applyNumberFormat="1" applyFont="1" applyFill="1" applyBorder="1" applyAlignment="1" applyProtection="1">
      <alignment horizontal="right" vertical="center" wrapText="1" indent="1"/>
      <protection hidden="1"/>
    </xf>
    <xf numFmtId="166" fontId="5" fillId="0" borderId="83" xfId="28" applyNumberFormat="1" applyFont="1" applyFill="1" applyBorder="1" applyAlignment="1" applyProtection="1">
      <alignment horizontal="right" vertical="center" wrapText="1" indent="1"/>
      <protection hidden="1"/>
    </xf>
    <xf numFmtId="166" fontId="5" fillId="0" borderId="84" xfId="28" applyNumberFormat="1" applyFont="1" applyFill="1" applyBorder="1" applyAlignment="1" applyProtection="1">
      <alignment horizontal="right" vertical="center" wrapText="1" indent="1"/>
      <protection hidden="1"/>
    </xf>
    <xf numFmtId="166" fontId="5" fillId="0" borderId="86" xfId="28" applyNumberFormat="1" applyFont="1" applyFill="1" applyBorder="1" applyAlignment="1" applyProtection="1">
      <alignment horizontal="right" vertical="center" wrapText="1" indent="1"/>
      <protection hidden="1"/>
    </xf>
    <xf numFmtId="166" fontId="5" fillId="0" borderId="87" xfId="28" applyNumberFormat="1" applyFont="1" applyFill="1" applyBorder="1" applyAlignment="1" applyProtection="1">
      <alignment horizontal="right" vertical="center" wrapText="1" indent="1"/>
      <protection hidden="1"/>
    </xf>
    <xf numFmtId="3" fontId="6" fillId="0" borderId="80" xfId="28" applyNumberFormat="1" applyFont="1" applyFill="1" applyBorder="1" applyAlignment="1" applyProtection="1">
      <alignment horizontal="right" vertical="center" wrapText="1" indent="1"/>
      <protection hidden="1"/>
    </xf>
    <xf numFmtId="3" fontId="5" fillId="0" borderId="83" xfId="28" applyNumberFormat="1" applyFont="1" applyFill="1" applyBorder="1" applyAlignment="1" applyProtection="1">
      <alignment horizontal="right" vertical="center" wrapText="1" indent="1"/>
      <protection hidden="1"/>
    </xf>
    <xf numFmtId="3" fontId="5" fillId="0" borderId="86" xfId="28" applyNumberFormat="1" applyFont="1" applyFill="1" applyBorder="1" applyAlignment="1" applyProtection="1">
      <alignment horizontal="right" vertical="center" wrapText="1" indent="1"/>
      <protection hidden="1"/>
    </xf>
    <xf numFmtId="171" fontId="5" fillId="0" borderId="92" xfId="28" applyNumberFormat="1" applyFont="1" applyFill="1" applyBorder="1" applyAlignment="1" applyProtection="1">
      <alignment horizontal="right" vertical="center" wrapText="1" indent="1"/>
      <protection hidden="1"/>
    </xf>
    <xf numFmtId="171" fontId="5" fillId="0" borderId="74" xfId="28" applyNumberFormat="1" applyFont="1" applyFill="1" applyBorder="1" applyAlignment="1" applyProtection="1">
      <alignment horizontal="right" vertical="center" wrapText="1" indent="1"/>
      <protection hidden="1"/>
    </xf>
    <xf numFmtId="171" fontId="5" fillId="0" borderId="76" xfId="28" applyNumberFormat="1" applyFont="1" applyFill="1" applyBorder="1" applyAlignment="1" applyProtection="1">
      <alignment horizontal="right" vertical="center" wrapText="1" indent="1"/>
      <protection hidden="1"/>
    </xf>
    <xf numFmtId="37" fontId="6" fillId="0" borderId="2"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 xfId="28" applyNumberFormat="1" applyFont="1" applyFill="1" applyBorder="1" applyAlignment="1" applyProtection="1">
      <alignment horizontal="right" vertical="center" wrapText="1" indent="1"/>
      <protection hidden="1"/>
    </xf>
    <xf numFmtId="37" fontId="9" fillId="0" borderId="2" xfId="28" applyNumberFormat="1" applyFont="1" applyFill="1" applyBorder="1" applyAlignment="1" applyProtection="1">
      <alignment horizontal="right" vertical="center" wrapText="1" indent="1"/>
      <protection hidden="1"/>
    </xf>
    <xf numFmtId="37" fontId="5" fillId="0" borderId="83" xfId="28" applyNumberFormat="1" applyFont="1" applyFill="1" applyBorder="1" applyAlignment="1" applyProtection="1">
      <alignment horizontal="right" vertical="center" wrapText="1" indent="1"/>
      <protection hidden="1"/>
    </xf>
    <xf numFmtId="37" fontId="5" fillId="0" borderId="84" xfId="28" applyNumberFormat="1" applyFont="1" applyFill="1" applyBorder="1" applyAlignment="1" applyProtection="1">
      <alignment horizontal="right" vertical="center" wrapText="1" indent="1"/>
      <protection hidden="1"/>
    </xf>
    <xf numFmtId="37" fontId="5" fillId="0" borderId="86" xfId="28" applyNumberFormat="1" applyFont="1" applyFill="1" applyBorder="1" applyAlignment="1" applyProtection="1">
      <alignment horizontal="right" vertical="center" wrapText="1" indent="1"/>
      <protection hidden="1"/>
    </xf>
    <xf numFmtId="37" fontId="5" fillId="0" borderId="87" xfId="28" applyNumberFormat="1" applyFont="1" applyFill="1" applyBorder="1" applyAlignment="1" applyProtection="1">
      <alignment horizontal="right" vertical="center" wrapText="1" indent="1"/>
      <protection hidden="1"/>
    </xf>
    <xf numFmtId="37" fontId="6" fillId="0" borderId="71" xfId="28" applyNumberFormat="1" applyFont="1" applyFill="1" applyBorder="1" applyAlignment="1" applyProtection="1">
      <alignment horizontal="right" vertical="center" wrapText="1" indent="1"/>
      <protection hidden="1"/>
    </xf>
    <xf numFmtId="37" fontId="5" fillId="0" borderId="73" xfId="28" applyNumberFormat="1" applyFont="1" applyFill="1" applyBorder="1" applyAlignment="1" applyProtection="1">
      <alignment horizontal="right" vertical="center" wrapText="1" indent="1"/>
      <protection hidden="1"/>
    </xf>
    <xf numFmtId="37" fontId="5" fillId="0" borderId="75" xfId="28" applyNumberFormat="1" applyFont="1" applyFill="1" applyBorder="1" applyAlignment="1" applyProtection="1">
      <alignment horizontal="right" vertical="center" wrapText="1" indent="1"/>
      <protection hidden="1"/>
    </xf>
    <xf numFmtId="167" fontId="9" fillId="0" borderId="82" xfId="58" applyNumberFormat="1" applyFont="1" applyFill="1" applyBorder="1" applyAlignment="1" applyProtection="1">
      <alignment horizontal="right" vertical="center" wrapText="1" indent="1"/>
      <protection hidden="1"/>
    </xf>
    <xf numFmtId="37" fontId="57" fillId="0" borderId="91" xfId="28" applyNumberFormat="1" applyFont="1" applyBorder="1" applyAlignment="1" applyProtection="1">
      <alignment horizontal="right" vertical="center" wrapText="1" indent="1"/>
      <protection hidden="1"/>
    </xf>
    <xf numFmtId="3" fontId="57" fillId="0" borderId="91" xfId="28" applyNumberFormat="1" applyFont="1" applyBorder="1" applyAlignment="1" applyProtection="1">
      <alignment horizontal="right" vertical="center" wrapText="1" indent="1"/>
      <protection hidden="1"/>
    </xf>
    <xf numFmtId="167" fontId="4" fillId="0" borderId="93" xfId="58" applyNumberFormat="1" applyFont="1" applyFill="1" applyBorder="1" applyAlignment="1" applyProtection="1">
      <alignment horizontal="right" vertical="center" wrapText="1" indent="1"/>
      <protection hidden="1"/>
    </xf>
    <xf numFmtId="37" fontId="57" fillId="0" borderId="89" xfId="28" applyNumberFormat="1" applyFont="1" applyBorder="1" applyAlignment="1" applyProtection="1">
      <alignment horizontal="right" vertical="center" wrapText="1" indent="1"/>
      <protection hidden="1"/>
    </xf>
    <xf numFmtId="167" fontId="4" fillId="0" borderId="85" xfId="58" applyNumberFormat="1" applyFont="1" applyFill="1" applyBorder="1" applyAlignment="1" applyProtection="1">
      <alignment horizontal="right" vertical="center" wrapText="1" indent="1"/>
      <protection hidden="1"/>
    </xf>
    <xf numFmtId="167" fontId="4" fillId="0" borderId="88" xfId="58" applyNumberFormat="1" applyFont="1" applyFill="1" applyBorder="1" applyAlignment="1" applyProtection="1">
      <alignment horizontal="right" vertical="center" wrapText="1" indent="1"/>
      <protection hidden="1"/>
    </xf>
    <xf numFmtId="166" fontId="57" fillId="0" borderId="91" xfId="28" applyNumberFormat="1" applyFont="1" applyBorder="1" applyAlignment="1" applyProtection="1">
      <alignment horizontal="right" vertical="center" wrapText="1" indent="1"/>
      <protection hidden="1"/>
    </xf>
    <xf numFmtId="37" fontId="4" fillId="0" borderId="73" xfId="28" applyNumberFormat="1" applyFont="1" applyBorder="1" applyAlignment="1" applyProtection="1">
      <alignment horizontal="right" vertical="center" wrapText="1" indent="1"/>
      <protection hidden="1"/>
    </xf>
    <xf numFmtId="171" fontId="4" fillId="0" borderId="74" xfId="28" applyNumberFormat="1" applyFont="1" applyBorder="1" applyAlignment="1" applyProtection="1">
      <alignment horizontal="right" vertical="center" wrapText="1" indent="1"/>
      <protection hidden="1"/>
    </xf>
    <xf numFmtId="3" fontId="4" fillId="0" borderId="83" xfId="28" applyNumberFormat="1" applyFont="1" applyBorder="1" applyAlignment="1" applyProtection="1">
      <alignment horizontal="right" vertical="center" wrapText="1" indent="1"/>
      <protection hidden="1"/>
    </xf>
    <xf numFmtId="166" fontId="4" fillId="0" borderId="84" xfId="28" applyNumberFormat="1" applyFont="1" applyBorder="1" applyAlignment="1" applyProtection="1">
      <alignment horizontal="right" vertical="center" wrapText="1" indent="1"/>
      <protection hidden="1"/>
    </xf>
    <xf numFmtId="167" fontId="4" fillId="0" borderId="85" xfId="58" applyNumberFormat="1" applyFont="1" applyBorder="1" applyAlignment="1" applyProtection="1">
      <alignment horizontal="right" vertical="center" wrapText="1" indent="1"/>
      <protection hidden="1"/>
    </xf>
    <xf numFmtId="166" fontId="4" fillId="0" borderId="83" xfId="28" applyNumberFormat="1" applyFont="1" applyBorder="1" applyAlignment="1" applyProtection="1">
      <alignment horizontal="right" vertical="center" wrapText="1" indent="1"/>
      <protection hidden="1"/>
    </xf>
    <xf numFmtId="37" fontId="4" fillId="0" borderId="83" xfId="28" applyNumberFormat="1" applyFont="1" applyBorder="1" applyAlignment="1" applyProtection="1">
      <alignment horizontal="right" vertical="center" wrapText="1" indent="1"/>
      <protection hidden="1"/>
    </xf>
    <xf numFmtId="37" fontId="4" fillId="0" borderId="84"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75" xfId="28" applyNumberFormat="1" applyFont="1" applyBorder="1" applyAlignment="1" applyProtection="1">
      <alignment horizontal="right" vertical="center" wrapText="1" indent="1"/>
      <protection hidden="1"/>
    </xf>
    <xf numFmtId="171" fontId="4" fillId="0" borderId="76" xfId="28" applyNumberFormat="1" applyFont="1" applyBorder="1" applyAlignment="1" applyProtection="1">
      <alignment horizontal="right" vertical="center" wrapText="1" indent="1"/>
      <protection hidden="1"/>
    </xf>
    <xf numFmtId="3" fontId="4" fillId="0" borderId="86" xfId="28" applyNumberFormat="1" applyFont="1" applyBorder="1" applyAlignment="1" applyProtection="1">
      <alignment horizontal="right" vertical="center" wrapText="1" indent="1"/>
      <protection hidden="1"/>
    </xf>
    <xf numFmtId="166" fontId="4" fillId="0" borderId="87" xfId="28" applyNumberFormat="1" applyFont="1" applyBorder="1" applyAlignment="1" applyProtection="1">
      <alignment horizontal="right" vertical="center" wrapText="1" indent="1"/>
      <protection hidden="1"/>
    </xf>
    <xf numFmtId="167" fontId="4" fillId="0" borderId="88" xfId="58" applyNumberFormat="1" applyFont="1" applyBorder="1" applyAlignment="1" applyProtection="1">
      <alignment horizontal="right" vertical="center" wrapText="1" indent="1"/>
      <protection hidden="1"/>
    </xf>
    <xf numFmtId="166" fontId="4" fillId="0" borderId="86" xfId="28" applyNumberFormat="1" applyFont="1" applyBorder="1" applyAlignment="1" applyProtection="1">
      <alignment horizontal="right" vertical="center" wrapText="1" indent="1"/>
      <protection hidden="1"/>
    </xf>
    <xf numFmtId="37" fontId="4" fillId="0" borderId="86" xfId="28" applyNumberFormat="1" applyFont="1" applyBorder="1" applyAlignment="1" applyProtection="1">
      <alignment horizontal="right" vertical="center" wrapText="1" indent="1"/>
      <protection hidden="1"/>
    </xf>
    <xf numFmtId="37" fontId="4" fillId="0" borderId="87"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6" fontId="60" fillId="0" borderId="91" xfId="28" applyNumberFormat="1" applyFont="1" applyBorder="1" applyAlignment="1" applyProtection="1">
      <alignment horizontal="right" vertical="center" wrapText="1" indent="1"/>
      <protection hidden="1"/>
    </xf>
    <xf numFmtId="169" fontId="6" fillId="0" borderId="92" xfId="28" applyNumberFormat="1" applyFont="1" applyFill="1" applyBorder="1" applyAlignment="1" applyProtection="1">
      <alignment horizontal="right" vertical="center" wrapText="1" indent="1"/>
      <protection hidden="1"/>
    </xf>
    <xf numFmtId="167" fontId="9" fillId="0" borderId="93" xfId="58" applyNumberFormat="1" applyFont="1" applyFill="1" applyBorder="1" applyAlignment="1" applyProtection="1">
      <alignment horizontal="right" vertical="center" wrapText="1" indent="1"/>
      <protection hidden="1"/>
    </xf>
    <xf numFmtId="166" fontId="60" fillId="0" borderId="89" xfId="28" applyNumberFormat="1" applyFont="1" applyBorder="1" applyAlignment="1" applyProtection="1">
      <alignment horizontal="right" vertical="center" wrapText="1" indent="1"/>
      <protection hidden="1"/>
    </xf>
    <xf numFmtId="166" fontId="4" fillId="0" borderId="73" xfId="28" applyNumberFormat="1" applyFont="1" applyBorder="1" applyAlignment="1" applyProtection="1">
      <alignment horizontal="right" vertical="center" wrapText="1" indent="1"/>
      <protection hidden="1"/>
    </xf>
    <xf numFmtId="169" fontId="4" fillId="0" borderId="73" xfId="28" applyNumberFormat="1" applyFont="1" applyBorder="1" applyAlignment="1" applyProtection="1">
      <alignment horizontal="right" vertical="center" wrapText="1" indent="1"/>
      <protection hidden="1"/>
    </xf>
    <xf numFmtId="166" fontId="4" fillId="0" borderId="3" xfId="28" applyNumberFormat="1" applyFont="1" applyBorder="1" applyAlignment="1" applyProtection="1">
      <alignment horizontal="right" vertical="center" wrapText="1" indent="1"/>
      <protection hidden="1"/>
    </xf>
    <xf numFmtId="166" fontId="57" fillId="0" borderId="89" xfId="28" applyNumberFormat="1" applyFont="1" applyBorder="1" applyAlignment="1" applyProtection="1">
      <alignment horizontal="right" vertical="center" wrapText="1" indent="1"/>
      <protection hidden="1"/>
    </xf>
    <xf numFmtId="4" fontId="56" fillId="39" borderId="0" xfId="0" applyNumberFormat="1" applyFont="1" applyFill="1" applyBorder="1" applyProtection="1">
      <protection locked="0" hidden="1"/>
    </xf>
    <xf numFmtId="4" fontId="65" fillId="39" borderId="9" xfId="0" applyNumberFormat="1" applyFont="1" applyFill="1" applyBorder="1" applyAlignment="1" applyProtection="1">
      <alignment horizontal="left" wrapText="1" indent="2"/>
      <protection hidden="1"/>
    </xf>
    <xf numFmtId="4" fontId="6" fillId="43" borderId="7" xfId="0" applyNumberFormat="1" applyFont="1" applyFill="1" applyBorder="1" applyAlignment="1" applyProtection="1">
      <alignment vertical="center" wrapText="1"/>
      <protection locked="0" hidden="1"/>
    </xf>
    <xf numFmtId="4" fontId="6" fillId="43" borderId="7" xfId="0" applyNumberFormat="1" applyFont="1" applyFill="1" applyBorder="1" applyAlignment="1" applyProtection="1">
      <alignment vertical="center" wrapText="1"/>
      <protection hidden="1"/>
    </xf>
    <xf numFmtId="4" fontId="5" fillId="38" borderId="22" xfId="0" applyNumberFormat="1" applyFont="1" applyFill="1" applyBorder="1" applyAlignment="1" applyProtection="1">
      <alignment vertical="center" wrapText="1"/>
      <protection hidden="1"/>
    </xf>
    <xf numFmtId="4" fontId="9" fillId="38" borderId="2" xfId="0" applyNumberFormat="1" applyFont="1" applyFill="1" applyBorder="1" applyAlignment="1" applyProtection="1">
      <alignment wrapText="1"/>
      <protection hidden="1"/>
    </xf>
    <xf numFmtId="167" fontId="4" fillId="38" borderId="2" xfId="58" applyNumberFormat="1" applyFont="1" applyFill="1" applyBorder="1" applyAlignment="1" applyProtection="1">
      <alignment horizontal="center" vertical="center" wrapText="1"/>
      <protection hidden="1"/>
    </xf>
    <xf numFmtId="167" fontId="0" fillId="0" borderId="0" xfId="58" applyNumberFormat="1" applyFont="1"/>
    <xf numFmtId="167" fontId="4" fillId="38" borderId="27" xfId="101" applyNumberFormat="1" applyFont="1" applyFill="1" applyBorder="1"/>
    <xf numFmtId="167" fontId="4" fillId="38" borderId="26" xfId="101" applyNumberFormat="1" applyFont="1" applyFill="1" applyBorder="1"/>
    <xf numFmtId="167" fontId="4" fillId="38" borderId="37" xfId="101" applyNumberFormat="1" applyFont="1" applyFill="1" applyBorder="1"/>
    <xf numFmtId="3" fontId="22" fillId="41" borderId="2" xfId="0" applyNumberFormat="1" applyFont="1" applyFill="1" applyBorder="1" applyAlignment="1">
      <alignment horizontal="center" vertical="center" wrapText="1"/>
    </xf>
    <xf numFmtId="166" fontId="4" fillId="38" borderId="7" xfId="0" applyNumberFormat="1" applyFont="1" applyFill="1" applyBorder="1"/>
    <xf numFmtId="166" fontId="4" fillId="38" borderId="3" xfId="0" applyNumberFormat="1" applyFont="1" applyFill="1" applyBorder="1"/>
    <xf numFmtId="166" fontId="4" fillId="38" borderId="5" xfId="0" applyNumberFormat="1" applyFont="1" applyFill="1" applyBorder="1"/>
    <xf numFmtId="167" fontId="22" fillId="41" borderId="23" xfId="0" applyNumberFormat="1" applyFont="1" applyFill="1" applyBorder="1" applyAlignment="1">
      <alignment horizontal="center" vertical="center" wrapText="1"/>
    </xf>
    <xf numFmtId="0" fontId="25" fillId="38" borderId="28" xfId="0" applyFont="1" applyFill="1" applyBorder="1" applyAlignment="1">
      <alignment horizontal="center" vertical="center"/>
    </xf>
    <xf numFmtId="0" fontId="25" fillId="38" borderId="17" xfId="0" applyFont="1" applyFill="1" applyBorder="1" applyAlignment="1">
      <alignment horizontal="center" vertical="center"/>
    </xf>
    <xf numFmtId="0" fontId="25" fillId="38" borderId="38" xfId="0" applyFont="1" applyFill="1" applyBorder="1" applyAlignment="1">
      <alignment horizontal="center" vertical="center"/>
    </xf>
    <xf numFmtId="0" fontId="32" fillId="0" borderId="8" xfId="0" applyFont="1" applyBorder="1" applyAlignment="1">
      <alignment horizontal="left" vertical="top" wrapText="1"/>
    </xf>
    <xf numFmtId="0" fontId="32" fillId="0" borderId="0" xfId="0" applyFont="1" applyBorder="1" applyAlignment="1">
      <alignment horizontal="left" vertical="top" wrapText="1"/>
    </xf>
    <xf numFmtId="0" fontId="32" fillId="0" borderId="9" xfId="0" applyFont="1" applyBorder="1" applyAlignment="1">
      <alignment horizontal="left" vertical="top" wrapText="1"/>
    </xf>
    <xf numFmtId="0" fontId="32" fillId="0" borderId="15" xfId="0" applyFont="1" applyBorder="1" applyAlignment="1">
      <alignment horizontal="left" vertical="top" wrapText="1"/>
    </xf>
    <xf numFmtId="0" fontId="32" fillId="0" borderId="16" xfId="0" applyFont="1" applyBorder="1" applyAlignment="1">
      <alignment horizontal="left" vertical="top" wrapText="1"/>
    </xf>
    <xf numFmtId="0" fontId="32" fillId="0" borderId="30" xfId="0" applyFont="1" applyBorder="1" applyAlignment="1">
      <alignment horizontal="left" vertical="top" wrapText="1"/>
    </xf>
    <xf numFmtId="0" fontId="7" fillId="38" borderId="28" xfId="0" applyFont="1" applyFill="1" applyBorder="1" applyAlignment="1">
      <alignment horizontal="center" vertical="center"/>
    </xf>
    <xf numFmtId="0" fontId="7" fillId="38" borderId="17" xfId="0" applyFont="1" applyFill="1" applyBorder="1" applyAlignment="1">
      <alignment horizontal="center" vertical="center"/>
    </xf>
    <xf numFmtId="0" fontId="7" fillId="38" borderId="38" xfId="0" applyFont="1" applyFill="1" applyBorder="1" applyAlignment="1">
      <alignment horizontal="center" vertical="center"/>
    </xf>
    <xf numFmtId="0" fontId="0" fillId="39" borderId="6" xfId="0" applyFill="1" applyBorder="1" applyAlignment="1">
      <alignment horizontal="center"/>
    </xf>
    <xf numFmtId="0" fontId="0" fillId="39" borderId="40" xfId="0" applyFill="1" applyBorder="1" applyAlignment="1">
      <alignment horizontal="center"/>
    </xf>
    <xf numFmtId="0" fontId="0" fillId="39" borderId="8" xfId="0" applyFill="1" applyBorder="1" applyAlignment="1">
      <alignment horizontal="center"/>
    </xf>
    <xf numFmtId="0" fontId="0" fillId="39" borderId="0" xfId="0" applyFill="1" applyAlignment="1">
      <alignment horizontal="center"/>
    </xf>
    <xf numFmtId="0" fontId="0" fillId="39" borderId="15" xfId="0" applyFill="1" applyBorder="1" applyAlignment="1">
      <alignment horizontal="center"/>
    </xf>
    <xf numFmtId="0" fontId="0" fillId="39" borderId="16" xfId="0" applyFill="1" applyBorder="1" applyAlignment="1">
      <alignment horizontal="center"/>
    </xf>
    <xf numFmtId="49" fontId="14" fillId="38" borderId="6" xfId="0" applyNumberFormat="1" applyFont="1" applyFill="1" applyBorder="1" applyAlignment="1" applyProtection="1">
      <alignment horizontal="left" vertical="center" wrapText="1"/>
      <protection hidden="1"/>
    </xf>
    <xf numFmtId="49" fontId="14" fillId="38" borderId="40" xfId="0" applyNumberFormat="1" applyFont="1" applyFill="1" applyBorder="1" applyAlignment="1" applyProtection="1">
      <alignment horizontal="left" vertical="center" wrapText="1"/>
      <protection hidden="1"/>
    </xf>
    <xf numFmtId="49" fontId="14" fillId="38" borderId="8" xfId="0" applyNumberFormat="1" applyFont="1" applyFill="1" applyBorder="1" applyAlignment="1" applyProtection="1">
      <alignment horizontal="left" vertical="center" wrapText="1"/>
      <protection hidden="1"/>
    </xf>
    <xf numFmtId="49" fontId="14" fillId="38" borderId="0" xfId="0" applyNumberFormat="1" applyFont="1" applyFill="1" applyBorder="1" applyAlignment="1" applyProtection="1">
      <alignment horizontal="left" vertical="center" wrapText="1"/>
      <protection hidden="1"/>
    </xf>
    <xf numFmtId="0" fontId="14" fillId="38" borderId="8" xfId="0" applyFont="1" applyFill="1" applyBorder="1" applyAlignment="1" applyProtection="1">
      <alignment horizontal="left" vertical="center" wrapText="1"/>
      <protection hidden="1"/>
    </xf>
    <xf numFmtId="0" fontId="14" fillId="38" borderId="0" xfId="0" applyFont="1" applyFill="1" applyBorder="1" applyAlignment="1" applyProtection="1">
      <alignment horizontal="left" vertical="center" wrapText="1"/>
      <protection hidden="1"/>
    </xf>
    <xf numFmtId="0" fontId="14" fillId="3" borderId="28" xfId="0" applyFont="1" applyFill="1" applyBorder="1" applyAlignment="1" applyProtection="1">
      <alignment horizontal="center" wrapText="1"/>
      <protection hidden="1"/>
    </xf>
    <xf numFmtId="0" fontId="14" fillId="3" borderId="17" xfId="0" applyFont="1" applyFill="1" applyBorder="1" applyAlignment="1" applyProtection="1">
      <alignment horizontal="center" wrapText="1"/>
      <protection hidden="1"/>
    </xf>
    <xf numFmtId="0" fontId="14" fillId="3" borderId="38" xfId="0" applyFont="1" applyFill="1" applyBorder="1" applyAlignment="1" applyProtection="1">
      <alignment horizontal="center" wrapText="1"/>
      <protection hidden="1"/>
    </xf>
    <xf numFmtId="0" fontId="14" fillId="38" borderId="15" xfId="0" applyFont="1" applyFill="1" applyBorder="1" applyAlignment="1" applyProtection="1">
      <alignment horizontal="left" vertical="center" wrapText="1"/>
      <protection hidden="1"/>
    </xf>
    <xf numFmtId="0" fontId="14" fillId="38" borderId="16" xfId="0" applyFont="1" applyFill="1" applyBorder="1" applyAlignment="1" applyProtection="1">
      <alignment horizontal="left" vertical="center" wrapText="1"/>
      <protection hidden="1"/>
    </xf>
    <xf numFmtId="0" fontId="22" fillId="41" borderId="101" xfId="0" applyFont="1" applyFill="1" applyBorder="1" applyAlignment="1" applyProtection="1">
      <alignment horizontal="left" vertical="center" wrapText="1"/>
      <protection hidden="1"/>
    </xf>
    <xf numFmtId="0" fontId="22" fillId="41" borderId="42" xfId="0" applyFont="1" applyFill="1" applyBorder="1" applyAlignment="1" applyProtection="1">
      <alignment horizontal="left" vertical="center" wrapText="1"/>
      <protection hidden="1"/>
    </xf>
    <xf numFmtId="0" fontId="22" fillId="41" borderId="1" xfId="0" applyFont="1" applyFill="1" applyBorder="1" applyAlignment="1" applyProtection="1">
      <alignment horizontal="left" vertical="center" wrapText="1"/>
      <protection hidden="1"/>
    </xf>
    <xf numFmtId="0" fontId="15" fillId="37" borderId="6" xfId="0" applyFont="1" applyFill="1" applyBorder="1" applyAlignment="1" applyProtection="1">
      <alignment horizontal="center" vertical="center" wrapText="1"/>
      <protection hidden="1"/>
    </xf>
    <xf numFmtId="0" fontId="15" fillId="37" borderId="40" xfId="0" applyFont="1" applyFill="1" applyBorder="1" applyAlignment="1" applyProtection="1">
      <alignment horizontal="center" vertical="center" wrapText="1"/>
      <protection hidden="1"/>
    </xf>
    <xf numFmtId="0" fontId="15" fillId="37" borderId="19" xfId="0" applyFont="1" applyFill="1" applyBorder="1" applyAlignment="1" applyProtection="1">
      <alignment horizontal="center" vertical="center" wrapText="1"/>
      <protection hidden="1"/>
    </xf>
    <xf numFmtId="0" fontId="15" fillId="37" borderId="15" xfId="0" applyFont="1" applyFill="1" applyBorder="1" applyAlignment="1" applyProtection="1">
      <alignment horizontal="center" vertical="center" wrapText="1"/>
      <protection hidden="1"/>
    </xf>
    <xf numFmtId="0" fontId="15" fillId="37" borderId="16" xfId="0" applyFont="1" applyFill="1" applyBorder="1" applyAlignment="1" applyProtection="1">
      <alignment horizontal="center" vertical="center" wrapText="1"/>
      <protection hidden="1"/>
    </xf>
    <xf numFmtId="0" fontId="15" fillId="37" borderId="30" xfId="0" applyFont="1" applyFill="1" applyBorder="1" applyAlignment="1" applyProtection="1">
      <alignment horizontal="center" vertical="center" wrapText="1"/>
      <protection hidden="1"/>
    </xf>
    <xf numFmtId="0" fontId="8" fillId="38" borderId="8" xfId="0" applyFont="1" applyFill="1" applyBorder="1" applyProtection="1">
      <protection hidden="1"/>
    </xf>
    <xf numFmtId="0" fontId="8" fillId="38" borderId="0" xfId="0" applyFont="1" applyFill="1" applyBorder="1" applyProtection="1">
      <protection hidden="1"/>
    </xf>
    <xf numFmtId="0" fontId="8" fillId="38" borderId="4" xfId="0" applyFont="1" applyFill="1" applyBorder="1" applyProtection="1">
      <protection hidden="1"/>
    </xf>
    <xf numFmtId="4" fontId="8" fillId="38" borderId="8" xfId="0" applyNumberFormat="1" applyFont="1" applyFill="1" applyBorder="1" applyProtection="1">
      <protection hidden="1"/>
    </xf>
    <xf numFmtId="4" fontId="8" fillId="38" borderId="0" xfId="0" applyNumberFormat="1" applyFont="1" applyFill="1" applyBorder="1" applyProtection="1">
      <protection hidden="1"/>
    </xf>
    <xf numFmtId="4" fontId="8" fillId="38" borderId="4" xfId="0" applyNumberFormat="1" applyFont="1" applyFill="1" applyBorder="1" applyProtection="1">
      <protection hidden="1"/>
    </xf>
    <xf numFmtId="4" fontId="8" fillId="38" borderId="15" xfId="0" applyNumberFormat="1" applyFont="1" applyFill="1" applyBorder="1" applyProtection="1">
      <protection hidden="1"/>
    </xf>
    <xf numFmtId="4" fontId="8" fillId="38" borderId="16" xfId="0" applyNumberFormat="1" applyFont="1" applyFill="1" applyBorder="1" applyProtection="1">
      <protection hidden="1"/>
    </xf>
    <xf numFmtId="4" fontId="8" fillId="38" borderId="29" xfId="0" applyNumberFormat="1" applyFont="1" applyFill="1" applyBorder="1" applyProtection="1">
      <protection hidden="1"/>
    </xf>
    <xf numFmtId="0" fontId="63" fillId="40" borderId="6" xfId="49" applyFont="1" applyFill="1" applyBorder="1" applyAlignment="1" applyProtection="1">
      <alignment horizontal="center" vertical="center" wrapText="1"/>
      <protection hidden="1"/>
    </xf>
    <xf numFmtId="0" fontId="63" fillId="40" borderId="40" xfId="49" applyFont="1" applyFill="1" applyBorder="1" applyAlignment="1" applyProtection="1">
      <alignment horizontal="center" vertical="center" wrapText="1"/>
      <protection hidden="1"/>
    </xf>
    <xf numFmtId="0" fontId="63" fillId="40" borderId="19" xfId="49" applyFont="1" applyFill="1" applyBorder="1" applyAlignment="1" applyProtection="1">
      <alignment horizontal="center" vertical="center" wrapText="1"/>
      <protection hidden="1"/>
    </xf>
    <xf numFmtId="0" fontId="63" fillId="40" borderId="15" xfId="49" applyFont="1" applyFill="1" applyBorder="1" applyAlignment="1" applyProtection="1">
      <alignment horizontal="center" vertical="center" wrapText="1"/>
      <protection hidden="1"/>
    </xf>
    <xf numFmtId="0" fontId="63" fillId="40" borderId="16" xfId="49" applyFont="1" applyFill="1" applyBorder="1" applyAlignment="1" applyProtection="1">
      <alignment horizontal="center" vertical="center" wrapText="1"/>
      <protection hidden="1"/>
    </xf>
    <xf numFmtId="0" fontId="63" fillId="40" borderId="30" xfId="49" applyFont="1" applyFill="1" applyBorder="1" applyAlignment="1" applyProtection="1">
      <alignment horizontal="center" vertical="center" wrapText="1"/>
      <protection hidden="1"/>
    </xf>
    <xf numFmtId="0" fontId="22" fillId="41" borderId="28" xfId="0" applyFont="1" applyFill="1" applyBorder="1" applyAlignment="1" applyProtection="1">
      <alignment horizontal="left" vertical="center" wrapText="1"/>
      <protection hidden="1"/>
    </xf>
    <xf numFmtId="0" fontId="22" fillId="41" borderId="17" xfId="0" applyFont="1" applyFill="1" applyBorder="1" applyAlignment="1" applyProtection="1">
      <alignment horizontal="left" vertical="center" wrapText="1"/>
      <protection hidden="1"/>
    </xf>
    <xf numFmtId="3" fontId="7" fillId="37" borderId="32" xfId="0" applyNumberFormat="1" applyFont="1" applyFill="1" applyBorder="1" applyAlignment="1" applyProtection="1">
      <alignment horizontal="right" vertical="center" wrapText="1" indent="1"/>
      <protection hidden="1"/>
    </xf>
    <xf numFmtId="3" fontId="7" fillId="37" borderId="41" xfId="0" applyNumberFormat="1" applyFont="1" applyFill="1" applyBorder="1" applyAlignment="1" applyProtection="1">
      <alignment horizontal="right" vertical="center" wrapText="1" indent="1"/>
      <protection hidden="1"/>
    </xf>
    <xf numFmtId="167" fontId="7" fillId="37" borderId="19" xfId="60" applyNumberFormat="1" applyFont="1" applyFill="1" applyBorder="1" applyAlignment="1" applyProtection="1">
      <alignment horizontal="right" vertical="center" wrapText="1" indent="1"/>
      <protection hidden="1"/>
    </xf>
    <xf numFmtId="167" fontId="7" fillId="37" borderId="9" xfId="60" applyNumberFormat="1" applyFont="1" applyFill="1" applyBorder="1" applyAlignment="1" applyProtection="1">
      <alignment horizontal="right" vertical="center" wrapText="1" indent="1"/>
      <protection hidden="1"/>
    </xf>
    <xf numFmtId="0" fontId="7" fillId="37" borderId="6" xfId="0" applyFont="1" applyFill="1" applyBorder="1" applyAlignment="1" applyProtection="1">
      <alignment horizontal="center" vertical="center" wrapText="1"/>
      <protection hidden="1"/>
    </xf>
    <xf numFmtId="0" fontId="7" fillId="37" borderId="40" xfId="0" applyFont="1" applyFill="1" applyBorder="1" applyAlignment="1" applyProtection="1">
      <alignment horizontal="center" vertical="center" wrapText="1"/>
      <protection hidden="1"/>
    </xf>
    <xf numFmtId="0" fontId="7" fillId="37" borderId="19" xfId="0" applyFont="1" applyFill="1" applyBorder="1" applyAlignment="1" applyProtection="1">
      <alignment horizontal="center" vertical="center" wrapText="1"/>
      <protection hidden="1"/>
    </xf>
    <xf numFmtId="0" fontId="7" fillId="37" borderId="8" xfId="0" applyFont="1" applyFill="1" applyBorder="1" applyAlignment="1" applyProtection="1">
      <alignment horizontal="center" vertical="center" wrapText="1"/>
      <protection hidden="1"/>
    </xf>
    <xf numFmtId="0" fontId="7" fillId="37" borderId="0" xfId="0" applyFont="1" applyFill="1" applyBorder="1" applyAlignment="1" applyProtection="1">
      <alignment horizontal="center" vertical="center" wrapText="1"/>
      <protection hidden="1"/>
    </xf>
    <xf numFmtId="0" fontId="14" fillId="37" borderId="15" xfId="0" applyFont="1" applyFill="1" applyBorder="1" applyAlignment="1" applyProtection="1">
      <alignment horizontal="left" vertical="center"/>
      <protection hidden="1"/>
    </xf>
    <xf numFmtId="0" fontId="14" fillId="37" borderId="16" xfId="0" applyFont="1" applyFill="1" applyBorder="1" applyAlignment="1" applyProtection="1">
      <alignment horizontal="left" vertical="center"/>
      <protection hidden="1"/>
    </xf>
    <xf numFmtId="0" fontId="14" fillId="37" borderId="30" xfId="0" applyFont="1" applyFill="1" applyBorder="1" applyAlignment="1" applyProtection="1">
      <alignment horizontal="left" vertical="center"/>
      <protection hidden="1"/>
    </xf>
    <xf numFmtId="4" fontId="8" fillId="38" borderId="53" xfId="0" applyNumberFormat="1" applyFont="1" applyFill="1" applyBorder="1" applyProtection="1">
      <protection hidden="1"/>
    </xf>
    <xf numFmtId="4" fontId="8" fillId="38" borderId="50" xfId="0" applyNumberFormat="1" applyFont="1" applyFill="1" applyBorder="1" applyProtection="1">
      <protection hidden="1"/>
    </xf>
    <xf numFmtId="4" fontId="8" fillId="38" borderId="51" xfId="0" applyNumberFormat="1" applyFont="1" applyFill="1" applyBorder="1" applyProtection="1">
      <protection hidden="1"/>
    </xf>
    <xf numFmtId="4" fontId="8" fillId="38" borderId="25" xfId="0" applyNumberFormat="1" applyFont="1" applyFill="1" applyBorder="1" applyProtection="1">
      <protection hidden="1"/>
    </xf>
    <xf numFmtId="4" fontId="8" fillId="38" borderId="43" xfId="0" applyNumberFormat="1" applyFont="1" applyFill="1" applyBorder="1" applyProtection="1">
      <protection hidden="1"/>
    </xf>
    <xf numFmtId="4" fontId="8" fillId="38" borderId="36" xfId="0" applyNumberFormat="1" applyFont="1" applyFill="1" applyBorder="1" applyProtection="1">
      <protection hidden="1"/>
    </xf>
    <xf numFmtId="0" fontId="17" fillId="2" borderId="107" xfId="0" applyFont="1" applyFill="1" applyBorder="1" applyAlignment="1" applyProtection="1">
      <alignment horizontal="center" vertical="center" wrapText="1"/>
      <protection hidden="1"/>
    </xf>
    <xf numFmtId="0" fontId="17" fillId="2" borderId="45" xfId="0" applyFont="1" applyFill="1" applyBorder="1" applyAlignment="1" applyProtection="1">
      <alignment horizontal="center" vertical="center" wrapText="1"/>
      <protection hidden="1"/>
    </xf>
    <xf numFmtId="0" fontId="8" fillId="0" borderId="21" xfId="0" applyFont="1" applyFill="1" applyBorder="1" applyAlignment="1" applyProtection="1">
      <alignment horizontal="center" vertical="center" wrapText="1"/>
      <protection hidden="1"/>
    </xf>
    <xf numFmtId="0" fontId="8" fillId="0" borderId="1" xfId="0" applyFont="1" applyFill="1" applyBorder="1" applyAlignment="1" applyProtection="1">
      <alignment horizontal="center" vertical="center" wrapText="1"/>
      <protection hidden="1"/>
    </xf>
    <xf numFmtId="0" fontId="8" fillId="0" borderId="48" xfId="0" applyFont="1" applyFill="1" applyBorder="1" applyAlignment="1" applyProtection="1">
      <alignment horizontal="center" vertical="center" wrapText="1"/>
      <protection hidden="1"/>
    </xf>
    <xf numFmtId="0" fontId="8" fillId="0" borderId="49" xfId="0" applyFont="1" applyFill="1" applyBorder="1" applyAlignment="1" applyProtection="1">
      <alignment horizontal="center" vertical="center" wrapText="1"/>
      <protection hidden="1"/>
    </xf>
    <xf numFmtId="4" fontId="8" fillId="36" borderId="7" xfId="53" applyNumberFormat="1" applyFont="1" applyFill="1" applyBorder="1" applyAlignment="1" applyProtection="1">
      <alignment horizontal="center" vertical="center" wrapText="1"/>
      <protection hidden="1"/>
    </xf>
    <xf numFmtId="4" fontId="8" fillId="36" borderId="5" xfId="53" applyNumberFormat="1" applyFont="1" applyFill="1" applyBorder="1" applyAlignment="1" applyProtection="1">
      <alignment horizontal="center" vertical="center" wrapText="1"/>
      <protection hidden="1"/>
    </xf>
    <xf numFmtId="4" fontId="4" fillId="36" borderId="21" xfId="96" applyNumberFormat="1" applyFont="1" applyFill="1" applyBorder="1" applyAlignment="1" applyProtection="1">
      <alignment horizontal="center" vertical="center" wrapText="1"/>
      <protection hidden="1"/>
    </xf>
    <xf numFmtId="4" fontId="4" fillId="36" borderId="1" xfId="96" applyNumberFormat="1" applyFont="1" applyFill="1" applyBorder="1" applyAlignment="1" applyProtection="1">
      <alignment horizontal="center" vertical="center" wrapText="1"/>
      <protection hidden="1"/>
    </xf>
    <xf numFmtId="4" fontId="4" fillId="36" borderId="7" xfId="96" applyNumberFormat="1" applyFont="1" applyFill="1" applyBorder="1" applyAlignment="1" applyProtection="1">
      <alignment horizontal="center" vertical="center" wrapText="1"/>
      <protection hidden="1"/>
    </xf>
    <xf numFmtId="4" fontId="4" fillId="36" borderId="5" xfId="96" applyNumberFormat="1" applyFont="1" applyFill="1" applyBorder="1" applyAlignment="1" applyProtection="1">
      <alignment horizontal="center" vertical="center" wrapText="1"/>
      <protection hidden="1"/>
    </xf>
    <xf numFmtId="0" fontId="8" fillId="0" borderId="18"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center" vertical="center" wrapText="1"/>
      <protection hidden="1"/>
    </xf>
    <xf numFmtId="0" fontId="8" fillId="0" borderId="9" xfId="0" applyFont="1" applyFill="1" applyBorder="1" applyAlignment="1" applyProtection="1">
      <alignment horizontal="center" vertical="center" wrapText="1"/>
      <protection hidden="1"/>
    </xf>
    <xf numFmtId="0" fontId="23" fillId="37" borderId="6" xfId="0" applyFont="1" applyFill="1" applyBorder="1" applyAlignment="1" applyProtection="1">
      <alignment horizontal="center" wrapText="1"/>
      <protection hidden="1"/>
    </xf>
    <xf numFmtId="0" fontId="23" fillId="37" borderId="40" xfId="0" applyFont="1" applyFill="1" applyBorder="1" applyAlignment="1" applyProtection="1">
      <alignment horizontal="center" wrapText="1"/>
      <protection hidden="1"/>
    </xf>
    <xf numFmtId="0" fontId="23" fillId="37" borderId="19" xfId="0" applyFont="1" applyFill="1" applyBorder="1" applyAlignment="1" applyProtection="1">
      <alignment horizontal="center" wrapText="1"/>
      <protection hidden="1"/>
    </xf>
    <xf numFmtId="0" fontId="23" fillId="37" borderId="15" xfId="0" applyFont="1" applyFill="1" applyBorder="1" applyAlignment="1" applyProtection="1">
      <alignment horizontal="center" wrapText="1"/>
      <protection hidden="1"/>
    </xf>
    <xf numFmtId="0" fontId="23" fillId="37" borderId="16" xfId="0" applyFont="1" applyFill="1" applyBorder="1" applyAlignment="1" applyProtection="1">
      <alignment horizontal="center" wrapText="1"/>
      <protection hidden="1"/>
    </xf>
    <xf numFmtId="0" fontId="23" fillId="37" borderId="30" xfId="0" applyFont="1" applyFill="1" applyBorder="1" applyAlignment="1" applyProtection="1">
      <alignment horizontal="center" wrapText="1"/>
      <protection hidden="1"/>
    </xf>
    <xf numFmtId="0" fontId="29" fillId="0" borderId="28" xfId="0" applyFont="1" applyBorder="1" applyAlignment="1" applyProtection="1">
      <alignment horizontal="left" vertical="center" wrapText="1"/>
      <protection hidden="1"/>
    </xf>
    <xf numFmtId="0" fontId="29" fillId="0" borderId="17" xfId="0" applyFont="1" applyBorder="1" applyAlignment="1" applyProtection="1">
      <alignment horizontal="left" vertical="center" wrapText="1"/>
      <protection hidden="1"/>
    </xf>
    <xf numFmtId="0" fontId="29" fillId="0" borderId="38" xfId="0" applyFont="1" applyBorder="1" applyAlignment="1" applyProtection="1">
      <alignment horizontal="left" vertical="center" wrapText="1"/>
      <protection hidden="1"/>
    </xf>
    <xf numFmtId="0" fontId="17" fillId="0" borderId="28" xfId="0" applyFont="1" applyBorder="1" applyAlignment="1" applyProtection="1">
      <alignment horizontal="center" vertical="center" wrapText="1"/>
      <protection hidden="1"/>
    </xf>
    <xf numFmtId="0" fontId="17" fillId="0" borderId="17" xfId="0" applyFont="1" applyBorder="1" applyAlignment="1" applyProtection="1">
      <alignment horizontal="center" vertical="center" wrapText="1"/>
      <protection hidden="1"/>
    </xf>
    <xf numFmtId="0" fontId="17" fillId="0" borderId="38" xfId="0" applyFont="1" applyBorder="1" applyAlignment="1" applyProtection="1">
      <alignment horizontal="center" vertical="center" wrapText="1"/>
      <protection hidden="1"/>
    </xf>
    <xf numFmtId="0" fontId="8" fillId="0" borderId="44" xfId="0" applyFont="1" applyBorder="1" applyAlignment="1" applyProtection="1">
      <alignment horizontal="center" vertical="center" wrapText="1"/>
      <protection hidden="1"/>
    </xf>
    <xf numFmtId="0" fontId="0" fillId="0" borderId="45" xfId="0" applyBorder="1" applyAlignment="1" applyProtection="1">
      <alignment horizontal="center" vertical="center" wrapText="1"/>
      <protection hidden="1"/>
    </xf>
    <xf numFmtId="0" fontId="8" fillId="0" borderId="45" xfId="0" applyFont="1" applyBorder="1" applyAlignment="1" applyProtection="1">
      <alignment horizontal="center" vertical="center" wrapText="1"/>
      <protection hidden="1"/>
    </xf>
    <xf numFmtId="0" fontId="4" fillId="0" borderId="100" xfId="0" applyFont="1" applyFill="1" applyBorder="1" applyAlignment="1" applyProtection="1">
      <alignment horizontal="center" vertical="center" wrapText="1"/>
      <protection hidden="1"/>
    </xf>
    <xf numFmtId="0" fontId="8" fillId="0" borderId="40" xfId="0" applyFont="1" applyFill="1" applyBorder="1" applyAlignment="1" applyProtection="1">
      <alignment horizontal="center" vertical="center" wrapText="1"/>
      <protection hidden="1"/>
    </xf>
    <xf numFmtId="0" fontId="8" fillId="0" borderId="19" xfId="0" applyFont="1" applyFill="1" applyBorder="1" applyAlignment="1" applyProtection="1">
      <alignment horizontal="center" vertical="center" wrapText="1"/>
      <protection hidden="1"/>
    </xf>
    <xf numFmtId="0" fontId="8" fillId="0" borderId="44" xfId="0" applyFont="1" applyFill="1" applyBorder="1" applyAlignment="1" applyProtection="1">
      <alignment horizontal="center" vertical="center" wrapText="1"/>
      <protection hidden="1"/>
    </xf>
    <xf numFmtId="0" fontId="8" fillId="0" borderId="45" xfId="0" applyFont="1" applyFill="1" applyBorder="1" applyAlignment="1" applyProtection="1">
      <alignment horizontal="center" vertical="center" wrapText="1"/>
      <protection hidden="1"/>
    </xf>
    <xf numFmtId="4" fontId="9" fillId="37" borderId="21" xfId="0" applyNumberFormat="1" applyFont="1" applyFill="1" applyBorder="1" applyAlignment="1" applyProtection="1">
      <alignment horizontal="center"/>
      <protection hidden="1"/>
    </xf>
    <xf numFmtId="4" fontId="9" fillId="37" borderId="42" xfId="0" applyNumberFormat="1" applyFont="1" applyFill="1" applyBorder="1" applyAlignment="1" applyProtection="1">
      <alignment horizontal="center"/>
      <protection hidden="1"/>
    </xf>
    <xf numFmtId="0" fontId="8" fillId="0" borderId="21" xfId="0"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8" fillId="0" borderId="2" xfId="0" applyFont="1" applyBorder="1" applyAlignment="1" applyProtection="1">
      <alignment horizontal="center" vertical="center" wrapText="1"/>
      <protection hidden="1"/>
    </xf>
    <xf numFmtId="49" fontId="8" fillId="0" borderId="48" xfId="0" applyNumberFormat="1" applyFont="1" applyFill="1" applyBorder="1" applyAlignment="1" applyProtection="1">
      <alignment horizontal="center" vertical="center" wrapText="1"/>
      <protection hidden="1"/>
    </xf>
    <xf numFmtId="0" fontId="0" fillId="0" borderId="49" xfId="0" applyBorder="1" applyAlignment="1" applyProtection="1">
      <alignment horizontal="center" vertical="center" wrapText="1"/>
      <protection hidden="1"/>
    </xf>
    <xf numFmtId="0" fontId="8" fillId="0" borderId="11" xfId="0" applyFont="1" applyBorder="1" applyAlignment="1" applyProtection="1">
      <alignment horizontal="center" vertical="center" wrapText="1"/>
      <protection hidden="1"/>
    </xf>
    <xf numFmtId="4" fontId="9" fillId="37" borderId="2" xfId="0" applyNumberFormat="1" applyFont="1" applyFill="1" applyBorder="1" applyAlignment="1" applyProtection="1">
      <alignment horizontal="center"/>
      <protection hidden="1"/>
    </xf>
    <xf numFmtId="0" fontId="8" fillId="0" borderId="106" xfId="0" applyFont="1" applyFill="1" applyBorder="1" applyAlignment="1" applyProtection="1">
      <alignment horizontal="center" vertical="center" wrapText="1"/>
      <protection hidden="1"/>
    </xf>
    <xf numFmtId="0" fontId="8" fillId="0" borderId="16" xfId="0" applyFont="1" applyFill="1" applyBorder="1" applyAlignment="1" applyProtection="1">
      <alignment horizontal="center" vertical="center" wrapText="1"/>
      <protection hidden="1"/>
    </xf>
    <xf numFmtId="0" fontId="8" fillId="0" borderId="30" xfId="0" applyFont="1" applyFill="1" applyBorder="1" applyAlignment="1" applyProtection="1">
      <alignment horizontal="center" vertical="center" wrapText="1"/>
      <protection hidden="1"/>
    </xf>
    <xf numFmtId="0" fontId="0" fillId="37" borderId="2" xfId="0" applyFill="1" applyBorder="1" applyAlignment="1" applyProtection="1">
      <protection hidden="1"/>
    </xf>
    <xf numFmtId="4" fontId="9" fillId="37" borderId="1" xfId="0" applyNumberFormat="1" applyFont="1" applyFill="1" applyBorder="1" applyAlignment="1" applyProtection="1">
      <alignment horizontal="center"/>
      <protection hidden="1"/>
    </xf>
    <xf numFmtId="4" fontId="4" fillId="36" borderId="21" xfId="53" applyNumberFormat="1" applyFont="1" applyFill="1" applyBorder="1" applyAlignment="1" applyProtection="1">
      <alignment horizontal="center" vertical="center" wrapText="1"/>
      <protection hidden="1"/>
    </xf>
    <xf numFmtId="4" fontId="8" fillId="36" borderId="42" xfId="53" applyNumberFormat="1" applyFont="1" applyFill="1" applyBorder="1" applyAlignment="1" applyProtection="1">
      <alignment horizontal="center" vertical="center" wrapText="1"/>
      <protection hidden="1"/>
    </xf>
    <xf numFmtId="4" fontId="8" fillId="36" borderId="1" xfId="53" applyNumberFormat="1" applyFont="1" applyFill="1" applyBorder="1" applyAlignment="1" applyProtection="1">
      <alignment horizontal="center" vertical="center" wrapText="1"/>
      <protection hidden="1"/>
    </xf>
    <xf numFmtId="0" fontId="8" fillId="0" borderId="2" xfId="0" applyFont="1" applyFill="1" applyBorder="1" applyAlignment="1" applyProtection="1">
      <alignment horizontal="center" vertical="center" wrapText="1"/>
      <protection hidden="1"/>
    </xf>
    <xf numFmtId="0" fontId="8" fillId="0" borderId="23" xfId="0" applyFont="1" applyFill="1" applyBorder="1" applyAlignment="1" applyProtection="1">
      <alignment horizontal="center" vertical="center" wrapText="1"/>
      <protection hidden="1"/>
    </xf>
    <xf numFmtId="0" fontId="8" fillId="0" borderId="11" xfId="0" applyFont="1" applyFill="1" applyBorder="1" applyAlignment="1" applyProtection="1">
      <alignment horizontal="center" vertical="center" wrapText="1"/>
      <protection hidden="1"/>
    </xf>
    <xf numFmtId="0" fontId="8" fillId="0" borderId="47" xfId="0" applyFont="1" applyFill="1" applyBorder="1" applyAlignment="1" applyProtection="1">
      <alignment horizontal="center" vertical="center" wrapText="1"/>
      <protection hidden="1"/>
    </xf>
    <xf numFmtId="0" fontId="8" fillId="0" borderId="46" xfId="0" applyFont="1" applyFill="1" applyBorder="1" applyAlignment="1" applyProtection="1">
      <alignment horizontal="center" vertical="center" wrapText="1"/>
      <protection hidden="1"/>
    </xf>
    <xf numFmtId="0" fontId="14" fillId="38" borderId="4" xfId="0" applyFont="1" applyFill="1" applyBorder="1" applyAlignment="1" applyProtection="1">
      <alignment horizontal="left" vertical="center" wrapText="1"/>
      <protection hidden="1"/>
    </xf>
    <xf numFmtId="0" fontId="14" fillId="38" borderId="8" xfId="0" applyFont="1" applyFill="1" applyBorder="1" applyAlignment="1" applyProtection="1">
      <alignment vertical="center" wrapText="1"/>
      <protection hidden="1"/>
    </xf>
    <xf numFmtId="0" fontId="14" fillId="38" borderId="0" xfId="0" applyFont="1" applyFill="1" applyBorder="1" applyAlignment="1" applyProtection="1">
      <alignment vertical="center" wrapText="1"/>
      <protection hidden="1"/>
    </xf>
    <xf numFmtId="0" fontId="14" fillId="38" borderId="4" xfId="0" applyFont="1" applyFill="1" applyBorder="1" applyAlignment="1" applyProtection="1">
      <alignment vertical="center" wrapText="1"/>
      <protection hidden="1"/>
    </xf>
    <xf numFmtId="0" fontId="14" fillId="38" borderId="29" xfId="0" applyFont="1" applyFill="1" applyBorder="1" applyAlignment="1" applyProtection="1">
      <alignment horizontal="left" vertical="center" wrapText="1"/>
      <protection hidden="1"/>
    </xf>
    <xf numFmtId="0" fontId="22" fillId="41" borderId="28" xfId="0" applyFont="1" applyFill="1" applyBorder="1" applyAlignment="1" applyProtection="1">
      <alignment horizontal="center" vertical="center" wrapText="1"/>
      <protection hidden="1"/>
    </xf>
    <xf numFmtId="0" fontId="22" fillId="41" borderId="17" xfId="0" applyFont="1" applyFill="1" applyBorder="1" applyAlignment="1" applyProtection="1">
      <alignment horizontal="center" vertical="center" wrapText="1"/>
      <protection hidden="1"/>
    </xf>
    <xf numFmtId="0" fontId="14" fillId="38" borderId="6" xfId="0" applyFont="1" applyFill="1" applyBorder="1" applyAlignment="1" applyProtection="1">
      <alignment horizontal="left" vertical="center" wrapText="1"/>
      <protection hidden="1"/>
    </xf>
    <xf numFmtId="0" fontId="14" fillId="38" borderId="40" xfId="0" applyFont="1" applyFill="1" applyBorder="1" applyAlignment="1" applyProtection="1">
      <alignment horizontal="left" vertical="center" wrapText="1"/>
      <protection hidden="1"/>
    </xf>
    <xf numFmtId="0" fontId="14" fillId="38" borderId="35" xfId="0" applyFont="1" applyFill="1" applyBorder="1" applyAlignment="1" applyProtection="1">
      <alignment horizontal="left" vertical="center" wrapText="1"/>
      <protection hidden="1"/>
    </xf>
    <xf numFmtId="0" fontId="14" fillId="38" borderId="100" xfId="0" applyFont="1" applyFill="1" applyBorder="1" applyAlignment="1" applyProtection="1">
      <alignment horizontal="left" vertical="center" wrapText="1"/>
      <protection hidden="1"/>
    </xf>
    <xf numFmtId="0" fontId="17" fillId="0" borderId="6" xfId="0" applyFont="1" applyFill="1" applyBorder="1" applyAlignment="1" applyProtection="1">
      <alignment horizontal="center" vertical="center" wrapText="1"/>
      <protection hidden="1"/>
    </xf>
    <xf numFmtId="0" fontId="17" fillId="0" borderId="19" xfId="0" applyFont="1" applyFill="1" applyBorder="1" applyAlignment="1" applyProtection="1">
      <alignment horizontal="center" vertical="center" wrapText="1"/>
      <protection hidden="1"/>
    </xf>
    <xf numFmtId="0" fontId="59" fillId="39" borderId="63" xfId="0" applyFont="1" applyFill="1" applyBorder="1" applyAlignment="1" applyProtection="1">
      <alignment horizontal="center" vertical="center" wrapText="1"/>
      <protection hidden="1"/>
    </xf>
    <xf numFmtId="0" fontId="59" fillId="39" borderId="64" xfId="0" applyFont="1" applyFill="1" applyBorder="1" applyAlignment="1" applyProtection="1">
      <alignment horizontal="center" vertical="center" wrapText="1"/>
      <protection hidden="1"/>
    </xf>
    <xf numFmtId="0" fontId="59" fillId="39" borderId="65" xfId="0" applyFont="1" applyFill="1" applyBorder="1" applyAlignment="1" applyProtection="1">
      <alignment horizontal="center" vertical="center" wrapText="1"/>
      <protection hidden="1"/>
    </xf>
    <xf numFmtId="0" fontId="59" fillId="39" borderId="66" xfId="0" applyFont="1" applyFill="1" applyBorder="1" applyAlignment="1" applyProtection="1">
      <alignment horizontal="center" vertical="center" wrapText="1"/>
      <protection hidden="1"/>
    </xf>
    <xf numFmtId="0" fontId="59" fillId="39" borderId="67" xfId="0" applyFont="1" applyFill="1" applyBorder="1" applyAlignment="1" applyProtection="1">
      <alignment horizontal="center" vertical="center" wrapText="1"/>
      <protection hidden="1"/>
    </xf>
    <xf numFmtId="0" fontId="59" fillId="39" borderId="68" xfId="0" applyFont="1" applyFill="1" applyBorder="1" applyAlignment="1" applyProtection="1">
      <alignment horizontal="center" vertical="center" wrapText="1"/>
      <protection hidden="1"/>
    </xf>
    <xf numFmtId="0" fontId="13" fillId="37" borderId="28" xfId="0" applyFont="1" applyFill="1" applyBorder="1" applyAlignment="1" applyProtection="1">
      <alignment horizontal="center" wrapText="1"/>
      <protection hidden="1"/>
    </xf>
    <xf numFmtId="0" fontId="13" fillId="37" borderId="17" xfId="0" applyFont="1" applyFill="1" applyBorder="1" applyAlignment="1" applyProtection="1">
      <alignment horizontal="center" wrapText="1"/>
      <protection hidden="1"/>
    </xf>
    <xf numFmtId="0" fontId="13" fillId="37" borderId="38" xfId="0" applyFont="1" applyFill="1" applyBorder="1" applyAlignment="1" applyProtection="1">
      <alignment horizontal="center" wrapText="1"/>
      <protection hidden="1"/>
    </xf>
    <xf numFmtId="0" fontId="17" fillId="0" borderId="8" xfId="0" applyFont="1" applyFill="1" applyBorder="1" applyAlignment="1" applyProtection="1">
      <alignment horizontal="center" vertical="center" wrapText="1"/>
      <protection hidden="1"/>
    </xf>
    <xf numFmtId="0" fontId="17" fillId="0" borderId="0" xfId="0" applyFont="1" applyFill="1" applyBorder="1" applyAlignment="1" applyProtection="1">
      <alignment horizontal="center" vertical="center" wrapText="1"/>
      <protection hidden="1"/>
    </xf>
    <xf numFmtId="0" fontId="17" fillId="0" borderId="9" xfId="0" applyFont="1" applyFill="1" applyBorder="1" applyAlignment="1" applyProtection="1">
      <alignment horizontal="center" vertical="center" wrapText="1"/>
      <protection hidden="1"/>
    </xf>
    <xf numFmtId="168" fontId="26" fillId="0" borderId="28" xfId="0" applyNumberFormat="1" applyFont="1" applyBorder="1" applyAlignment="1" applyProtection="1">
      <alignment horizontal="center" vertical="center" wrapText="1"/>
      <protection hidden="1"/>
    </xf>
    <xf numFmtId="168" fontId="26" fillId="0" borderId="17" xfId="0" applyNumberFormat="1" applyFont="1" applyBorder="1" applyAlignment="1" applyProtection="1">
      <alignment horizontal="center" vertical="center" wrapText="1"/>
      <protection hidden="1"/>
    </xf>
    <xf numFmtId="168" fontId="26" fillId="0" borderId="38" xfId="0" applyNumberFormat="1" applyFont="1" applyBorder="1" applyAlignment="1" applyProtection="1">
      <alignment horizontal="center" vertical="center" wrapText="1"/>
      <protection hidden="1"/>
    </xf>
    <xf numFmtId="4" fontId="32" fillId="0" borderId="28" xfId="0" applyNumberFormat="1" applyFont="1" applyFill="1" applyBorder="1" applyAlignment="1" applyProtection="1">
      <alignment horizontal="center" vertical="center" wrapText="1"/>
      <protection hidden="1"/>
    </xf>
    <xf numFmtId="4" fontId="32" fillId="0" borderId="17" xfId="0" applyNumberFormat="1" applyFont="1" applyFill="1" applyBorder="1" applyAlignment="1" applyProtection="1">
      <alignment horizontal="center" vertical="center" wrapText="1"/>
      <protection hidden="1"/>
    </xf>
    <xf numFmtId="4" fontId="32" fillId="0" borderId="38" xfId="0" applyNumberFormat="1" applyFont="1" applyFill="1" applyBorder="1" applyAlignment="1" applyProtection="1">
      <alignment horizontal="center" vertical="center" wrapText="1"/>
      <protection hidden="1"/>
    </xf>
    <xf numFmtId="49" fontId="14" fillId="38" borderId="4" xfId="0" applyNumberFormat="1" applyFont="1" applyFill="1" applyBorder="1" applyAlignment="1" applyProtection="1">
      <alignment horizontal="left" vertical="center" wrapText="1"/>
      <protection hidden="1"/>
    </xf>
    <xf numFmtId="0" fontId="15" fillId="42" borderId="15" xfId="0" applyFont="1" applyFill="1" applyBorder="1" applyAlignment="1" applyProtection="1">
      <alignment horizontal="center" vertical="center" wrapText="1"/>
      <protection hidden="1"/>
    </xf>
    <xf numFmtId="0" fontId="15" fillId="42" borderId="16" xfId="0" applyFont="1" applyFill="1" applyBorder="1" applyAlignment="1" applyProtection="1">
      <alignment horizontal="center" vertical="center" wrapText="1"/>
      <protection hidden="1"/>
    </xf>
    <xf numFmtId="0" fontId="15" fillId="42" borderId="30" xfId="0" applyFont="1" applyFill="1" applyBorder="1" applyAlignment="1" applyProtection="1">
      <alignment horizontal="center" vertical="center" wrapText="1"/>
      <protection hidden="1"/>
    </xf>
    <xf numFmtId="0" fontId="15" fillId="42" borderId="28" xfId="0" applyFont="1" applyFill="1" applyBorder="1" applyAlignment="1" applyProtection="1">
      <alignment horizontal="center" vertical="center" wrapText="1"/>
      <protection hidden="1"/>
    </xf>
    <xf numFmtId="0" fontId="15" fillId="42" borderId="17" xfId="0" applyFont="1" applyFill="1" applyBorder="1" applyAlignment="1" applyProtection="1">
      <alignment horizontal="center" vertical="center" wrapText="1"/>
      <protection hidden="1"/>
    </xf>
    <xf numFmtId="0" fontId="15" fillId="42" borderId="38" xfId="0" applyFont="1" applyFill="1" applyBorder="1" applyAlignment="1" applyProtection="1">
      <alignment horizontal="center" vertical="center" wrapText="1"/>
      <protection hidden="1"/>
    </xf>
    <xf numFmtId="0" fontId="17" fillId="2" borderId="8" xfId="0" applyFont="1" applyFill="1" applyBorder="1" applyAlignment="1" applyProtection="1">
      <alignment horizontal="center" vertical="center" wrapText="1"/>
      <protection hidden="1"/>
    </xf>
    <xf numFmtId="0" fontId="17" fillId="2" borderId="9" xfId="0" applyFont="1" applyFill="1" applyBorder="1" applyAlignment="1" applyProtection="1">
      <alignment horizontal="center" vertical="center" wrapText="1"/>
      <protection hidden="1"/>
    </xf>
    <xf numFmtId="0" fontId="17" fillId="2" borderId="15" xfId="0" applyFont="1" applyFill="1" applyBorder="1" applyAlignment="1" applyProtection="1">
      <alignment horizontal="center" vertical="center" wrapText="1"/>
      <protection hidden="1"/>
    </xf>
    <xf numFmtId="0" fontId="17" fillId="2" borderId="30" xfId="0" applyFont="1" applyFill="1" applyBorder="1" applyAlignment="1" applyProtection="1">
      <alignment horizontal="center" vertical="center" wrapText="1"/>
      <protection hidden="1"/>
    </xf>
    <xf numFmtId="0" fontId="14" fillId="38" borderId="99" xfId="0" applyFont="1" applyFill="1" applyBorder="1" applyAlignment="1" applyProtection="1">
      <alignment horizontal="left" vertical="center" wrapText="1"/>
      <protection hidden="1"/>
    </xf>
    <xf numFmtId="0" fontId="14" fillId="38" borderId="34" xfId="0" applyFont="1" applyFill="1" applyBorder="1" applyAlignment="1" applyProtection="1">
      <alignment horizontal="left" vertical="center" wrapText="1"/>
      <protection hidden="1"/>
    </xf>
    <xf numFmtId="0" fontId="22" fillId="41" borderId="25" xfId="0" applyFont="1" applyFill="1" applyBorder="1" applyAlignment="1" applyProtection="1">
      <alignment horizontal="center" vertical="center" wrapText="1"/>
      <protection hidden="1"/>
    </xf>
    <xf numFmtId="0" fontId="22" fillId="41" borderId="43" xfId="0" applyFont="1" applyFill="1" applyBorder="1" applyAlignment="1" applyProtection="1">
      <alignment horizontal="center" vertical="center" wrapText="1"/>
      <protection hidden="1"/>
    </xf>
    <xf numFmtId="0" fontId="22" fillId="41" borderId="103" xfId="0" applyFont="1" applyFill="1" applyBorder="1" applyAlignment="1" applyProtection="1">
      <alignment horizontal="center" vertical="center" wrapText="1"/>
      <protection hidden="1"/>
    </xf>
    <xf numFmtId="0" fontId="22" fillId="41" borderId="52" xfId="0" applyFont="1" applyFill="1" applyBorder="1" applyAlignment="1" applyProtection="1">
      <alignment horizontal="center" vertical="center" wrapText="1"/>
      <protection hidden="1"/>
    </xf>
    <xf numFmtId="0" fontId="58" fillId="39" borderId="0" xfId="0" applyFont="1" applyFill="1" applyBorder="1" applyAlignment="1" applyProtection="1">
      <alignment horizontal="center" vertical="center"/>
      <protection hidden="1"/>
    </xf>
    <xf numFmtId="0" fontId="22" fillId="41" borderId="38" xfId="0" applyFont="1" applyFill="1" applyBorder="1" applyAlignment="1" applyProtection="1">
      <alignment horizontal="center" vertical="center" wrapText="1"/>
      <protection hidden="1"/>
    </xf>
    <xf numFmtId="37" fontId="22" fillId="41" borderId="28" xfId="28" applyNumberFormat="1" applyFont="1" applyFill="1" applyBorder="1" applyAlignment="1" applyProtection="1">
      <alignment horizontal="center" vertical="center" wrapText="1"/>
      <protection hidden="1"/>
    </xf>
    <xf numFmtId="37" fontId="22" fillId="41" borderId="17" xfId="28" applyNumberFormat="1" applyFont="1" applyFill="1" applyBorder="1" applyAlignment="1" applyProtection="1">
      <alignment horizontal="center" vertical="center" wrapText="1"/>
      <protection hidden="1"/>
    </xf>
    <xf numFmtId="37" fontId="22" fillId="41" borderId="38" xfId="28" applyNumberFormat="1" applyFont="1" applyFill="1" applyBorder="1" applyAlignment="1" applyProtection="1">
      <alignment horizontal="center" vertical="center" wrapText="1"/>
      <protection hidden="1"/>
    </xf>
    <xf numFmtId="0" fontId="14" fillId="38" borderId="24" xfId="0" applyFont="1" applyFill="1" applyBorder="1" applyAlignment="1" applyProtection="1">
      <alignment horizontal="left" vertical="center" wrapText="1"/>
      <protection hidden="1"/>
    </xf>
    <xf numFmtId="0" fontId="14" fillId="38" borderId="3" xfId="0" applyFont="1" applyFill="1" applyBorder="1" applyAlignment="1" applyProtection="1">
      <alignment horizontal="left" vertical="center" wrapText="1"/>
      <protection hidden="1"/>
    </xf>
    <xf numFmtId="0" fontId="14" fillId="38" borderId="18" xfId="0" applyFont="1" applyFill="1" applyBorder="1" applyAlignment="1" applyProtection="1">
      <alignment horizontal="left" vertical="center" wrapText="1"/>
      <protection hidden="1"/>
    </xf>
    <xf numFmtId="0" fontId="14" fillId="38" borderId="106" xfId="0" applyFont="1" applyFill="1" applyBorder="1" applyAlignment="1" applyProtection="1">
      <alignment horizontal="left" vertical="center" wrapText="1"/>
      <protection hidden="1"/>
    </xf>
    <xf numFmtId="0" fontId="13" fillId="37" borderId="21" xfId="0" applyFont="1" applyFill="1" applyBorder="1" applyAlignment="1" applyProtection="1">
      <alignment horizontal="center"/>
      <protection hidden="1"/>
    </xf>
    <xf numFmtId="0" fontId="13" fillId="37" borderId="42" xfId="0" applyFont="1" applyFill="1" applyBorder="1" applyAlignment="1" applyProtection="1">
      <alignment horizontal="center"/>
      <protection hidden="1"/>
    </xf>
    <xf numFmtId="0" fontId="13" fillId="37" borderId="1" xfId="0" applyFont="1" applyFill="1" applyBorder="1" applyAlignment="1" applyProtection="1">
      <alignment horizontal="center"/>
      <protection hidden="1"/>
    </xf>
    <xf numFmtId="0" fontId="9" fillId="40" borderId="21" xfId="53" applyFont="1" applyFill="1" applyBorder="1" applyAlignment="1" applyProtection="1">
      <alignment horizontal="center"/>
      <protection hidden="1"/>
    </xf>
    <xf numFmtId="0" fontId="9" fillId="40" borderId="1" xfId="53" applyFont="1" applyFill="1" applyBorder="1" applyAlignment="1" applyProtection="1">
      <alignment horizontal="center"/>
      <protection hidden="1"/>
    </xf>
    <xf numFmtId="0" fontId="9" fillId="40" borderId="21" xfId="0" applyFont="1" applyFill="1" applyBorder="1" applyAlignment="1" applyProtection="1">
      <alignment horizontal="center"/>
      <protection hidden="1"/>
    </xf>
    <xf numFmtId="0" fontId="9" fillId="40" borderId="42" xfId="0" applyFont="1" applyFill="1" applyBorder="1" applyAlignment="1" applyProtection="1">
      <alignment horizontal="center"/>
      <protection hidden="1"/>
    </xf>
    <xf numFmtId="0" fontId="9" fillId="40" borderId="1" xfId="0" applyFont="1" applyFill="1" applyBorder="1" applyAlignment="1" applyProtection="1">
      <alignment horizontal="center"/>
      <protection hidden="1"/>
    </xf>
    <xf numFmtId="0" fontId="9" fillId="40" borderId="2" xfId="53" applyFont="1" applyFill="1" applyBorder="1" applyAlignment="1" applyProtection="1">
      <alignment horizontal="center"/>
      <protection hidden="1"/>
    </xf>
  </cellXfs>
  <cellStyles count="139">
    <cellStyle name="20% - Accent1" xfId="1" builtinId="30" customBuiltin="1"/>
    <cellStyle name="20% - Accent1 2" xfId="70"/>
    <cellStyle name="20% - Accent1 3" xfId="107"/>
    <cellStyle name="20% - Accent1 4" xfId="125"/>
    <cellStyle name="20% - Accent2" xfId="2" builtinId="34" customBuiltin="1"/>
    <cellStyle name="20% - Accent2 2" xfId="71"/>
    <cellStyle name="20% - Accent2 3" xfId="108"/>
    <cellStyle name="20% - Accent2 4" xfId="127"/>
    <cellStyle name="20% - Accent3" xfId="3" builtinId="38" customBuiltin="1"/>
    <cellStyle name="20% - Accent3 2" xfId="72"/>
    <cellStyle name="20% - Accent3 3" xfId="109"/>
    <cellStyle name="20% - Accent3 4" xfId="129"/>
    <cellStyle name="20% - Accent4" xfId="4" builtinId="42" customBuiltin="1"/>
    <cellStyle name="20% - Accent4 2" xfId="73"/>
    <cellStyle name="20% - Accent4 3" xfId="110"/>
    <cellStyle name="20% - Accent4 4" xfId="131"/>
    <cellStyle name="20% - Accent5" xfId="5" builtinId="46" customBuiltin="1"/>
    <cellStyle name="20% - Accent5 2" xfId="74"/>
    <cellStyle name="20% - Accent5 3" xfId="111"/>
    <cellStyle name="20% - Accent5 4" xfId="133"/>
    <cellStyle name="20% - Accent6" xfId="6" builtinId="50" customBuiltin="1"/>
    <cellStyle name="20% - Accent6 2" xfId="75"/>
    <cellStyle name="20% - Accent6 3" xfId="112"/>
    <cellStyle name="20% - Accent6 4" xfId="135"/>
    <cellStyle name="40% - Accent1" xfId="7" builtinId="31" customBuiltin="1"/>
    <cellStyle name="40% - Accent1 2" xfId="76"/>
    <cellStyle name="40% - Accent1 3" xfId="113"/>
    <cellStyle name="40% - Accent1 4" xfId="126"/>
    <cellStyle name="40% - Accent2" xfId="8" builtinId="35" customBuiltin="1"/>
    <cellStyle name="40% - Accent2 2" xfId="77"/>
    <cellStyle name="40% - Accent2 3" xfId="114"/>
    <cellStyle name="40% - Accent2 4" xfId="128"/>
    <cellStyle name="40% - Accent3" xfId="9" builtinId="39" customBuiltin="1"/>
    <cellStyle name="40% - Accent3 2" xfId="78"/>
    <cellStyle name="40% - Accent3 3" xfId="115"/>
    <cellStyle name="40% - Accent3 4" xfId="130"/>
    <cellStyle name="40% - Accent4" xfId="10" builtinId="43" customBuiltin="1"/>
    <cellStyle name="40% - Accent4 2" xfId="79"/>
    <cellStyle name="40% - Accent4 3" xfId="116"/>
    <cellStyle name="40% - Accent4 4" xfId="132"/>
    <cellStyle name="40% - Accent5" xfId="11" builtinId="47" customBuiltin="1"/>
    <cellStyle name="40% - Accent5 2" xfId="80"/>
    <cellStyle name="40% - Accent5 3" xfId="117"/>
    <cellStyle name="40% - Accent5 4" xfId="134"/>
    <cellStyle name="40% - Accent6" xfId="12" builtinId="51" customBuiltin="1"/>
    <cellStyle name="40% - Accent6 2" xfId="81"/>
    <cellStyle name="40% - Accent6 3" xfId="118"/>
    <cellStyle name="40% - Accent6 4" xfId="136"/>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83"/>
    <cellStyle name="Comma 2 3" xfId="31"/>
    <cellStyle name="Comma 2 3 2" xfId="84"/>
    <cellStyle name="Comma 2 4" xfId="82"/>
    <cellStyle name="Comma 3" xfId="32"/>
    <cellStyle name="Comma 3 2" xfId="33"/>
    <cellStyle name="Comma 3 2 2" xfId="86"/>
    <cellStyle name="Comma 3 3" xfId="85"/>
    <cellStyle name="Comma 4" xfId="34"/>
    <cellStyle name="Comma 4 2" xfId="87"/>
    <cellStyle name="Comma 5" xfId="35"/>
    <cellStyle name="Comma 5 2" xfId="88"/>
    <cellStyle name="Comma 6" xfId="36"/>
    <cellStyle name="Comma 6 2" xfId="89"/>
    <cellStyle name="Comma 7" xfId="37"/>
    <cellStyle name="Comma 7 2" xfId="90"/>
    <cellStyle name="Comma 8" xfId="38"/>
    <cellStyle name="Comma 8 2" xfId="91"/>
    <cellStyle name="Comma 8 3" xfId="119"/>
    <cellStyle name="Currency 2" xfId="39"/>
    <cellStyle name="Currency 2 2" xfId="40"/>
    <cellStyle name="Currency 2 2 2" xfId="93"/>
    <cellStyle name="Currency 2 3" xfId="92"/>
    <cellStyle name="Currency 3" xfId="41"/>
    <cellStyle name="Currency 3 2" xfId="42"/>
    <cellStyle name="Currency 3 2 2" xfId="95"/>
    <cellStyle name="Currency 3 3" xfId="94"/>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2 2 2" xfId="97"/>
    <cellStyle name="Normal 2 2 3" xfId="120"/>
    <cellStyle name="Normal 2 3" xfId="96"/>
    <cellStyle name="Normal 3" xfId="55"/>
    <cellStyle name="Normal 3 2" xfId="98"/>
    <cellStyle name="Normal 3 3" xfId="121"/>
    <cellStyle name="Normal 4" xfId="69"/>
    <cellStyle name="Normal 5" xfId="123"/>
    <cellStyle name="Note 2" xfId="56"/>
    <cellStyle name="Note 2 2" xfId="99"/>
    <cellStyle name="Note 2 3" xfId="122"/>
    <cellStyle name="Note 3" xfId="124"/>
    <cellStyle name="Output" xfId="57" builtinId="21" customBuiltin="1"/>
    <cellStyle name="Percent" xfId="58" builtinId="5"/>
    <cellStyle name="Percent 2" xfId="59"/>
    <cellStyle name="Percent 2 2" xfId="60"/>
    <cellStyle name="Percent 2 2 2" xfId="101"/>
    <cellStyle name="Percent 2 3" xfId="100"/>
    <cellStyle name="Percent 3" xfId="61"/>
    <cellStyle name="Percent 3 2" xfId="62"/>
    <cellStyle name="Percent 3 2 2" xfId="103"/>
    <cellStyle name="Percent 3 3" xfId="102"/>
    <cellStyle name="Percent 4" xfId="63"/>
    <cellStyle name="Percent 4 2" xfId="104"/>
    <cellStyle name="Percent 5" xfId="64"/>
    <cellStyle name="Percent 5 2" xfId="105"/>
    <cellStyle name="Percent 6" xfId="65"/>
    <cellStyle name="Percent 6 2" xfId="106"/>
    <cellStyle name="Title" xfId="66" builtinId="15" customBuiltin="1"/>
    <cellStyle name="Total" xfId="67" builtinId="25" customBuiltin="1"/>
    <cellStyle name="Warning Text" xfId="68" builtinId="11" customBuiltin="1"/>
  </cellStyles>
  <dxfs count="439">
    <dxf>
      <numFmt numFmtId="172" formatCode="m/d/yyyy\ h:mm"/>
    </dxf>
    <dxf>
      <font>
        <color rgb="FF9C0006"/>
      </font>
      <fill>
        <patternFill>
          <bgColor rgb="FFFFC7CE"/>
        </patternFill>
      </fill>
    </dxf>
    <dxf>
      <font>
        <color rgb="FF9C0006"/>
      </font>
      <fill>
        <patternFill>
          <bgColor rgb="FFFFC7CE"/>
        </patternFill>
      </fill>
    </dxf>
    <dxf>
      <font>
        <color rgb="FF9C0006"/>
      </font>
      <fill>
        <patternFill>
          <bgColor rgb="FFFFC7CE"/>
        </patternFill>
      </fill>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73" formatCode="m/d/yyyy"/>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8</xdr:row>
      <xdr:rowOff>152400</xdr:rowOff>
    </xdr:from>
    <xdr:to>
      <xdr:col>6</xdr:col>
      <xdr:colOff>304800</xdr:colOff>
      <xdr:row>39</xdr:row>
      <xdr:rowOff>85725</xdr:rowOff>
    </xdr:to>
    <xdr:pic>
      <xdr:nvPicPr>
        <xdr:cNvPr id="40225"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2009775"/>
          <a:ext cx="3876675" cy="495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504825</xdr:colOff>
      <xdr:row>16</xdr:row>
      <xdr:rowOff>105834</xdr:rowOff>
    </xdr:from>
    <xdr:to>
      <xdr:col>7</xdr:col>
      <xdr:colOff>202142</xdr:colOff>
      <xdr:row>16</xdr:row>
      <xdr:rowOff>151111</xdr:rowOff>
    </xdr:to>
    <xdr:cxnSp macro="">
      <xdr:nvCxnSpPr>
        <xdr:cNvPr id="11" name="Straight Arrow Connector 10"/>
        <xdr:cNvCxnSpPr/>
      </xdr:nvCxnSpPr>
      <xdr:spPr>
        <a:xfrm flipV="1">
          <a:off x="1128183" y="3164417"/>
          <a:ext cx="3380317" cy="46570"/>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514350</xdr:colOff>
      <xdr:row>19</xdr:row>
      <xdr:rowOff>66675</xdr:rowOff>
    </xdr:from>
    <xdr:to>
      <xdr:col>7</xdr:col>
      <xdr:colOff>199190</xdr:colOff>
      <xdr:row>23</xdr:row>
      <xdr:rowOff>51016</xdr:rowOff>
    </xdr:to>
    <xdr:cxnSp macro="">
      <xdr:nvCxnSpPr>
        <xdr:cNvPr id="13" name="Straight Arrow Connector 12"/>
        <xdr:cNvCxnSpPr/>
      </xdr:nvCxnSpPr>
      <xdr:spPr>
        <a:xfrm>
          <a:off x="1137708" y="3601508"/>
          <a:ext cx="3360209" cy="621242"/>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314325</xdr:colOff>
      <xdr:row>21</xdr:row>
      <xdr:rowOff>66675</xdr:rowOff>
    </xdr:from>
    <xdr:to>
      <xdr:col>7</xdr:col>
      <xdr:colOff>199192</xdr:colOff>
      <xdr:row>28</xdr:row>
      <xdr:rowOff>0</xdr:rowOff>
    </xdr:to>
    <xdr:cxnSp macro="">
      <xdr:nvCxnSpPr>
        <xdr:cNvPr id="17" name="Straight Arrow Connector 16"/>
        <xdr:cNvCxnSpPr/>
      </xdr:nvCxnSpPr>
      <xdr:spPr>
        <a:xfrm>
          <a:off x="928158" y="3919008"/>
          <a:ext cx="3569759" cy="1044575"/>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276225</xdr:colOff>
      <xdr:row>32</xdr:row>
      <xdr:rowOff>131445</xdr:rowOff>
    </xdr:from>
    <xdr:to>
      <xdr:col>7</xdr:col>
      <xdr:colOff>160034</xdr:colOff>
      <xdr:row>38</xdr:row>
      <xdr:rowOff>95274</xdr:rowOff>
    </xdr:to>
    <xdr:cxnSp macro="">
      <xdr:nvCxnSpPr>
        <xdr:cNvPr id="30" name="Straight Arrow Connector 29"/>
        <xdr:cNvCxnSpPr/>
      </xdr:nvCxnSpPr>
      <xdr:spPr>
        <a:xfrm>
          <a:off x="885825" y="4581525"/>
          <a:ext cx="3543300" cy="942975"/>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257175</xdr:colOff>
      <xdr:row>9</xdr:row>
      <xdr:rowOff>9525</xdr:rowOff>
    </xdr:from>
    <xdr:to>
      <xdr:col>15</xdr:col>
      <xdr:colOff>552450</xdr:colOff>
      <xdr:row>39</xdr:row>
      <xdr:rowOff>57150</xdr:rowOff>
    </xdr:to>
    <xdr:pic>
      <xdr:nvPicPr>
        <xdr:cNvPr id="40230" name="Pictur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54008" y="2020358"/>
          <a:ext cx="5512859" cy="481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14</xdr:col>
          <xdr:colOff>38100</xdr:colOff>
          <xdr:row>1</xdr:row>
          <xdr:rowOff>152400</xdr:rowOff>
        </xdr:from>
        <xdr:to>
          <xdr:col>15</xdr:col>
          <xdr:colOff>609600</xdr:colOff>
          <xdr:row>6</xdr:row>
          <xdr:rowOff>19050</xdr:rowOff>
        </xdr:to>
        <xdr:sp macro="" textlink="">
          <xdr:nvSpPr>
            <xdr:cNvPr id="35775" name="Object 959" hidden="1">
              <a:extLst>
                <a:ext uri="{63B3BB69-23CF-44E3-9099-C40C66FF867C}">
                  <a14:compatExt spid="_x0000_s3577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95250</xdr:colOff>
          <xdr:row>4</xdr:row>
          <xdr:rowOff>66675</xdr:rowOff>
        </xdr:from>
        <xdr:to>
          <xdr:col>1</xdr:col>
          <xdr:colOff>1895475</xdr:colOff>
          <xdr:row>5</xdr:row>
          <xdr:rowOff>123825</xdr:rowOff>
        </xdr:to>
        <xdr:sp macro="" textlink="">
          <xdr:nvSpPr>
            <xdr:cNvPr id="33795" name="District_select_SOJ" hidden="1">
              <a:extLst>
                <a:ext uri="{63B3BB69-23CF-44E3-9099-C40C66FF867C}">
                  <a14:compatExt spid="_x0000_s33795"/>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104775</xdr:colOff>
          <xdr:row>4</xdr:row>
          <xdr:rowOff>76200</xdr:rowOff>
        </xdr:from>
        <xdr:to>
          <xdr:col>1</xdr:col>
          <xdr:colOff>1905000</xdr:colOff>
          <xdr:row>5</xdr:row>
          <xdr:rowOff>133350</xdr:rowOff>
        </xdr:to>
        <xdr:sp macro="" textlink="">
          <xdr:nvSpPr>
            <xdr:cNvPr id="74754" name="ComboBox1" hidden="1">
              <a:extLst>
                <a:ext uri="{63B3BB69-23CF-44E3-9099-C40C66FF867C}">
                  <a14:compatExt spid="_x0000_s74754"/>
                </a:ext>
              </a:extLst>
            </xdr:cNvPr>
            <xdr:cNvSpPr/>
          </xdr:nvSpPr>
          <xdr:spPr>
            <a:xfrm>
              <a:off x="0" y="0"/>
              <a:ext cx="0" cy="0"/>
            </a:xfrm>
            <a:prstGeom prst="rect">
              <a:avLst/>
            </a:prstGeom>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47625</xdr:colOff>
          <xdr:row>4</xdr:row>
          <xdr:rowOff>9525</xdr:rowOff>
        </xdr:from>
        <xdr:to>
          <xdr:col>1</xdr:col>
          <xdr:colOff>1847850</xdr:colOff>
          <xdr:row>5</xdr:row>
          <xdr:rowOff>66675</xdr:rowOff>
        </xdr:to>
        <xdr:sp macro="" textlink="">
          <xdr:nvSpPr>
            <xdr:cNvPr id="73730" name="ComboBox1" hidden="1">
              <a:extLst>
                <a:ext uri="{63B3BB69-23CF-44E3-9099-C40C66FF867C}">
                  <a14:compatExt spid="_x0000_s73730"/>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1</xdr:col>
      <xdr:colOff>1537607</xdr:colOff>
      <xdr:row>6</xdr:row>
      <xdr:rowOff>40821</xdr:rowOff>
    </xdr:from>
    <xdr:ext cx="13430250" cy="4600490"/>
    <xdr:sp macro="" textlink="">
      <xdr:nvSpPr>
        <xdr:cNvPr id="2" name="TextBox 1"/>
        <xdr:cNvSpPr txBox="1"/>
      </xdr:nvSpPr>
      <xdr:spPr>
        <a:xfrm>
          <a:off x="1728107" y="1728107"/>
          <a:ext cx="13430250" cy="4600490"/>
        </a:xfrm>
        <a:prstGeom prst="rect">
          <a:avLst/>
        </a:prstGeom>
        <a:solidFill>
          <a:srgbClr val="92D05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r>
            <a:rPr lang="it-IT" sz="2400" b="1">
              <a:solidFill>
                <a:srgbClr val="FF0000"/>
              </a:solidFill>
              <a:effectLst/>
              <a:latin typeface="+mn-lt"/>
              <a:ea typeface="+mn-ea"/>
              <a:cs typeface="+mn-cs"/>
            </a:rPr>
            <a:t>THIS</a:t>
          </a:r>
          <a:r>
            <a:rPr lang="it-IT" sz="2400" b="1" baseline="0">
              <a:solidFill>
                <a:srgbClr val="FF0000"/>
              </a:solidFill>
              <a:effectLst/>
              <a:latin typeface="+mn-lt"/>
              <a:ea typeface="+mn-ea"/>
              <a:cs typeface="+mn-cs"/>
            </a:rPr>
            <a:t> SHEET IS NOT CURRENTLY BEING DISPLAYED - MUST BE HIDDEN BEFORE PUBLICATION</a:t>
          </a: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en-US" sz="2400">
            <a:solidFill>
              <a:srgbClr val="FF0000"/>
            </a:solidFill>
            <a:effectLst/>
          </a:endParaRPr>
        </a:p>
      </xdr:txBody>
    </xdr:sp>
    <xdr:clientData/>
  </xdr:oneCellAnchor>
  <xdr:oneCellAnchor>
    <xdr:from>
      <xdr:col>2</xdr:col>
      <xdr:colOff>574221</xdr:colOff>
      <xdr:row>70</xdr:row>
      <xdr:rowOff>2721</xdr:rowOff>
    </xdr:from>
    <xdr:ext cx="13430250" cy="4600490"/>
    <xdr:sp macro="" textlink="">
      <xdr:nvSpPr>
        <xdr:cNvPr id="3" name="TextBox 2"/>
        <xdr:cNvSpPr txBox="1"/>
      </xdr:nvSpPr>
      <xdr:spPr>
        <a:xfrm>
          <a:off x="2520042" y="12643757"/>
          <a:ext cx="13430250" cy="4600490"/>
        </a:xfrm>
        <a:prstGeom prst="rect">
          <a:avLst/>
        </a:prstGeom>
        <a:solidFill>
          <a:srgbClr val="92D05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r>
            <a:rPr lang="it-IT" sz="2400" b="1">
              <a:solidFill>
                <a:srgbClr val="FF0000"/>
              </a:solidFill>
              <a:effectLst/>
              <a:latin typeface="+mn-lt"/>
              <a:ea typeface="+mn-ea"/>
              <a:cs typeface="+mn-cs"/>
            </a:rPr>
            <a:t>THIS</a:t>
          </a:r>
          <a:r>
            <a:rPr lang="it-IT" sz="2400" b="1" baseline="0">
              <a:solidFill>
                <a:srgbClr val="FF0000"/>
              </a:solidFill>
              <a:effectLst/>
              <a:latin typeface="+mn-lt"/>
              <a:ea typeface="+mn-ea"/>
              <a:cs typeface="+mn-cs"/>
            </a:rPr>
            <a:t> SHEET IS NOT CURRENTLY BEING DISPLAYED - MUST BE HIDDEN BEFORE PUBLICATION</a:t>
          </a: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en-US" sz="2400">
            <a:solidFill>
              <a:srgbClr val="FF0000"/>
            </a:solidFill>
            <a:effectLst/>
          </a:endParaRPr>
        </a:p>
      </xdr:txBody>
    </xdr:sp>
    <xdr:clientData/>
  </xdr:oneCellAnchor>
</xdr:wsDr>
</file>

<file path=xl/queryTables/queryTable1.xml><?xml version="1.0" encoding="utf-8"?>
<queryTable xmlns="http://schemas.openxmlformats.org/spreadsheetml/2006/main" name="MMWR_CONNECTOR" preserveFormatting="0" connectionId="13" autoFormatId="16" applyNumberFormats="0" applyBorderFormats="0" applyFontFormats="0" applyPatternFormats="0" applyAlignmentFormats="0" applyWidthHeightFormats="0">
  <queryTableRefresh preserveSortFilterLayout="0" nextId="4">
    <queryTableFields count="3">
      <queryTableField id="1" name="MMWR_TRAD_AGG_NATIONAL" tableColumnId="1"/>
      <queryTableField id="2" name="CNT" tableColumnId="2"/>
      <queryTableField id="3" name="CNT_BL" tableColumnId="3"/>
    </queryTableFields>
  </queryTableRefresh>
</queryTable>
</file>

<file path=xl/queryTables/queryTable10.xml><?xml version="1.0" encoding="utf-8"?>
<queryTable xmlns="http://schemas.openxmlformats.org/spreadsheetml/2006/main" name="MMWR_CONNECTOR_10" preserveFormatting="0" connectionId="11" autoFormatId="16" applyNumberFormats="0" applyBorderFormats="0" applyFontFormats="0" applyPatternFormats="0" applyAlignmentFormats="0" applyWidthHeightFormats="0">
  <queryTableRefresh preserveSortFilterLayout="0" nextId="11">
    <queryTableFields count="10">
      <queryTableField id="1" name="MMWR_RATING_STATE_ROLLUP_VSC"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1.xml><?xml version="1.0" encoding="utf-8"?>
<queryTable xmlns="http://schemas.openxmlformats.org/spreadsheetml/2006/main" name="MMWR_CONNECTOR_11" preserveFormatting="0" connectionId="9" autoFormatId="16" applyNumberFormats="0" applyBorderFormats="0" applyFontFormats="0" applyPatternFormats="0" applyAlignmentFormats="0" applyWidthHeightFormats="0">
  <queryTableRefresh preserveSortFilterLayout="0" nextId="11">
    <queryTableFields count="10">
      <queryTableField id="1" name="MMWR_RATING_STATE_ROLLUP_PMC"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2.xml><?xml version="1.0" encoding="utf-8"?>
<queryTable xmlns="http://schemas.openxmlformats.org/spreadsheetml/2006/main" name="MMWR_CONNECTOR_12" preserveFormatting="0" connectionId="10" autoFormatId="16" applyNumberFormats="0" applyBorderFormats="0" applyFontFormats="0" applyPatternFormats="0" applyAlignmentFormats="0" applyWidthHeightFormats="0">
  <queryTableRefresh preserveSortFilterLayout="0" nextId="11">
    <queryTableFields count="10">
      <queryTableField id="1" name="MMWR_RATING_STATE_ROLLUP_QST"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3.xml><?xml version="1.0" encoding="utf-8"?>
<queryTable xmlns="http://schemas.openxmlformats.org/spreadsheetml/2006/main" name="MMWR_CONNECTOR_13" preserveFormatting="0" connectionId="8" autoFormatId="16" applyNumberFormats="0" applyBorderFormats="0" applyFontFormats="0" applyPatternFormats="0" applyAlignmentFormats="0" applyWidthHeightFormats="0">
  <queryTableRefresh preserveSortFilterLayout="0" nextId="11">
    <queryTableFields count="10">
      <queryTableField id="1" name="MMWR_RATING_STATE_ROLLUP_BDD"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4.xml><?xml version="1.0" encoding="utf-8"?>
<queryTable xmlns="http://schemas.openxmlformats.org/spreadsheetml/2006/main" name="MMWR_CONNECTOR" connectionId="1" autoFormatId="16" applyNumberFormats="0" applyBorderFormats="0" applyFontFormats="0" applyPatternFormats="0" applyAlignmentFormats="0" applyWidthHeightFormats="0">
  <queryTableRefresh preserveSortFilterLayout="0" nextId="16">
    <queryTableFields count="15">
      <queryTableField id="1" name="MMWR_ACCURACY_RO" tableColumnId="1"/>
      <queryTableField id="2" name="DEF_DIST" tableColumnId="2"/>
      <queryTableField id="3" name="RELEASE_DATE" tableColumnId="3"/>
      <queryTableField id="4" name="RO" tableColumnId="4"/>
      <queryTableField id="5" name="COMP3_ISSUES_WGHTED_ACC" tableColumnId="5"/>
      <queryTableField id="6" name="COMP3_RTNG_CLM_WGHTED_ACC" tableColumnId="6"/>
      <queryTableField id="7" name="COMP12_RTNG_CLM_WGHTED_ACC" tableColumnId="7"/>
      <queryTableField id="8" name="COMP12_RTNG_CLM_MOE" tableColumnId="8"/>
      <queryTableField id="9" name="COMP12_AUTH_CLM_WGHTED_ACC" tableColumnId="9"/>
      <queryTableField id="10" name="COMP12_AUTH_CLM_MOE" tableColumnId="10"/>
      <queryTableField id="11" name="PMC3_RTNG_CLM_WGHTED_ACC" tableColumnId="11"/>
      <queryTableField id="12" name="PMC12_RTNG_CLM_WGHTED_ACC" tableColumnId="12"/>
      <queryTableField id="13" name="PMC12_RTNG_CLM_MOE" tableColumnId="13"/>
      <queryTableField id="14" name="PMC12_AUTH_CLM_WGHTED_ACC" tableColumnId="14"/>
      <queryTableField id="15" name="PMC12_AUTH_CLM_MOE" tableColumnId="15"/>
    </queryTableFields>
  </queryTableRefresh>
</queryTable>
</file>

<file path=xl/queryTables/queryTable15.xml><?xml version="1.0" encoding="utf-8"?>
<queryTable xmlns="http://schemas.openxmlformats.org/spreadsheetml/2006/main" name="MMWR_CONNECTOR" preserveFormatting="0" connectionId="4" autoFormatId="16" applyNumberFormats="0" applyBorderFormats="0" applyFontFormats="0" applyPatternFormats="0" applyAlignmentFormats="0" applyWidthHeightFormats="0">
  <queryTableRefresh preserveSortFilterLayout="0" nextId="15">
    <queryTableFields count="14">
      <queryTableField id="1" name="MMWR_APP_STATE_COMP" tableColumnId="1"/>
      <queryTableField id="2" name="APPEALS_INVENTORY" tableColumnId="2"/>
      <queryTableField id="3" name="NOD_INVENTORY" tableColumnId="3"/>
      <queryTableField id="4" name="NOD_ADP" tableColumnId="4"/>
      <queryTableField id="5" name="SOC_INVENTORY" tableColumnId="5"/>
      <queryTableField id="6" name="SOC_ADP" tableColumnId="6"/>
      <queryTableField id="7" name="FORM9_INVENTORY" tableColumnId="7"/>
      <queryTableField id="8" name="FORM9_ADP" tableColumnId="8"/>
      <queryTableField id="9" name="RMND_AT_RO_INVENTORY" tableColumnId="9"/>
      <queryTableField id="10" name="RMND_AT_RO_ADP" tableColumnId="10"/>
      <queryTableField id="11" name="RMND_AT_AMC_INVENTORY" tableColumnId="11"/>
      <queryTableField id="12" name="RMND_AT_AMC_ADP" tableColumnId="12"/>
      <queryTableField id="13" name="RMND_TB_READY_INVENTORY" tableColumnId="13"/>
      <queryTableField id="14" name="RMND_TB_READY_ADP" tableColumnId="14"/>
    </queryTableFields>
  </queryTableRefresh>
</queryTable>
</file>

<file path=xl/queryTables/queryTable16.xml><?xml version="1.0" encoding="utf-8"?>
<queryTable xmlns="http://schemas.openxmlformats.org/spreadsheetml/2006/main" name="MMWR_CONNECTOR_2" preserveFormatting="0" connectionId="5" autoFormatId="16" applyNumberFormats="0" applyBorderFormats="0" applyFontFormats="0" applyPatternFormats="0" applyAlignmentFormats="0" applyWidthHeightFormats="0">
  <queryTableRefresh preserveSortFilterLayout="0" nextId="15">
    <queryTableFields count="14">
      <queryTableField id="1" name="MMWR_APP_STATE_PEN" tableColumnId="1"/>
      <queryTableField id="2" name="APPEALS_INVENTORY" tableColumnId="2"/>
      <queryTableField id="3" name="NOD_INVENTORY" tableColumnId="3"/>
      <queryTableField id="4" name="NOD_ADP" tableColumnId="4"/>
      <queryTableField id="5" name="SOC_INVENTORY" tableColumnId="5"/>
      <queryTableField id="6" name="SOC_ADP" tableColumnId="6"/>
      <queryTableField id="7" name="FORM9_INVENTORY" tableColumnId="7"/>
      <queryTableField id="8" name="FORM9_ADP" tableColumnId="8"/>
      <queryTableField id="9" name="RMND_AT_RO_INVENTORY" tableColumnId="9"/>
      <queryTableField id="10" name="RMND_AT_RO_ADP" tableColumnId="10"/>
      <queryTableField id="11" name="RMND_AT_AMC_INVENTORY" tableColumnId="11"/>
      <queryTableField id="12" name="RMND_AT_AMC_ADP" tableColumnId="12"/>
      <queryTableField id="13" name="RMND_TB_READY_INVENTORY" tableColumnId="13"/>
      <queryTableField id="14" name="RMND_TB_READY_ADP" tableColumnId="14"/>
    </queryTableFields>
  </queryTableRefresh>
</queryTable>
</file>

<file path=xl/queryTables/queryTable17.xml><?xml version="1.0" encoding="utf-8"?>
<queryTable xmlns="http://schemas.openxmlformats.org/spreadsheetml/2006/main" name="MMWR_CONNECTOR_3" preserveFormatting="0" connectionId="3" autoFormatId="16" applyNumberFormats="0" applyBorderFormats="0" applyFontFormats="0" applyPatternFormats="0" applyAlignmentFormats="0" applyWidthHeightFormats="0">
  <queryTableRefresh preserveSortFilterLayout="0" nextId="15">
    <queryTableFields count="14">
      <queryTableField id="1" name="MMWR_APP_RO" tableColumnId="1"/>
      <queryTableField id="2" name="APPEALS_INVENTORY" tableColumnId="2"/>
      <queryTableField id="3" name="NOD_INVENTORY" tableColumnId="3"/>
      <queryTableField id="4" name="NOD_ADP" tableColumnId="4"/>
      <queryTableField id="5" name="SOC_INVENTORY" tableColumnId="5"/>
      <queryTableField id="6" name="SOC_ADP" tableColumnId="6"/>
      <queryTableField id="7" name="FORM9_INVENTORY" tableColumnId="7"/>
      <queryTableField id="8" name="FORM9_ADP" tableColumnId="8"/>
      <queryTableField id="9" name="RMND_AT_RO_INVENTORY" tableColumnId="9"/>
      <queryTableField id="10" name="RMND_AT_RO_ADP" tableColumnId="10"/>
      <queryTableField id="11" name="RMND_AT_AMC_INVENTORY" tableColumnId="11"/>
      <queryTableField id="12" name="RMND_AT_AMC_ADP" tableColumnId="12"/>
      <queryTableField id="13" name="RMND_TB_READY_INVENTORY" tableColumnId="13"/>
      <queryTableField id="14" name="RMND_TB_READY_ADP" tableColumnId="14"/>
    </queryTableFields>
  </queryTableRefresh>
</queryTable>
</file>

<file path=xl/queryTables/queryTable18.xml><?xml version="1.0" encoding="utf-8"?>
<queryTable xmlns="http://schemas.openxmlformats.org/spreadsheetml/2006/main" name="MMWR_CONNECTOR_4" preserveFormatting="0" connectionId="2" autoFormatId="16" applyNumberFormats="0" applyBorderFormats="0" applyFontFormats="0" applyPatternFormats="0" applyAlignmentFormats="0" applyWidthHeightFormats="0">
  <queryTableRefresh preserveSortFilterLayout="0" nextId="4">
    <queryTableFields count="3">
      <queryTableField id="1" name="TITLE" tableColumnId="1"/>
      <queryTableField id="2" name="INVENTORY" tableColumnId="2"/>
      <queryTableField id="3" name="ADP" tableColumnId="3"/>
    </queryTableFields>
  </queryTableRefresh>
</queryTable>
</file>

<file path=xl/queryTables/queryTable19.xml><?xml version="1.0" encoding="utf-8"?>
<queryTable xmlns="http://schemas.openxmlformats.org/spreadsheetml/2006/main" name="MMWR_CONNECTOR" preserveFormatting="0" connectionId="20" autoFormatId="16" applyNumberFormats="0" applyBorderFormats="0" applyFontFormats="0" applyPatternFormats="0" applyAlignmentFormats="0" applyWidthHeightFormats="0">
  <queryTableRefresh preserveSortFilterLayout="0" nextId="19">
    <queryTableFields count="18">
      <queryTableField id="1" name="ID_ORD" tableColumnId="1"/>
      <queryTableField id="2" name="GEOGRAPHY_DIM_SID" tableColumnId="2"/>
      <queryTableField id="3" name="ID_RO" tableColumnId="3"/>
      <queryTableField id="4" name="DEF_RO" tableColumnId="4"/>
      <queryTableField id="5" name="ID_SPM" tableColumnId="5"/>
      <queryTableField id="6" name="DEF_SPM" tableColumnId="6"/>
      <queryTableField id="7" name="ID_AREA" tableColumnId="7"/>
      <queryTableField id="8" name="DEF_AREA" tableColumnId="8"/>
      <queryTableField id="9" name="AREA_NBR" tableColumnId="9"/>
      <queryTableField id="10" name="ID_DIST" tableColumnId="10"/>
      <queryTableField id="11" name="DEF_DIST" tableColumnId="11"/>
      <queryTableField id="12" name="LCTN_ID" tableColumnId="12"/>
      <queryTableField id="13" name="ID_STATE" tableColumnId="13"/>
      <queryTableField id="14" name="DEF_STATE" tableColumnId="14"/>
      <queryTableField id="15" name="KEY_RO" tableColumnId="15"/>
      <queryTableField id="16" name="KEY_SPM" tableColumnId="16"/>
      <queryTableField id="17" name="KEY_HL" tableColumnId="17"/>
      <queryTableField id="18" name="TYP_SPM" tableColumnId="18"/>
    </queryTableFields>
  </queryTableRefresh>
</queryTable>
</file>

<file path=xl/queryTables/queryTable2.xml><?xml version="1.0" encoding="utf-8"?>
<queryTable xmlns="http://schemas.openxmlformats.org/spreadsheetml/2006/main" name="MMWR_CONNECTOR_1" preserveFormatting="0" connectionId="14" autoFormatId="16" applyNumberFormats="0" applyBorderFormats="0" applyFontFormats="0" applyPatternFormats="0" applyAlignmentFormats="0" applyWidthHeightFormats="0">
  <queryTableRefresh preserveSortFilterLayout="0" nextId="14">
    <queryTableFields count="13">
      <queryTableField id="1" name="MMWR_TRAD_AGG_RO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20.xml><?xml version="1.0" encoding="utf-8"?>
<queryTable xmlns="http://schemas.openxmlformats.org/spreadsheetml/2006/main" name="MMWR_CONNECTOR" preserveFormatting="0" connectionId="21" autoFormatId="16" applyNumberFormats="0" applyBorderFormats="0" applyFontFormats="0" applyPatternFormats="0" applyAlignmentFormats="0" applyWidthHeightFormats="0">
  <queryTableRefresh preserveSortFilterLayout="0" nextId="6">
    <queryTableFields count="5">
      <queryTableField id="1" name="ST" tableColumnId="1"/>
      <queryTableField id="2" name="STATE" tableColumnId="2"/>
      <queryTableField id="3" name="STATE_OTHER" tableColumnId="3"/>
      <queryTableField id="4" name="AREA" tableColumnId="4"/>
      <queryTableField id="5" name="STATE_DIST" tableColumnId="5"/>
    </queryTableFields>
  </queryTableRefresh>
</queryTable>
</file>

<file path=xl/queryTables/queryTable21.xml><?xml version="1.0" encoding="utf-8"?>
<queryTable xmlns="http://schemas.openxmlformats.org/spreadsheetml/2006/main" name="MMWR_CONNECTOR" connectionId="6" autoFormatId="16" applyNumberFormats="0" applyBorderFormats="0" applyFontFormats="0" applyPatternFormats="0" applyAlignmentFormats="0" applyWidthHeightFormats="0">
  <queryTableRefresh nextId="5">
    <queryTableFields count="3">
      <queryTableField id="2" name="DATA_DATE" tableColumnId="2"/>
      <queryTableField id="3" name="FILE_DATE" tableColumnId="3"/>
      <queryTableField id="4" name="MONTH_NUM" tableColumnId="4"/>
    </queryTableFields>
  </queryTableRefresh>
</queryTable>
</file>

<file path=xl/queryTables/queryTable3.xml><?xml version="1.0" encoding="utf-8"?>
<queryTable xmlns="http://schemas.openxmlformats.org/spreadsheetml/2006/main" name="MMWR_CONNECTOR_2" preserveFormatting="0" connectionId="15" autoFormatId="16" applyNumberFormats="0" applyBorderFormats="0" applyFontFormats="0" applyPatternFormats="0" applyAlignmentFormats="0" applyWidthHeightFormats="0">
  <queryTableRefresh preserveSortFilterLayout="0" nextId="14">
    <queryTableFields count="13">
      <queryTableField id="1" name="MMWR_TRAD_AGG_RO_PEN" tableColumnId="1"/>
      <queryTableField id="2" name="NBRINV" tableColumnId="2"/>
      <queryTableField id="3" name="ADP" tableColumnId="3"/>
      <queryTableField id="4" name="ENTIT" tableColumnId="4"/>
      <queryTableField id="5" name="ENT125" tableColumnId="5"/>
      <queryTableField id="6" name="AWD" tableColumnId="6"/>
      <queryTableField id="7" name="AWD125" tableColumnId="7"/>
      <queryTableField id="8" name="PROGRVW" tableColumnId="8"/>
      <queryTableField id="9" name="PROG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4.xml><?xml version="1.0" encoding="utf-8"?>
<queryTable xmlns="http://schemas.openxmlformats.org/spreadsheetml/2006/main" name="MMWR_CONNECTOR_3" preserveFormatting="0" connectionId="18" autoFormatId="16" applyNumberFormats="0" applyBorderFormats="0" applyFontFormats="0" applyPatternFormats="0" applyAlignmentFormats="0" applyWidthHeightFormats="0">
  <queryTableRefresh preserveSortFilterLayout="0" nextId="14">
    <queryTableFields count="13">
      <queryTableField id="1" name="MMWR_TRAD_AGG_STATE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5.xml><?xml version="1.0" encoding="utf-8"?>
<queryTable xmlns="http://schemas.openxmlformats.org/spreadsheetml/2006/main" name="MMWR_CONNECTOR_4" preserveFormatting="0" connectionId="19" autoFormatId="16" applyNumberFormats="0" applyBorderFormats="0" applyFontFormats="0" applyPatternFormats="0" applyAlignmentFormats="0" applyWidthHeightFormats="0">
  <queryTableRefresh preserveSortFilterLayout="0" nextId="14">
    <queryTableFields count="13">
      <queryTableField id="1" name="MMWR_TRAD_AGG_STATE_PEN" tableColumnId="1"/>
      <queryTableField id="2" name="NBRINV" tableColumnId="2"/>
      <queryTableField id="3" name="ADP" tableColumnId="3"/>
      <queryTableField id="4" name="ENTIT" tableColumnId="4"/>
      <queryTableField id="5" name="ENT125" tableColumnId="5"/>
      <queryTableField id="6" name="AWD" tableColumnId="6"/>
      <queryTableField id="7" name="AWD125" tableColumnId="7"/>
      <queryTableField id="8" name="PROGRVW" tableColumnId="8"/>
      <queryTableField id="9" name="PROG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6.xml><?xml version="1.0" encoding="utf-8"?>
<queryTable xmlns="http://schemas.openxmlformats.org/spreadsheetml/2006/main" name="MMWR_CONNECTOR_5" preserveFormatting="0" connectionId="12" autoFormatId="16" applyNumberFormats="0" applyBorderFormats="0" applyFontFormats="0" applyPatternFormats="0" applyAlignmentFormats="0" applyWidthHeightFormats="0">
  <queryTableRefresh preserveSortFilterLayout="0" nextId="14">
    <queryTableFields count="13">
      <queryTableField id="1" name="MMWR_TRAD_AGG_DISTRICT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7.xml><?xml version="1.0" encoding="utf-8"?>
<queryTable xmlns="http://schemas.openxmlformats.org/spreadsheetml/2006/main" name="MMWR_CONNECTOR_6" preserveFormatting="0" connectionId="16" autoFormatId="16" applyNumberFormats="0" applyBorderFormats="0" applyFontFormats="0" applyPatternFormats="0" applyAlignmentFormats="0" applyWidthHeightFormats="0">
  <queryTableRefresh preserveSortFilterLayout="0" nextId="14">
    <queryTableFields count="13">
      <queryTableField id="1" name="MMWR_TRAD_AGG_ST_DISTRICT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8.xml><?xml version="1.0" encoding="utf-8"?>
<queryTable xmlns="http://schemas.openxmlformats.org/spreadsheetml/2006/main" name="MMWR_CONNECTOR_7" preserveFormatting="0" connectionId="17" autoFormatId="16" applyNumberFormats="0" applyBorderFormats="0" applyFontFormats="0" applyPatternFormats="0" applyAlignmentFormats="0" applyWidthHeightFormats="0">
  <queryTableRefresh preserveSortFilterLayout="0" nextId="14">
    <queryTableFields count="13">
      <queryTableField id="1" name="MMWR_TRAD_AGG_ST_DISTRICT_PEN" tableColumnId="1"/>
      <queryTableField id="2" name="NBRINV" tableColumnId="2"/>
      <queryTableField id="3" name="ADP" tableColumnId="3"/>
      <queryTableField id="4" name="ENTIT" tableColumnId="4"/>
      <queryTableField id="5" name="ENT125" tableColumnId="5"/>
      <queryTableField id="6" name="AWD" tableColumnId="6"/>
      <queryTableField id="7" name="AWD125" tableColumnId="7"/>
      <queryTableField id="8" name="PROGRVW" tableColumnId="8"/>
      <queryTableField id="9" name="PROG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9.xml><?xml version="1.0" encoding="utf-8"?>
<queryTable xmlns="http://schemas.openxmlformats.org/spreadsheetml/2006/main" name="MMWR_CONNECTOR_8" preserveFormatting="0" connectionId="7" autoFormatId="16" applyNumberFormats="0" applyBorderFormats="0" applyFontFormats="0" applyPatternFormats="0" applyAlignmentFormats="0" applyWidthHeightFormats="0">
  <queryTableRefresh preserveSortFilterLayout="0" nextId="17">
    <queryTableFields count="16">
      <queryTableField id="1" name="MMWR_RATING_RO_ROLLUP" tableColumnId="1"/>
      <queryTableField id="2" name="DIST_TYP" tableColumnId="2"/>
      <queryTableField id="3" name="SOO_INVENTORY" tableColumnId="3"/>
      <queryTableField id="4" name="SOO_BL_INVENTORY" tableColumnId="4"/>
      <queryTableField id="5" name="SOO_ADP" tableColumnId="5"/>
      <queryTableField id="6" name="SOO_PRODUCTION_FYTD" tableColumnId="6"/>
      <queryTableField id="7" name="SOO_PRODUCTION_MTD" tableColumnId="7"/>
      <queryTableField id="8" name="SOO_ADC_FYTD" tableColumnId="8"/>
      <queryTableField id="9" name="SOO_ADC_MTD" tableColumnId="9"/>
      <queryTableField id="10" name="SOJ_INVENTORY" tableColumnId="10"/>
      <queryTableField id="11" name="SOJ_BL_INVENTORY" tableColumnId="11"/>
      <queryTableField id="12" name="SOJ_ADP" tableColumnId="12"/>
      <queryTableField id="13" name="SOJ_PRODUCTION_FYTD" tableColumnId="13"/>
      <queryTableField id="14" name="SOJ_PRODUCTION_MTD" tableColumnId="14"/>
      <queryTableField id="15" name="SOJ_ADC_FYTD" tableColumnId="15"/>
      <queryTableField id="16" name="SOJ_ADC_MTD" tableColumnId="1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10.xml.rels><?xml version="1.0" encoding="UTF-8" standalone="yes"?>
<Relationships xmlns="http://schemas.openxmlformats.org/package/2006/relationships"><Relationship Id="rId1" Type="http://schemas.openxmlformats.org/officeDocument/2006/relationships/queryTable" Target="../queryTables/queryTable10.xml"/></Relationships>
</file>

<file path=xl/tables/_rels/table11.xml.rels><?xml version="1.0" encoding="UTF-8" standalone="yes"?>
<Relationships xmlns="http://schemas.openxmlformats.org/package/2006/relationships"><Relationship Id="rId1" Type="http://schemas.openxmlformats.org/officeDocument/2006/relationships/queryTable" Target="../queryTables/queryTable11.xml"/></Relationships>
</file>

<file path=xl/tables/_rels/table12.xml.rels><?xml version="1.0" encoding="UTF-8" standalone="yes"?>
<Relationships xmlns="http://schemas.openxmlformats.org/package/2006/relationships"><Relationship Id="rId1" Type="http://schemas.openxmlformats.org/officeDocument/2006/relationships/queryTable" Target="../queryTables/queryTable12.xml"/></Relationships>
</file>

<file path=xl/tables/_rels/table13.xml.rels><?xml version="1.0" encoding="UTF-8" standalone="yes"?>
<Relationships xmlns="http://schemas.openxmlformats.org/package/2006/relationships"><Relationship Id="rId1" Type="http://schemas.openxmlformats.org/officeDocument/2006/relationships/queryTable" Target="../queryTables/queryTable13.xml"/></Relationships>
</file>

<file path=xl/tables/_rels/table14.xml.rels><?xml version="1.0" encoding="UTF-8" standalone="yes"?>
<Relationships xmlns="http://schemas.openxmlformats.org/package/2006/relationships"><Relationship Id="rId1" Type="http://schemas.openxmlformats.org/officeDocument/2006/relationships/queryTable" Target="../queryTables/queryTable14.xml"/></Relationships>
</file>

<file path=xl/tables/_rels/table15.xml.rels><?xml version="1.0" encoding="UTF-8" standalone="yes"?>
<Relationships xmlns="http://schemas.openxmlformats.org/package/2006/relationships"><Relationship Id="rId1" Type="http://schemas.openxmlformats.org/officeDocument/2006/relationships/queryTable" Target="../queryTables/queryTable15.xml"/></Relationships>
</file>

<file path=xl/tables/_rels/table16.xml.rels><?xml version="1.0" encoding="UTF-8" standalone="yes"?>
<Relationships xmlns="http://schemas.openxmlformats.org/package/2006/relationships"><Relationship Id="rId1" Type="http://schemas.openxmlformats.org/officeDocument/2006/relationships/queryTable" Target="../queryTables/queryTable16.xml"/></Relationships>
</file>

<file path=xl/tables/_rels/table17.xml.rels><?xml version="1.0" encoding="UTF-8" standalone="yes"?>
<Relationships xmlns="http://schemas.openxmlformats.org/package/2006/relationships"><Relationship Id="rId1" Type="http://schemas.openxmlformats.org/officeDocument/2006/relationships/queryTable" Target="../queryTables/queryTable17.xml"/></Relationships>
</file>

<file path=xl/tables/_rels/table18.xml.rels><?xml version="1.0" encoding="UTF-8" standalone="yes"?>
<Relationships xmlns="http://schemas.openxmlformats.org/package/2006/relationships"><Relationship Id="rId1" Type="http://schemas.openxmlformats.org/officeDocument/2006/relationships/queryTable" Target="../queryTables/queryTable18.xml"/></Relationships>
</file>

<file path=xl/tables/_rels/table19.xml.rels><?xml version="1.0" encoding="UTF-8" standalone="yes"?>
<Relationships xmlns="http://schemas.openxmlformats.org/package/2006/relationships"><Relationship Id="rId1" Type="http://schemas.openxmlformats.org/officeDocument/2006/relationships/queryTable" Target="../queryTables/queryTable19.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20.xml.rels><?xml version="1.0" encoding="UTF-8" standalone="yes"?>
<Relationships xmlns="http://schemas.openxmlformats.org/package/2006/relationships"><Relationship Id="rId1" Type="http://schemas.openxmlformats.org/officeDocument/2006/relationships/queryTable" Target="../queryTables/queryTable20.xml"/></Relationships>
</file>

<file path=xl/tables/_rels/table23.xml.rels><?xml version="1.0" encoding="UTF-8" standalone="yes"?>
<Relationships xmlns="http://schemas.openxmlformats.org/package/2006/relationships"><Relationship Id="rId1" Type="http://schemas.openxmlformats.org/officeDocument/2006/relationships/queryTable" Target="../queryTables/queryTable21.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_rels/table6.xml.rels><?xml version="1.0" encoding="UTF-8" standalone="yes"?>
<Relationships xmlns="http://schemas.openxmlformats.org/package/2006/relationships"><Relationship Id="rId1" Type="http://schemas.openxmlformats.org/officeDocument/2006/relationships/queryTable" Target="../queryTables/queryTable6.xml"/></Relationships>
</file>

<file path=xl/tables/_rels/table7.xml.rels><?xml version="1.0" encoding="UTF-8" standalone="yes"?>
<Relationships xmlns="http://schemas.openxmlformats.org/package/2006/relationships"><Relationship Id="rId1" Type="http://schemas.openxmlformats.org/officeDocument/2006/relationships/queryTable" Target="../queryTables/queryTable7.xml"/></Relationships>
</file>

<file path=xl/tables/_rels/table8.xml.rels><?xml version="1.0" encoding="UTF-8" standalone="yes"?>
<Relationships xmlns="http://schemas.openxmlformats.org/package/2006/relationships"><Relationship Id="rId1" Type="http://schemas.openxmlformats.org/officeDocument/2006/relationships/queryTable" Target="../queryTables/queryTable8.xml"/></Relationships>
</file>

<file path=xl/tables/_rels/table9.xml.rels><?xml version="1.0" encoding="UTF-8" standalone="yes"?>
<Relationships xmlns="http://schemas.openxmlformats.org/package/2006/relationships"><Relationship Id="rId1" Type="http://schemas.openxmlformats.org/officeDocument/2006/relationships/queryTable" Target="../queryTables/queryTable9.xml"/></Relationships>
</file>

<file path=xl/tables/table1.xml><?xml version="1.0" encoding="utf-8"?>
<table xmlns="http://schemas.openxmlformats.org/spreadsheetml/2006/main" id="3" name="MMWR_TRAD_AGG_NATIONAL" displayName="MMWR_TRAD_AGG_NATIONAL" ref="B2:D53" tableType="queryTable" totalsRowShown="0">
  <sortState ref="B3:D52">
    <sortCondition ref="B5"/>
  </sortState>
  <tableColumns count="3">
    <tableColumn id="1" uniqueName="1" name="MMWR_TRAD_AGG_NATIONAL" queryTableFieldId="1"/>
    <tableColumn id="2" uniqueName="2" name="CNT" queryTableFieldId="2"/>
    <tableColumn id="3" uniqueName="3" name="CNT_BL" queryTableFieldId="3"/>
  </tableColumns>
  <tableStyleInfo name="TableStyleMedium2" showFirstColumn="0" showLastColumn="0" showRowStripes="1" showColumnStripes="0"/>
</table>
</file>

<file path=xl/tables/table10.xml><?xml version="1.0" encoding="utf-8"?>
<table xmlns="http://schemas.openxmlformats.org/spreadsheetml/2006/main" id="12" name="MMWR_RATING_STATE_ROLLUP_VSC" displayName="MMWR_RATING_STATE_ROLLUP_VSC" ref="CA2:CJ68" tableType="queryTable" totalsRowShown="0">
  <autoFilter ref="CA2:CJ68"/>
  <tableColumns count="10">
    <tableColumn id="1" uniqueName="1" name="MMWR_RATING_STATE_ROLLUP_VSC"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1.xml><?xml version="1.0" encoding="utf-8"?>
<table xmlns="http://schemas.openxmlformats.org/spreadsheetml/2006/main" id="25" name="MMWR_RATING_STATE_ROLLUP_PMC" displayName="MMWR_RATING_STATE_ROLLUP_PMC" ref="CL2:CU68" tableType="queryTable" totalsRowShown="0">
  <autoFilter ref="CL2:CU68"/>
  <tableColumns count="10">
    <tableColumn id="1" uniqueName="1" name="MMWR_RATING_STATE_ROLLUP_PMC"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2.xml><?xml version="1.0" encoding="utf-8"?>
<table xmlns="http://schemas.openxmlformats.org/spreadsheetml/2006/main" id="26" name="MMWR_RATING_STATE_ROLLUP_QST" displayName="MMWR_RATING_STATE_ROLLUP_QST" ref="CW2:DF68" tableType="queryTable" totalsRowShown="0">
  <autoFilter ref="CW2:DF68"/>
  <tableColumns count="10">
    <tableColumn id="1" uniqueName="1" name="MMWR_RATING_STATE_ROLLUP_QST"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3.xml><?xml version="1.0" encoding="utf-8"?>
<table xmlns="http://schemas.openxmlformats.org/spreadsheetml/2006/main" id="27" name="MMWR_RATING_STATE_ROLLUP_BDD" displayName="MMWR_RATING_STATE_ROLLUP_BDD" ref="DH2:DQ68" tableType="queryTable" totalsRowShown="0">
  <autoFilter ref="DH2:DQ68"/>
  <tableColumns count="10">
    <tableColumn id="1" uniqueName="1" name="MMWR_RATING_STATE_ROLLUP_BDD"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4.xml><?xml version="1.0" encoding="utf-8"?>
<table xmlns="http://schemas.openxmlformats.org/spreadsheetml/2006/main" id="20" name="MMWR_ACCURACY_RO" displayName="MMWR_ACCURACY_RO" ref="B2:P71" tableType="queryTable" totalsRowShown="0">
  <autoFilter ref="B2:P71"/>
  <tableColumns count="15">
    <tableColumn id="1" uniqueName="1" name="MMWR_ACCURACY_RO" queryTableFieldId="1"/>
    <tableColumn id="2" uniqueName="2" name="DEF_DIST" queryTableFieldId="2"/>
    <tableColumn id="3" uniqueName="3" name="RELEASE_DATE" queryTableFieldId="3" dataDxfId="15"/>
    <tableColumn id="4" uniqueName="4" name="RO" queryTableFieldId="4"/>
    <tableColumn id="5" uniqueName="5" name="COMP3_ISSUES_WGHTED_ACC" queryTableFieldId="5" dataDxfId="14"/>
    <tableColumn id="6" uniqueName="6" name="COMP3_RTNG_CLM_WGHTED_ACC" queryTableFieldId="6" dataDxfId="13"/>
    <tableColumn id="7" uniqueName="7" name="COMP12_RTNG_CLM_WGHTED_ACC" queryTableFieldId="7" dataDxfId="12"/>
    <tableColumn id="8" uniqueName="8" name="COMP12_RTNG_CLM_MOE" queryTableFieldId="8" dataDxfId="11"/>
    <tableColumn id="9" uniqueName="9" name="COMP12_AUTH_CLM_WGHTED_ACC" queryTableFieldId="9" dataDxfId="10"/>
    <tableColumn id="10" uniqueName="10" name="COMP12_AUTH_CLM_MOE" queryTableFieldId="10" dataDxfId="9"/>
    <tableColumn id="11" uniqueName="11" name="PMC3_RTNG_CLM_WGHTED_ACC" queryTableFieldId="11" dataDxfId="8"/>
    <tableColumn id="12" uniqueName="12" name="PMC12_RTNG_CLM_WGHTED_ACC" queryTableFieldId="12" dataDxfId="7"/>
    <tableColumn id="13" uniqueName="13" name="PMC12_RTNG_CLM_MOE" queryTableFieldId="13" dataDxfId="6"/>
    <tableColumn id="14" uniqueName="14" name="PMC12_AUTH_CLM_WGHTED_ACC" queryTableFieldId="14" dataDxfId="5"/>
    <tableColumn id="15" uniqueName="15" name="PMC12_AUTH_CLM_MOE" queryTableFieldId="15" dataDxfId="4"/>
  </tableColumns>
  <tableStyleInfo name="TableStyleMedium2" showFirstColumn="0" showLastColumn="0" showRowStripes="1" showColumnStripes="0"/>
</table>
</file>

<file path=xl/tables/table15.xml><?xml version="1.0" encoding="utf-8"?>
<table xmlns="http://schemas.openxmlformats.org/spreadsheetml/2006/main" id="11" name="MMWR_APP_STATE_COMP" displayName="MMWR_APP_STATE_COMP" ref="V2:AI63" tableType="queryTable" totalsRowShown="0">
  <autoFilter ref="V2:AI63"/>
  <tableColumns count="14">
    <tableColumn id="1" uniqueName="1" name="MMWR_APP_STATE_COMP" queryTableFieldId="1"/>
    <tableColumn id="2" uniqueName="2" name="APPEALS_INVENTORY" queryTableFieldId="2"/>
    <tableColumn id="3" uniqueName="3" name="NOD_INVENTORY" queryTableFieldId="3"/>
    <tableColumn id="4" uniqueName="4" name="NOD_ADP" queryTableFieldId="4"/>
    <tableColumn id="5" uniqueName="5" name="SOC_INVENTORY" queryTableFieldId="5"/>
    <tableColumn id="6" uniqueName="6" name="SOC_ADP" queryTableFieldId="6"/>
    <tableColumn id="7" uniqueName="7" name="FORM9_INVENTORY" queryTableFieldId="7"/>
    <tableColumn id="8" uniqueName="8" name="FORM9_ADP" queryTableFieldId="8"/>
    <tableColumn id="9" uniqueName="9" name="RMND_AT_RO_INVENTORY" queryTableFieldId="9"/>
    <tableColumn id="10" uniqueName="10" name="RMND_AT_RO_ADP" queryTableFieldId="10"/>
    <tableColumn id="11" uniqueName="11" name="RMND_AT_AMC_INVENTORY" queryTableFieldId="11"/>
    <tableColumn id="12" uniqueName="12" name="RMND_AT_AMC_ADP" queryTableFieldId="12"/>
    <tableColumn id="13" uniqueName="13" name="RMND_TB_READY_INVENTORY" queryTableFieldId="13"/>
    <tableColumn id="14" uniqueName="14" name="RMND_TB_READY_ADP" queryTableFieldId="14"/>
  </tableColumns>
  <tableStyleInfo name="TableStyleMedium2" showFirstColumn="0" showLastColumn="0" showRowStripes="1" showColumnStripes="0"/>
</table>
</file>

<file path=xl/tables/table16.xml><?xml version="1.0" encoding="utf-8"?>
<table xmlns="http://schemas.openxmlformats.org/spreadsheetml/2006/main" id="21" name="MMWR_APP_STATE_PEN" displayName="MMWR_APP_STATE_PEN" ref="AL2:AY63" tableType="queryTable" totalsRowShown="0">
  <autoFilter ref="AL2:AY63"/>
  <tableColumns count="14">
    <tableColumn id="1" uniqueName="1" name="MMWR_APP_STATE_PEN" queryTableFieldId="1"/>
    <tableColumn id="2" uniqueName="2" name="APPEALS_INVENTORY" queryTableFieldId="2"/>
    <tableColumn id="3" uniqueName="3" name="NOD_INVENTORY" queryTableFieldId="3"/>
    <tableColumn id="4" uniqueName="4" name="NOD_ADP" queryTableFieldId="4"/>
    <tableColumn id="5" uniqueName="5" name="SOC_INVENTORY" queryTableFieldId="5"/>
    <tableColumn id="6" uniqueName="6" name="SOC_ADP" queryTableFieldId="6"/>
    <tableColumn id="7" uniqueName="7" name="FORM9_INVENTORY" queryTableFieldId="7"/>
    <tableColumn id="8" uniqueName="8" name="FORM9_ADP" queryTableFieldId="8"/>
    <tableColumn id="9" uniqueName="9" name="RMND_AT_RO_INVENTORY" queryTableFieldId="9"/>
    <tableColumn id="10" uniqueName="10" name="RMND_AT_RO_ADP" queryTableFieldId="10"/>
    <tableColumn id="11" uniqueName="11" name="RMND_AT_AMC_INVENTORY" queryTableFieldId="11"/>
    <tableColumn id="12" uniqueName="12" name="RMND_AT_AMC_ADP" queryTableFieldId="12"/>
    <tableColumn id="13" uniqueName="13" name="RMND_TB_READY_INVENTORY" queryTableFieldId="13"/>
    <tableColumn id="14" uniqueName="14" name="RMND_TB_READY_ADP" queryTableFieldId="14"/>
  </tableColumns>
  <tableStyleInfo name="TableStyleMedium2" showFirstColumn="0" showLastColumn="0" showRowStripes="1" showColumnStripes="0"/>
</table>
</file>

<file path=xl/tables/table17.xml><?xml version="1.0" encoding="utf-8"?>
<table xmlns="http://schemas.openxmlformats.org/spreadsheetml/2006/main" id="22" name="MMWR_APP_RO" displayName="MMWR_APP_RO" ref="F2:S72" tableType="queryTable" totalsRowShown="0">
  <autoFilter ref="F2:S72"/>
  <tableColumns count="14">
    <tableColumn id="1" uniqueName="1" name="MMWR_APP_RO" queryTableFieldId="1"/>
    <tableColumn id="2" uniqueName="2" name="APPEALS_INVENTORY" queryTableFieldId="2"/>
    <tableColumn id="3" uniqueName="3" name="NOD_INVENTORY" queryTableFieldId="3"/>
    <tableColumn id="4" uniqueName="4" name="NOD_ADP" queryTableFieldId="4"/>
    <tableColumn id="5" uniqueName="5" name="SOC_INVENTORY" queryTableFieldId="5"/>
    <tableColumn id="6" uniqueName="6" name="SOC_ADP" queryTableFieldId="6"/>
    <tableColumn id="7" uniqueName="7" name="FORM9_INVENTORY" queryTableFieldId="7"/>
    <tableColumn id="8" uniqueName="8" name="FORM9_ADP" queryTableFieldId="8"/>
    <tableColumn id="9" uniqueName="9" name="RMND_AT_RO_INVENTORY" queryTableFieldId="9"/>
    <tableColumn id="10" uniqueName="10" name="RMND_AT_RO_ADP" queryTableFieldId="10"/>
    <tableColumn id="11" uniqueName="11" name="RMND_AT_AMC_INVENTORY" queryTableFieldId="11"/>
    <tableColumn id="12" uniqueName="12" name="RMND_AT_AMC_ADP" queryTableFieldId="12"/>
    <tableColumn id="13" uniqueName="13" name="RMND_TB_READY_INVENTORY" queryTableFieldId="13"/>
    <tableColumn id="14" uniqueName="14" name="RMND_TB_READY_ADP" queryTableFieldId="14"/>
  </tableColumns>
  <tableStyleInfo name="TableStyleMedium2" showFirstColumn="0" showLastColumn="0" showRowStripes="1" showColumnStripes="0"/>
</table>
</file>

<file path=xl/tables/table18.xml><?xml version="1.0" encoding="utf-8"?>
<table xmlns="http://schemas.openxmlformats.org/spreadsheetml/2006/main" id="23" name="MMWR_APP_NATIONAL" displayName="MMWR_APP_NATIONAL" ref="B2:D10" tableType="queryTable" totalsRowShown="0">
  <autoFilter ref="B2:D10"/>
  <tableColumns count="3">
    <tableColumn id="1" uniqueName="1" name="TITLE" queryTableFieldId="1"/>
    <tableColumn id="2" uniqueName="2" name="INVENTORY" queryTableFieldId="2"/>
    <tableColumn id="3" uniqueName="3" name="ADP" queryTableFieldId="3"/>
  </tableColumns>
  <tableStyleInfo name="TableStyleMedium2" showFirstColumn="0" showLastColumn="0" showRowStripes="1" showColumnStripes="0"/>
</table>
</file>

<file path=xl/tables/table19.xml><?xml version="1.0" encoding="utf-8"?>
<table xmlns="http://schemas.openxmlformats.org/spreadsheetml/2006/main" id="9" name="MMWR_STATION_DIM" displayName="MMWR_STATION_DIM" ref="A1:R106" tableType="queryTable" totalsRowShown="0">
  <autoFilter ref="A1:R106"/>
  <sortState ref="A2:R106">
    <sortCondition ref="A1:A106"/>
  </sortState>
  <tableColumns count="18">
    <tableColumn id="1" uniqueName="1" name="ID_ORD" queryTableFieldId="1"/>
    <tableColumn id="2" uniqueName="2" name="GEOGRAPHY_DIM_SID" queryTableFieldId="2"/>
    <tableColumn id="3" uniqueName="3" name="ID_RO" queryTableFieldId="3"/>
    <tableColumn id="4" uniqueName="4" name="DEF_RO" queryTableFieldId="4"/>
    <tableColumn id="5" uniqueName="5" name="ID_SPM" queryTableFieldId="5"/>
    <tableColumn id="6" uniqueName="6" name="DEF_SPM" queryTableFieldId="6"/>
    <tableColumn id="7" uniqueName="7" name="ID_AREA" queryTableFieldId="7"/>
    <tableColumn id="8" uniqueName="8" name="DEF_AREA" queryTableFieldId="8"/>
    <tableColumn id="9" uniqueName="9" name="AREA_NBR" queryTableFieldId="9"/>
    <tableColumn id="10" uniqueName="10" name="ID_DIST" queryTableFieldId="10"/>
    <tableColumn id="11" uniqueName="11" name="DEF_DIST" queryTableFieldId="11"/>
    <tableColumn id="12" uniqueName="12" name="LCTN_ID" queryTableFieldId="12"/>
    <tableColumn id="13" uniqueName="13" name="ID_STATE" queryTableFieldId="13"/>
    <tableColumn id="14" uniqueName="14" name="DEF_STATE" queryTableFieldId="14"/>
    <tableColumn id="15" uniqueName="15" name="KEY_RO" queryTableFieldId="15"/>
    <tableColumn id="16" uniqueName="16" name="KEY_SPM" queryTableFieldId="16"/>
    <tableColumn id="17" uniqueName="17" name="KEY_HL" queryTableFieldId="17"/>
    <tableColumn id="18" uniqueName="18" name="TYP_SPM" queryTableFieldId="18"/>
  </tableColumns>
  <tableStyleInfo name="TableStyleMedium2" showFirstColumn="0" showLastColumn="0" showRowStripes="1" showColumnStripes="0"/>
</table>
</file>

<file path=xl/tables/table2.xml><?xml version="1.0" encoding="utf-8"?>
<table xmlns="http://schemas.openxmlformats.org/spreadsheetml/2006/main" id="4" name="MMWR_TRAD_AGG_RO_COMP" displayName="MMWR_TRAD_AGG_RO_COMP" ref="F2:R61" tableType="queryTable" totalsRowShown="0">
  <sortState ref="F3:R61">
    <sortCondition ref="F3"/>
  </sortState>
  <tableColumns count="13">
    <tableColumn id="1" uniqueName="1" name="MMWR_TRAD_AGG_RO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20.xml><?xml version="1.0" encoding="utf-8"?>
<table xmlns="http://schemas.openxmlformats.org/spreadsheetml/2006/main" id="14" name="MMWR_STATE_DIM" displayName="MMWR_STATE_DIM" ref="A1:E61" tableType="queryTable" totalsRowShown="0">
  <autoFilter ref="A1:E61"/>
  <tableColumns count="5">
    <tableColumn id="1" uniqueName="1" name="ST" queryTableFieldId="1"/>
    <tableColumn id="2" uniqueName="2" name="STATE" queryTableFieldId="2"/>
    <tableColumn id="3" uniqueName="3" name="STATE_OTHER" queryTableFieldId="3"/>
    <tableColumn id="4" uniqueName="4" name="AREA" queryTableFieldId="4"/>
    <tableColumn id="5" uniqueName="5" name="STATE_DIST" queryTableFieldId="5"/>
  </tableColumns>
  <tableStyleInfo name="TableStyleMedium2" showFirstColumn="0" showLastColumn="0" showRowStripes="1" showColumnStripes="0"/>
</table>
</file>

<file path=xl/tables/table21.xml><?xml version="1.0" encoding="utf-8"?>
<table xmlns="http://schemas.openxmlformats.org/spreadsheetml/2006/main" id="1" name="DISTRICT_STATES" displayName="DISTRICT_STATES" ref="B2:Q8" totalsRowShown="0">
  <autoFilter ref="B2:Q8"/>
  <tableColumns count="16">
    <tableColumn id="1" name="District_STATES"/>
    <tableColumn id="2" name="1"/>
    <tableColumn id="3" name="2"/>
    <tableColumn id="5" name="4"/>
    <tableColumn id="6" name="5"/>
    <tableColumn id="7" name="6"/>
    <tableColumn id="8" name="7"/>
    <tableColumn id="9" name="8"/>
    <tableColumn id="10" name="9"/>
    <tableColumn id="11" name="10"/>
    <tableColumn id="12" name="11"/>
    <tableColumn id="13" name="12"/>
    <tableColumn id="14" name="13"/>
    <tableColumn id="15" name="14"/>
    <tableColumn id="16" name="15"/>
    <tableColumn id="4" name="16"/>
  </tableColumns>
  <tableStyleInfo name="TableStyleLight9" showFirstColumn="0" showLastColumn="0" showRowStripes="1" showColumnStripes="0"/>
</table>
</file>

<file path=xl/tables/table22.xml><?xml version="1.0" encoding="utf-8"?>
<table xmlns="http://schemas.openxmlformats.org/spreadsheetml/2006/main" id="2" name="DISTRICT_RO" displayName="DISTRICT_RO" ref="B10:R16" totalsRowShown="0">
  <autoFilter ref="B10:R16"/>
  <tableColumns count="17">
    <tableColumn id="1" name="District"/>
    <tableColumn id="2" name="1"/>
    <tableColumn id="3" name="2"/>
    <tableColumn id="5" name="4"/>
    <tableColumn id="6" name="5"/>
    <tableColumn id="7" name="6"/>
    <tableColumn id="8" name="7"/>
    <tableColumn id="9" name="8"/>
    <tableColumn id="10" name="9"/>
    <tableColumn id="11" name="10"/>
    <tableColumn id="12" name="11"/>
    <tableColumn id="13" name="12"/>
    <tableColumn id="14" name="13"/>
    <tableColumn id="15" name="14"/>
    <tableColumn id="16" name="15"/>
    <tableColumn id="17" name="16"/>
    <tableColumn id="18" name="17"/>
  </tableColumns>
  <tableStyleInfo name="TableStyleLight9" showFirstColumn="0" showLastColumn="0" showRowStripes="1" showColumnStripes="0"/>
</table>
</file>

<file path=xl/tables/table23.xml><?xml version="1.0" encoding="utf-8"?>
<table xmlns="http://schemas.openxmlformats.org/spreadsheetml/2006/main" id="24" name="MMWR_DATES" displayName="MMWR_DATES" ref="B19:D20" tableType="queryTable" totalsRowShown="0">
  <autoFilter ref="B19:D20"/>
  <tableColumns count="3">
    <tableColumn id="2" uniqueName="2" name="DATA_DATE" queryTableFieldId="2" dataDxfId="0"/>
    <tableColumn id="3" uniqueName="3" name="FILE_DATE" queryTableFieldId="3"/>
    <tableColumn id="4" uniqueName="4" name="MONTH_NUM" queryTableFieldId="4"/>
  </tableColumns>
  <tableStyleInfo name="TableStyleMedium2" showFirstColumn="0" showLastColumn="0" showRowStripes="1" showColumnStripes="0"/>
</table>
</file>

<file path=xl/tables/table3.xml><?xml version="1.0" encoding="utf-8"?>
<table xmlns="http://schemas.openxmlformats.org/spreadsheetml/2006/main" id="5" name="MMWR_TRAD_AGG_RO_PEN" displayName="MMWR_TRAD_AGG_RO_PEN" ref="T2:AF7" tableType="queryTable" totalsRowShown="0">
  <tableColumns count="13">
    <tableColumn id="1" uniqueName="1" name="MMWR_TRAD_AGG_RO_PEN" queryTableFieldId="1"/>
    <tableColumn id="2" uniqueName="2" name="NBRINV" queryTableFieldId="2"/>
    <tableColumn id="3" uniqueName="3" name="ADP" queryTableFieldId="3"/>
    <tableColumn id="4" uniqueName="4" name="ENTIT" queryTableFieldId="4"/>
    <tableColumn id="5" uniqueName="5" name="ENT125" queryTableFieldId="5"/>
    <tableColumn id="6" uniqueName="6" name="AWD" queryTableFieldId="6"/>
    <tableColumn id="7" uniqueName="7" name="AWD125" queryTableFieldId="7"/>
    <tableColumn id="8" uniqueName="8" name="PROGRVW" queryTableFieldId="8"/>
    <tableColumn id="9" uniqueName="9" name="PROG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4.xml><?xml version="1.0" encoding="utf-8"?>
<table xmlns="http://schemas.openxmlformats.org/spreadsheetml/2006/main" id="6" name="MMWR_TRAD_AGG_STATE_COMP" displayName="MMWR_TRAD_AGG_STATE_COMP" ref="AH2:AT55" tableType="queryTable" totalsRowShown="0">
  <sortState ref="AH3:AT55">
    <sortCondition ref="AH16"/>
  </sortState>
  <tableColumns count="13">
    <tableColumn id="1" uniqueName="1" name="MMWR_TRAD_AGG_STATE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5.xml><?xml version="1.0" encoding="utf-8"?>
<table xmlns="http://schemas.openxmlformats.org/spreadsheetml/2006/main" id="7" name="MMWR_TRAD_AGG_STATE_PEN" displayName="MMWR_TRAD_AGG_STATE_PEN" ref="AV2:BH55" tableType="queryTable" totalsRowShown="0">
  <sortState ref="AV3:BH55">
    <sortCondition ref="AV21"/>
  </sortState>
  <tableColumns count="13">
    <tableColumn id="1" uniqueName="1" name="MMWR_TRAD_AGG_STATE_PEN" queryTableFieldId="1"/>
    <tableColumn id="2" uniqueName="2" name="NBRINV" queryTableFieldId="2"/>
    <tableColumn id="3" uniqueName="3" name="ADP" queryTableFieldId="3"/>
    <tableColumn id="4" uniqueName="4" name="ENTIT" queryTableFieldId="4"/>
    <tableColumn id="5" uniqueName="5" name="ENT125" queryTableFieldId="5"/>
    <tableColumn id="6" uniqueName="6" name="AWD" queryTableFieldId="6"/>
    <tableColumn id="7" uniqueName="7" name="AWD125" queryTableFieldId="7"/>
    <tableColumn id="8" uniqueName="8" name="PROGRVW" queryTableFieldId="8"/>
    <tableColumn id="9" uniqueName="9" name="PROG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6.xml><?xml version="1.0" encoding="utf-8"?>
<table xmlns="http://schemas.openxmlformats.org/spreadsheetml/2006/main" id="8" name="MMWR_TRAD_AGG_DISTRICT_COMP" displayName="MMWR_TRAD_AGG_DISTRICT_COMP" ref="T12:AF19" tableType="queryTable" totalsRowShown="0">
  <tableColumns count="13">
    <tableColumn id="1" uniqueName="1" name="MMWR_TRAD_AGG_DISTRICT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7.xml><?xml version="1.0" encoding="utf-8"?>
<table xmlns="http://schemas.openxmlformats.org/spreadsheetml/2006/main" id="10" name="MMWR_TRAD_AGG_ST_DISTRICT_COMP" displayName="MMWR_TRAD_AGG_ST_DISTRICT_COMP" ref="T24:AF31" tableType="queryTable" totalsRowShown="0">
  <tableColumns count="13">
    <tableColumn id="1" uniqueName="1" name="MMWR_TRAD_AGG_ST_DISTRICT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8.xml><?xml version="1.0" encoding="utf-8"?>
<table xmlns="http://schemas.openxmlformats.org/spreadsheetml/2006/main" id="13" name="MMWR_TRAD_AGG_ST_DISTRICT_PEN" displayName="MMWR_TRAD_AGG_ST_DISTRICT_PEN" ref="T36:AF42" tableType="queryTable" totalsRowShown="0">
  <tableColumns count="13">
    <tableColumn id="1" uniqueName="1" name="MMWR_TRAD_AGG_ST_DISTRICT_PEN" queryTableFieldId="1"/>
    <tableColumn id="2" uniqueName="2" name="NBRINV" queryTableFieldId="2"/>
    <tableColumn id="3" uniqueName="3" name="ADP" queryTableFieldId="3"/>
    <tableColumn id="4" uniqueName="4" name="ENTIT" queryTableFieldId="4"/>
    <tableColumn id="5" uniqueName="5" name="ENT125" queryTableFieldId="5"/>
    <tableColumn id="6" uniqueName="6" name="AWD" queryTableFieldId="6"/>
    <tableColumn id="7" uniqueName="7" name="AWD125" queryTableFieldId="7"/>
    <tableColumn id="8" uniqueName="8" name="PROGRVW" queryTableFieldId="8"/>
    <tableColumn id="9" uniqueName="9" name="PROG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9.xml><?xml version="1.0" encoding="utf-8"?>
<table xmlns="http://schemas.openxmlformats.org/spreadsheetml/2006/main" id="15" name="MMWR_RATING_RO_ROLLUP" displayName="MMWR_RATING_RO_ROLLUP" ref="BJ2:BY81" tableType="queryTable" totalsRowShown="0">
  <tableColumns count="16">
    <tableColumn id="1" uniqueName="1" name="MMWR_RATING_RO_ROLLUP" queryTableFieldId="1"/>
    <tableColumn id="2" uniqueName="2" name="DIST_TYP" queryTableFieldId="2"/>
    <tableColumn id="3" uniqueName="3" name="SOO_INVENTORY" queryTableFieldId="3"/>
    <tableColumn id="4" uniqueName="4" name="SOO_BL_INVENTORY" queryTableFieldId="4"/>
    <tableColumn id="5" uniqueName="5" name="SOO_ADP" queryTableFieldId="5"/>
    <tableColumn id="6" uniqueName="6" name="SOO_PRODUCTION_FYTD" queryTableFieldId="6"/>
    <tableColumn id="7" uniqueName="7" name="SOO_PRODUCTION_MTD" queryTableFieldId="7"/>
    <tableColumn id="8" uniqueName="8" name="SOO_ADC_FYTD" queryTableFieldId="8"/>
    <tableColumn id="9" uniqueName="9" name="SOO_ADC_MTD" queryTableFieldId="9"/>
    <tableColumn id="10" uniqueName="10" name="SOJ_INVENTORY" queryTableFieldId="10"/>
    <tableColumn id="11" uniqueName="11" name="SOJ_BL_INVENTORY" queryTableFieldId="11"/>
    <tableColumn id="12" uniqueName="12" name="SOJ_ADP" queryTableFieldId="12"/>
    <tableColumn id="13" uniqueName="13" name="SOJ_PRODUCTION_FYTD" queryTableFieldId="13"/>
    <tableColumn id="14" uniqueName="14" name="SOJ_PRODUCTION_MTD" queryTableFieldId="14"/>
    <tableColumn id="15" uniqueName="15" name="SOJ_ADC_FYTD" queryTableFieldId="15"/>
    <tableColumn id="16" uniqueName="16" name="SOJ_ADC_MTD" queryTableFieldId="16"/>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10.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table" Target="../tables/table15.xml"/><Relationship Id="rId1" Type="http://schemas.openxmlformats.org/officeDocument/2006/relationships/printerSettings" Target="../printerSettings/printerSettings11.bin"/><Relationship Id="rId5" Type="http://schemas.openxmlformats.org/officeDocument/2006/relationships/table" Target="../tables/table18.xml"/><Relationship Id="rId4" Type="http://schemas.openxmlformats.org/officeDocument/2006/relationships/table" Target="../tables/table17.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table" Target="../tables/table21.xml"/><Relationship Id="rId1" Type="http://schemas.openxmlformats.org/officeDocument/2006/relationships/printerSettings" Target="../printerSettings/printerSettings14.bin"/><Relationship Id="rId4" Type="http://schemas.openxmlformats.org/officeDocument/2006/relationships/table" Target="../tables/table2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4.emf"/><Relationship Id="rId4" Type="http://schemas.openxmlformats.org/officeDocument/2006/relationships/control" Target="../activeX/activeX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5.emf"/><Relationship Id="rId4" Type="http://schemas.openxmlformats.org/officeDocument/2006/relationships/control" Target="../activeX/activeX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6.emf"/><Relationship Id="rId4" Type="http://schemas.openxmlformats.org/officeDocument/2006/relationships/control" Target="../activeX/activeX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 Type="http://schemas.openxmlformats.org/officeDocument/2006/relationships/printerSettings" Target="../printerSettings/printerSettings9.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P40"/>
  <sheetViews>
    <sheetView tabSelected="1" zoomScale="90" zoomScaleNormal="90" workbookViewId="0">
      <selection sqref="A1:P1"/>
    </sheetView>
  </sheetViews>
  <sheetFormatPr defaultColWidth="0" defaultRowHeight="12.75" zeroHeight="1" x14ac:dyDescent="0.2"/>
  <cols>
    <col min="1" max="7" width="9.140625" customWidth="1"/>
    <col min="8" max="8" width="12.5703125" customWidth="1"/>
    <col min="9" max="13" width="9.140625" customWidth="1"/>
    <col min="14" max="14" width="10.42578125" customWidth="1"/>
    <col min="15" max="16" width="9.140625" customWidth="1"/>
    <col min="17" max="16384" width="9.140625" hidden="1"/>
  </cols>
  <sheetData>
    <row r="1" spans="1:16" ht="29.25" customHeight="1" thickBot="1" x14ac:dyDescent="0.25">
      <c r="A1" s="273" t="s">
        <v>312</v>
      </c>
      <c r="B1" s="274"/>
      <c r="C1" s="274"/>
      <c r="D1" s="274"/>
      <c r="E1" s="274"/>
      <c r="F1" s="274"/>
      <c r="G1" s="274"/>
      <c r="H1" s="274"/>
      <c r="I1" s="274"/>
      <c r="J1" s="274"/>
      <c r="K1" s="274"/>
      <c r="L1" s="274"/>
      <c r="M1" s="274"/>
      <c r="N1" s="274"/>
      <c r="O1" s="274"/>
      <c r="P1" s="275"/>
    </row>
    <row r="2" spans="1:16" ht="29.25" customHeight="1" x14ac:dyDescent="0.2">
      <c r="A2" s="267" t="s">
        <v>314</v>
      </c>
      <c r="B2" s="268"/>
      <c r="C2" s="268"/>
      <c r="D2" s="268"/>
      <c r="E2" s="268"/>
      <c r="F2" s="268"/>
      <c r="G2" s="268"/>
      <c r="H2" s="268"/>
      <c r="I2" s="268"/>
      <c r="J2" s="268"/>
      <c r="K2" s="268"/>
      <c r="L2" s="268"/>
      <c r="M2" s="268"/>
      <c r="N2" s="269"/>
      <c r="O2" s="276"/>
      <c r="P2" s="277"/>
    </row>
    <row r="3" spans="1:16" x14ac:dyDescent="0.2">
      <c r="A3" s="267"/>
      <c r="B3" s="268"/>
      <c r="C3" s="268"/>
      <c r="D3" s="268"/>
      <c r="E3" s="268"/>
      <c r="F3" s="268"/>
      <c r="G3" s="268"/>
      <c r="H3" s="268"/>
      <c r="I3" s="268"/>
      <c r="J3" s="268"/>
      <c r="K3" s="268"/>
      <c r="L3" s="268"/>
      <c r="M3" s="268"/>
      <c r="N3" s="269"/>
      <c r="O3" s="278"/>
      <c r="P3" s="279"/>
    </row>
    <row r="4" spans="1:16" x14ac:dyDescent="0.2">
      <c r="A4" s="267"/>
      <c r="B4" s="268"/>
      <c r="C4" s="268"/>
      <c r="D4" s="268"/>
      <c r="E4" s="268"/>
      <c r="F4" s="268"/>
      <c r="G4" s="268"/>
      <c r="H4" s="268"/>
      <c r="I4" s="268"/>
      <c r="J4" s="268"/>
      <c r="K4" s="268"/>
      <c r="L4" s="268"/>
      <c r="M4" s="268"/>
      <c r="N4" s="269"/>
      <c r="O4" s="278"/>
      <c r="P4" s="279"/>
    </row>
    <row r="5" spans="1:16" x14ac:dyDescent="0.2">
      <c r="A5" s="267"/>
      <c r="B5" s="268"/>
      <c r="C5" s="268"/>
      <c r="D5" s="268"/>
      <c r="E5" s="268"/>
      <c r="F5" s="268"/>
      <c r="G5" s="268"/>
      <c r="H5" s="268"/>
      <c r="I5" s="268"/>
      <c r="J5" s="268"/>
      <c r="K5" s="268"/>
      <c r="L5" s="268"/>
      <c r="M5" s="268"/>
      <c r="N5" s="269"/>
      <c r="O5" s="278"/>
      <c r="P5" s="279"/>
    </row>
    <row r="6" spans="1:16" x14ac:dyDescent="0.2">
      <c r="A6" s="267"/>
      <c r="B6" s="268"/>
      <c r="C6" s="268"/>
      <c r="D6" s="268"/>
      <c r="E6" s="268"/>
      <c r="F6" s="268"/>
      <c r="G6" s="268"/>
      <c r="H6" s="268"/>
      <c r="I6" s="268"/>
      <c r="J6" s="268"/>
      <c r="K6" s="268"/>
      <c r="L6" s="268"/>
      <c r="M6" s="268"/>
      <c r="N6" s="269"/>
      <c r="O6" s="278"/>
      <c r="P6" s="279"/>
    </row>
    <row r="7" spans="1:16" ht="18" customHeight="1" thickBot="1" x14ac:dyDescent="0.25">
      <c r="A7" s="270"/>
      <c r="B7" s="271"/>
      <c r="C7" s="271"/>
      <c r="D7" s="271"/>
      <c r="E7" s="271"/>
      <c r="F7" s="271"/>
      <c r="G7" s="271"/>
      <c r="H7" s="271"/>
      <c r="I7" s="271"/>
      <c r="J7" s="271"/>
      <c r="K7" s="271"/>
      <c r="L7" s="271"/>
      <c r="M7" s="271"/>
      <c r="N7" s="272"/>
      <c r="O7" s="280"/>
      <c r="P7" s="281"/>
    </row>
    <row r="8" spans="1:16" ht="18.75" thickBot="1" x14ac:dyDescent="0.25">
      <c r="A8" s="264" t="s">
        <v>310</v>
      </c>
      <c r="B8" s="265"/>
      <c r="C8" s="265"/>
      <c r="D8" s="265"/>
      <c r="E8" s="265"/>
      <c r="F8" s="265"/>
      <c r="G8" s="266"/>
      <c r="H8" s="264" t="s">
        <v>311</v>
      </c>
      <c r="I8" s="265"/>
      <c r="J8" s="265"/>
      <c r="K8" s="265"/>
      <c r="L8" s="265"/>
      <c r="M8" s="265"/>
      <c r="N8" s="265"/>
      <c r="O8" s="265"/>
      <c r="P8" s="266"/>
    </row>
    <row r="9" spans="1:16" x14ac:dyDescent="0.2">
      <c r="A9" s="2"/>
      <c r="B9" s="3"/>
      <c r="C9" s="3"/>
      <c r="D9" s="3"/>
      <c r="E9" s="3"/>
      <c r="F9" s="3"/>
      <c r="G9" s="4"/>
      <c r="H9" s="3"/>
      <c r="I9" s="3"/>
      <c r="J9" s="3"/>
      <c r="K9" s="3"/>
      <c r="L9" s="3"/>
      <c r="M9" s="3"/>
      <c r="N9" s="3"/>
      <c r="O9" s="3"/>
      <c r="P9" s="4"/>
    </row>
    <row r="10" spans="1:16" x14ac:dyDescent="0.2">
      <c r="A10" s="2"/>
      <c r="B10" s="3"/>
      <c r="C10" s="3"/>
      <c r="D10" s="3"/>
      <c r="E10" s="3"/>
      <c r="F10" s="3"/>
      <c r="G10" s="4"/>
      <c r="H10" s="3"/>
      <c r="I10" s="3"/>
      <c r="J10" s="3"/>
      <c r="K10" s="3"/>
      <c r="L10" s="3"/>
      <c r="M10" s="3"/>
      <c r="N10" s="3"/>
      <c r="O10" s="3"/>
      <c r="P10" s="4"/>
    </row>
    <row r="11" spans="1:16" x14ac:dyDescent="0.2">
      <c r="A11" s="2"/>
      <c r="B11" s="3"/>
      <c r="C11" s="3"/>
      <c r="D11" s="3"/>
      <c r="E11" s="3"/>
      <c r="F11" s="3"/>
      <c r="G11" s="4"/>
      <c r="H11" s="3"/>
      <c r="I11" s="3"/>
      <c r="J11" s="3"/>
      <c r="K11" s="3"/>
      <c r="L11" s="3"/>
      <c r="M11" s="3"/>
      <c r="N11" s="3"/>
      <c r="O11" s="3"/>
      <c r="P11" s="4"/>
    </row>
    <row r="12" spans="1:16" x14ac:dyDescent="0.2">
      <c r="A12" s="2"/>
      <c r="B12" s="3"/>
      <c r="C12" s="3"/>
      <c r="D12" s="3"/>
      <c r="E12" s="3"/>
      <c r="F12" s="3"/>
      <c r="G12" s="4"/>
      <c r="H12" s="3"/>
      <c r="I12" s="3"/>
      <c r="J12" s="3"/>
      <c r="K12" s="3"/>
      <c r="L12" s="3"/>
      <c r="M12" s="3"/>
      <c r="N12" s="3"/>
      <c r="O12" s="3"/>
      <c r="P12" s="4"/>
    </row>
    <row r="13" spans="1:16" x14ac:dyDescent="0.2">
      <c r="A13" s="2"/>
      <c r="B13" s="3"/>
      <c r="C13" s="3"/>
      <c r="D13" s="3"/>
      <c r="E13" s="3"/>
      <c r="F13" s="3"/>
      <c r="G13" s="4"/>
      <c r="H13" s="3"/>
      <c r="I13" s="3"/>
      <c r="J13" s="3"/>
      <c r="K13" s="3"/>
      <c r="L13" s="3"/>
      <c r="M13" s="3"/>
      <c r="N13" s="3"/>
      <c r="O13" s="3"/>
      <c r="P13" s="4"/>
    </row>
    <row r="14" spans="1:16" x14ac:dyDescent="0.2">
      <c r="A14" s="2"/>
      <c r="B14" s="3"/>
      <c r="C14" s="3"/>
      <c r="D14" s="3"/>
      <c r="E14" s="3"/>
      <c r="F14" s="3"/>
      <c r="G14" s="4"/>
      <c r="H14" s="3"/>
      <c r="I14" s="3"/>
      <c r="J14" s="3"/>
      <c r="K14" s="3"/>
      <c r="L14" s="3"/>
      <c r="M14" s="3"/>
      <c r="N14" s="3"/>
      <c r="O14" s="3"/>
      <c r="P14" s="4"/>
    </row>
    <row r="15" spans="1:16" x14ac:dyDescent="0.2">
      <c r="A15" s="2"/>
      <c r="B15" s="3"/>
      <c r="C15" s="3"/>
      <c r="D15" s="3"/>
      <c r="E15" s="3"/>
      <c r="F15" s="3"/>
      <c r="G15" s="4"/>
      <c r="H15" s="3"/>
      <c r="I15" s="3"/>
      <c r="J15" s="3"/>
      <c r="K15" s="3"/>
      <c r="L15" s="3"/>
      <c r="M15" s="3"/>
      <c r="N15" s="3"/>
      <c r="O15" s="3"/>
      <c r="P15" s="4"/>
    </row>
    <row r="16" spans="1:16" x14ac:dyDescent="0.2">
      <c r="A16" s="2"/>
      <c r="B16" s="3"/>
      <c r="C16" s="3"/>
      <c r="D16" s="3"/>
      <c r="E16" s="3"/>
      <c r="F16" s="3"/>
      <c r="G16" s="4"/>
      <c r="H16" s="3"/>
      <c r="I16" s="3"/>
      <c r="J16" s="3"/>
      <c r="K16" s="3"/>
      <c r="L16" s="3"/>
      <c r="M16" s="3"/>
      <c r="N16" s="3"/>
      <c r="O16" s="3"/>
      <c r="P16" s="4"/>
    </row>
    <row r="17" spans="1:16" x14ac:dyDescent="0.2">
      <c r="A17" s="2"/>
      <c r="B17" s="3"/>
      <c r="C17" s="3"/>
      <c r="D17" s="3"/>
      <c r="E17" s="3"/>
      <c r="F17" s="3"/>
      <c r="G17" s="4"/>
      <c r="H17" s="3"/>
      <c r="I17" s="3"/>
      <c r="J17" s="3"/>
      <c r="K17" s="3"/>
      <c r="L17" s="3"/>
      <c r="M17" s="3"/>
      <c r="N17" s="3"/>
      <c r="O17" s="3"/>
      <c r="P17" s="4"/>
    </row>
    <row r="18" spans="1:16" x14ac:dyDescent="0.2">
      <c r="A18" s="2"/>
      <c r="B18" s="3"/>
      <c r="C18" s="3"/>
      <c r="D18" s="3"/>
      <c r="E18" s="3"/>
      <c r="F18" s="3"/>
      <c r="G18" s="4"/>
      <c r="H18" s="3"/>
      <c r="I18" s="3"/>
      <c r="J18" s="3"/>
      <c r="K18" s="3"/>
      <c r="L18" s="3"/>
      <c r="M18" s="3"/>
      <c r="N18" s="3"/>
      <c r="O18" s="3"/>
      <c r="P18" s="4"/>
    </row>
    <row r="19" spans="1:16" x14ac:dyDescent="0.2">
      <c r="A19" s="2"/>
      <c r="B19" s="3"/>
      <c r="C19" s="3"/>
      <c r="D19" s="3"/>
      <c r="E19" s="3"/>
      <c r="F19" s="3"/>
      <c r="G19" s="4"/>
      <c r="H19" s="3"/>
      <c r="I19" s="3"/>
      <c r="J19" s="3"/>
      <c r="K19" s="3"/>
      <c r="L19" s="3"/>
      <c r="M19" s="3"/>
      <c r="N19" s="3"/>
      <c r="O19" s="3"/>
      <c r="P19" s="4"/>
    </row>
    <row r="20" spans="1:16" x14ac:dyDescent="0.2">
      <c r="A20" s="2"/>
      <c r="B20" s="3"/>
      <c r="C20" s="3"/>
      <c r="D20" s="3"/>
      <c r="E20" s="3"/>
      <c r="F20" s="3"/>
      <c r="G20" s="4"/>
      <c r="H20" s="3"/>
      <c r="I20" s="3"/>
      <c r="J20" s="3"/>
      <c r="K20" s="3"/>
      <c r="L20" s="3"/>
      <c r="M20" s="3"/>
      <c r="N20" s="3"/>
      <c r="O20" s="3"/>
      <c r="P20" s="4"/>
    </row>
    <row r="21" spans="1:16" x14ac:dyDescent="0.2">
      <c r="A21" s="2"/>
      <c r="B21" s="3"/>
      <c r="C21" s="3"/>
      <c r="D21" s="3"/>
      <c r="E21" s="3"/>
      <c r="F21" s="3"/>
      <c r="G21" s="4"/>
      <c r="H21" s="3"/>
      <c r="I21" s="3"/>
      <c r="J21" s="3"/>
      <c r="K21" s="3"/>
      <c r="L21" s="3"/>
      <c r="M21" s="3"/>
      <c r="N21" s="3"/>
      <c r="O21" s="3"/>
      <c r="P21" s="4"/>
    </row>
    <row r="22" spans="1:16" x14ac:dyDescent="0.2">
      <c r="A22" s="2"/>
      <c r="B22" s="3"/>
      <c r="C22" s="3"/>
      <c r="D22" s="3"/>
      <c r="E22" s="3"/>
      <c r="F22" s="3"/>
      <c r="G22" s="4"/>
      <c r="H22" s="3"/>
      <c r="I22" s="3"/>
      <c r="J22" s="3"/>
      <c r="K22" s="3"/>
      <c r="L22" s="3"/>
      <c r="M22" s="3"/>
      <c r="N22" s="3"/>
      <c r="O22" s="3"/>
      <c r="P22" s="4"/>
    </row>
    <row r="23" spans="1:16" x14ac:dyDescent="0.2">
      <c r="A23" s="2"/>
      <c r="B23" s="3"/>
      <c r="C23" s="3"/>
      <c r="D23" s="3"/>
      <c r="E23" s="3"/>
      <c r="F23" s="3"/>
      <c r="G23" s="4"/>
      <c r="H23" s="3"/>
      <c r="I23" s="3"/>
      <c r="J23" s="3"/>
      <c r="K23" s="3"/>
      <c r="L23" s="3"/>
      <c r="M23" s="3"/>
      <c r="N23" s="3"/>
      <c r="O23" s="3"/>
      <c r="P23" s="4"/>
    </row>
    <row r="24" spans="1:16" x14ac:dyDescent="0.2">
      <c r="A24" s="2"/>
      <c r="B24" s="3"/>
      <c r="C24" s="3"/>
      <c r="D24" s="3"/>
      <c r="E24" s="3"/>
      <c r="F24" s="3"/>
      <c r="G24" s="4"/>
      <c r="H24" s="3"/>
      <c r="I24" s="3"/>
      <c r="J24" s="3"/>
      <c r="K24" s="3"/>
      <c r="L24" s="3"/>
      <c r="M24" s="3"/>
      <c r="N24" s="3"/>
      <c r="O24" s="3"/>
      <c r="P24" s="4"/>
    </row>
    <row r="25" spans="1:16" x14ac:dyDescent="0.2">
      <c r="A25" s="2"/>
      <c r="B25" s="3"/>
      <c r="C25" s="3"/>
      <c r="D25" s="3"/>
      <c r="E25" s="3"/>
      <c r="F25" s="3"/>
      <c r="G25" s="4"/>
      <c r="H25" s="3"/>
      <c r="I25" s="3"/>
      <c r="J25" s="3"/>
      <c r="K25" s="3"/>
      <c r="L25" s="3"/>
      <c r="M25" s="3"/>
      <c r="N25" s="3"/>
      <c r="O25" s="3"/>
      <c r="P25" s="4"/>
    </row>
    <row r="26" spans="1:16" x14ac:dyDescent="0.2">
      <c r="A26" s="2"/>
      <c r="B26" s="3"/>
      <c r="C26" s="3"/>
      <c r="D26" s="3"/>
      <c r="E26" s="3"/>
      <c r="F26" s="3"/>
      <c r="G26" s="4"/>
      <c r="H26" s="3"/>
      <c r="I26" s="3"/>
      <c r="J26" s="3"/>
      <c r="K26" s="3"/>
      <c r="L26" s="3"/>
      <c r="M26" s="3"/>
      <c r="N26" s="3"/>
      <c r="O26" s="3"/>
      <c r="P26" s="4"/>
    </row>
    <row r="27" spans="1:16" x14ac:dyDescent="0.2">
      <c r="A27" s="2"/>
      <c r="B27" s="3"/>
      <c r="C27" s="3"/>
      <c r="D27" s="3"/>
      <c r="E27" s="3"/>
      <c r="F27" s="3"/>
      <c r="G27" s="4"/>
      <c r="H27" s="3"/>
      <c r="I27" s="3"/>
      <c r="J27" s="3"/>
      <c r="K27" s="3"/>
      <c r="L27" s="3"/>
      <c r="M27" s="3"/>
      <c r="N27" s="3"/>
      <c r="O27" s="3"/>
      <c r="P27" s="4"/>
    </row>
    <row r="28" spans="1:16" x14ac:dyDescent="0.2">
      <c r="A28" s="2"/>
      <c r="B28" s="3"/>
      <c r="C28" s="3"/>
      <c r="D28" s="3"/>
      <c r="E28" s="3"/>
      <c r="F28" s="3"/>
      <c r="G28" s="4"/>
      <c r="H28" s="3"/>
      <c r="I28" s="3"/>
      <c r="J28" s="3"/>
      <c r="K28" s="3"/>
      <c r="L28" s="3"/>
      <c r="M28" s="3"/>
      <c r="N28" s="3"/>
      <c r="O28" s="3"/>
      <c r="P28" s="4"/>
    </row>
    <row r="29" spans="1:16" x14ac:dyDescent="0.2">
      <c r="A29" s="2"/>
      <c r="B29" s="3"/>
      <c r="C29" s="3"/>
      <c r="D29" s="3"/>
      <c r="E29" s="3"/>
      <c r="F29" s="3"/>
      <c r="G29" s="4"/>
      <c r="H29" s="3"/>
      <c r="I29" s="3"/>
      <c r="J29" s="3"/>
      <c r="K29" s="3"/>
      <c r="L29" s="3"/>
      <c r="M29" s="3"/>
      <c r="N29" s="3"/>
      <c r="O29" s="3"/>
      <c r="P29" s="4"/>
    </row>
    <row r="30" spans="1:16" x14ac:dyDescent="0.2">
      <c r="A30" s="2"/>
      <c r="B30" s="3"/>
      <c r="C30" s="3"/>
      <c r="D30" s="3"/>
      <c r="E30" s="3"/>
      <c r="F30" s="3"/>
      <c r="G30" s="4"/>
      <c r="H30" s="3"/>
      <c r="I30" s="3"/>
      <c r="J30" s="3"/>
      <c r="K30" s="3"/>
      <c r="L30" s="3"/>
      <c r="M30" s="3"/>
      <c r="N30" s="3"/>
      <c r="O30" s="3"/>
      <c r="P30" s="4"/>
    </row>
    <row r="31" spans="1:16" x14ac:dyDescent="0.2">
      <c r="A31" s="2"/>
      <c r="B31" s="3"/>
      <c r="C31" s="3"/>
      <c r="D31" s="3"/>
      <c r="E31" s="3"/>
      <c r="F31" s="3"/>
      <c r="G31" s="4"/>
      <c r="H31" s="3"/>
      <c r="I31" s="3"/>
      <c r="J31" s="3"/>
      <c r="K31" s="3"/>
      <c r="L31" s="3"/>
      <c r="M31" s="3"/>
      <c r="N31" s="3"/>
      <c r="O31" s="3"/>
      <c r="P31" s="4"/>
    </row>
    <row r="32" spans="1:16" x14ac:dyDescent="0.2">
      <c r="A32" s="2"/>
      <c r="B32" s="3"/>
      <c r="C32" s="3"/>
      <c r="D32" s="3"/>
      <c r="E32" s="3"/>
      <c r="F32" s="3"/>
      <c r="G32" s="4"/>
      <c r="H32" s="3"/>
      <c r="I32" s="3"/>
      <c r="J32" s="3"/>
      <c r="K32" s="3"/>
      <c r="L32" s="3"/>
      <c r="M32" s="3"/>
      <c r="N32" s="3"/>
      <c r="O32" s="3"/>
      <c r="P32" s="4"/>
    </row>
    <row r="33" spans="1:16" x14ac:dyDescent="0.2">
      <c r="A33" s="2"/>
      <c r="B33" s="3"/>
      <c r="C33" s="3"/>
      <c r="D33" s="3"/>
      <c r="E33" s="3"/>
      <c r="F33" s="3"/>
      <c r="G33" s="4"/>
      <c r="H33" s="3"/>
      <c r="I33" s="3"/>
      <c r="J33" s="3"/>
      <c r="K33" s="3"/>
      <c r="L33" s="3"/>
      <c r="M33" s="3"/>
      <c r="N33" s="3"/>
      <c r="O33" s="3"/>
      <c r="P33" s="4"/>
    </row>
    <row r="34" spans="1:16" x14ac:dyDescent="0.2">
      <c r="A34" s="2"/>
      <c r="B34" s="3"/>
      <c r="C34" s="3"/>
      <c r="D34" s="3"/>
      <c r="E34" s="3"/>
      <c r="F34" s="3"/>
      <c r="G34" s="4"/>
      <c r="H34" s="3"/>
      <c r="I34" s="3"/>
      <c r="J34" s="3"/>
      <c r="K34" s="3"/>
      <c r="L34" s="3"/>
      <c r="M34" s="3"/>
      <c r="N34" s="3"/>
      <c r="O34" s="3"/>
      <c r="P34" s="4"/>
    </row>
    <row r="35" spans="1:16" x14ac:dyDescent="0.2">
      <c r="A35" s="2"/>
      <c r="B35" s="3"/>
      <c r="C35" s="3"/>
      <c r="D35" s="3"/>
      <c r="E35" s="3"/>
      <c r="F35" s="3"/>
      <c r="G35" s="4"/>
      <c r="H35" s="3"/>
      <c r="I35" s="3"/>
      <c r="J35" s="3"/>
      <c r="K35" s="3"/>
      <c r="L35" s="3"/>
      <c r="M35" s="3"/>
      <c r="N35" s="3"/>
      <c r="O35" s="3"/>
      <c r="P35" s="4"/>
    </row>
    <row r="36" spans="1:16" x14ac:dyDescent="0.2">
      <c r="A36" s="2"/>
      <c r="B36" s="3"/>
      <c r="C36" s="3"/>
      <c r="D36" s="3"/>
      <c r="E36" s="3"/>
      <c r="F36" s="3"/>
      <c r="G36" s="4"/>
      <c r="H36" s="3"/>
      <c r="I36" s="3"/>
      <c r="J36" s="3"/>
      <c r="K36" s="3"/>
      <c r="L36" s="3"/>
      <c r="M36" s="3"/>
      <c r="N36" s="3"/>
      <c r="O36" s="3"/>
      <c r="P36" s="4"/>
    </row>
    <row r="37" spans="1:16" x14ac:dyDescent="0.2">
      <c r="A37" s="2"/>
      <c r="B37" s="3"/>
      <c r="C37" s="3"/>
      <c r="D37" s="3"/>
      <c r="E37" s="3"/>
      <c r="F37" s="3"/>
      <c r="G37" s="4"/>
      <c r="H37" s="3"/>
      <c r="I37" s="3"/>
      <c r="J37" s="3"/>
      <c r="K37" s="3"/>
      <c r="L37" s="3"/>
      <c r="M37" s="3"/>
      <c r="N37" s="3"/>
      <c r="O37" s="3"/>
      <c r="P37" s="4"/>
    </row>
    <row r="38" spans="1:16" x14ac:dyDescent="0.2">
      <c r="A38" s="2"/>
      <c r="B38" s="3"/>
      <c r="C38" s="3"/>
      <c r="D38" s="3"/>
      <c r="E38" s="3"/>
      <c r="F38" s="3"/>
      <c r="G38" s="4"/>
      <c r="H38" s="3"/>
      <c r="I38" s="3"/>
      <c r="J38" s="3"/>
      <c r="K38" s="3"/>
      <c r="L38" s="3"/>
      <c r="M38" s="3"/>
      <c r="N38" s="3"/>
      <c r="O38" s="3"/>
      <c r="P38" s="4"/>
    </row>
    <row r="39" spans="1:16" x14ac:dyDescent="0.2">
      <c r="A39" s="2"/>
      <c r="B39" s="3"/>
      <c r="C39" s="3"/>
      <c r="D39" s="3"/>
      <c r="E39" s="3"/>
      <c r="F39" s="3"/>
      <c r="G39" s="4"/>
      <c r="H39" s="3"/>
      <c r="I39" s="3"/>
      <c r="J39" s="3"/>
      <c r="K39" s="3"/>
      <c r="L39" s="3"/>
      <c r="M39" s="3"/>
      <c r="N39" s="3"/>
      <c r="O39" s="3"/>
      <c r="P39" s="4"/>
    </row>
    <row r="40" spans="1:16" ht="13.5" thickBot="1" x14ac:dyDescent="0.25">
      <c r="A40" s="5"/>
      <c r="B40" s="6"/>
      <c r="C40" s="6"/>
      <c r="D40" s="6"/>
      <c r="E40" s="6"/>
      <c r="F40" s="6"/>
      <c r="G40" s="7"/>
      <c r="H40" s="6"/>
      <c r="I40" s="6"/>
      <c r="J40" s="6"/>
      <c r="K40" s="6"/>
      <c r="L40" s="6"/>
      <c r="M40" s="6"/>
      <c r="N40" s="6"/>
      <c r="O40" s="6"/>
      <c r="P40" s="7"/>
    </row>
  </sheetData>
  <sheetProtection password="BD20" sheet="1" autoFilter="0"/>
  <mergeCells count="5">
    <mergeCell ref="H8:P8"/>
    <mergeCell ref="A8:G8"/>
    <mergeCell ref="A2:N7"/>
    <mergeCell ref="A1:P1"/>
    <mergeCell ref="O2:P7"/>
  </mergeCells>
  <printOptions horizontalCentered="1" verticalCentered="1"/>
  <pageMargins left="0.25" right="0.25" top="0.75" bottom="0.75" header="0.3" footer="0.3"/>
  <pageSetup scale="90" fitToHeight="0" orientation="landscape" r:id="rId1"/>
  <headerFooter>
    <oddHeader>&amp;C&amp;14VBA Monday Morning Workload Report</oddHeader>
    <oddFooter>&amp;LPrepared by VBA Office of Performance Analysis &amp; Integrity&amp;R&amp;A
Page: &amp;P of &amp;N</oddFooter>
  </headerFooter>
  <drawing r:id="rId2"/>
  <legacyDrawing r:id="rId3"/>
  <oleObjects>
    <mc:AlternateContent xmlns:mc="http://schemas.openxmlformats.org/markup-compatibility/2006">
      <mc:Choice Requires="x14">
        <oleObject progId="Document" dvAspect="DVASPECT_ICON" shapeId="35775" r:id="rId4">
          <objectPr defaultSize="0" autoPict="0" r:id="rId5">
            <anchor moveWithCells="1">
              <from>
                <xdr:col>14</xdr:col>
                <xdr:colOff>38100</xdr:colOff>
                <xdr:row>1</xdr:row>
                <xdr:rowOff>152400</xdr:rowOff>
              </from>
              <to>
                <xdr:col>15</xdr:col>
                <xdr:colOff>609600</xdr:colOff>
                <xdr:row>6</xdr:row>
                <xdr:rowOff>19050</xdr:rowOff>
              </to>
            </anchor>
          </objectPr>
        </oleObject>
      </mc:Choice>
      <mc:Fallback>
        <oleObject progId="Document" dvAspect="DVASPECT_ICON" shapeId="3577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0000"/>
  </sheetPr>
  <dimension ref="B2:P71"/>
  <sheetViews>
    <sheetView zoomScale="80" zoomScaleNormal="80" workbookViewId="0"/>
  </sheetViews>
  <sheetFormatPr defaultRowHeight="12.75" x14ac:dyDescent="0.2"/>
  <cols>
    <col min="2" max="2" width="24.140625" bestFit="1" customWidth="1"/>
    <col min="3" max="3" width="12.85546875" bestFit="1" customWidth="1"/>
    <col min="4" max="4" width="15.85546875" bestFit="1" customWidth="1"/>
    <col min="5" max="5" width="4.42578125" bestFit="1" customWidth="1"/>
    <col min="6" max="6" width="31" bestFit="1" customWidth="1"/>
    <col min="7" max="7" width="35.28515625" bestFit="1" customWidth="1"/>
    <col min="8" max="8" width="36.5703125" bestFit="1" customWidth="1"/>
    <col min="9" max="9" width="27" bestFit="1" customWidth="1"/>
    <col min="10" max="10" width="36.5703125" bestFit="1" customWidth="1"/>
    <col min="11" max="11" width="27" bestFit="1" customWidth="1"/>
    <col min="12" max="12" width="33.85546875" bestFit="1" customWidth="1"/>
    <col min="13" max="13" width="35" bestFit="1" customWidth="1"/>
    <col min="14" max="14" width="25.5703125" bestFit="1" customWidth="1"/>
    <col min="15" max="15" width="35" bestFit="1" customWidth="1"/>
    <col min="16" max="16" width="25.5703125" bestFit="1" customWidth="1"/>
    <col min="17" max="19" width="12.7109375" bestFit="1" customWidth="1"/>
  </cols>
  <sheetData>
    <row r="2" spans="2:16" x14ac:dyDescent="0.2">
      <c r="B2" t="s">
        <v>1061</v>
      </c>
      <c r="C2" t="s">
        <v>512</v>
      </c>
      <c r="D2" t="s">
        <v>928</v>
      </c>
      <c r="E2" t="s">
        <v>929</v>
      </c>
      <c r="F2" t="s">
        <v>930</v>
      </c>
      <c r="G2" t="s">
        <v>931</v>
      </c>
      <c r="H2" t="s">
        <v>933</v>
      </c>
      <c r="I2" t="s">
        <v>1055</v>
      </c>
      <c r="J2" t="s">
        <v>934</v>
      </c>
      <c r="K2" t="s">
        <v>935</v>
      </c>
      <c r="L2" t="s">
        <v>932</v>
      </c>
      <c r="M2" t="s">
        <v>939</v>
      </c>
      <c r="N2" t="s">
        <v>940</v>
      </c>
      <c r="O2" t="s">
        <v>941</v>
      </c>
      <c r="P2" t="s">
        <v>942</v>
      </c>
    </row>
    <row r="3" spans="2:16" x14ac:dyDescent="0.2">
      <c r="B3" t="s">
        <v>596</v>
      </c>
      <c r="C3" t="s">
        <v>414</v>
      </c>
      <c r="D3" s="18">
        <v>42236.439930555556</v>
      </c>
      <c r="E3" t="s">
        <v>169</v>
      </c>
      <c r="F3" s="19">
        <v>0.95908672169939124</v>
      </c>
      <c r="G3" s="19">
        <v>0.88232704402515727</v>
      </c>
      <c r="H3" s="19">
        <v>0.91032080673679172</v>
      </c>
      <c r="I3" s="19">
        <v>4.5910594654970181E-2</v>
      </c>
      <c r="J3" s="19">
        <v>0.93487798378866072</v>
      </c>
      <c r="K3" s="19">
        <v>3.6639304602416163E-2</v>
      </c>
      <c r="L3" s="19"/>
      <c r="M3" s="19"/>
      <c r="N3" s="19"/>
      <c r="O3" s="19"/>
      <c r="P3" s="19"/>
    </row>
    <row r="4" spans="2:16" x14ac:dyDescent="0.2">
      <c r="B4" t="s">
        <v>655</v>
      </c>
      <c r="C4" t="s">
        <v>414</v>
      </c>
      <c r="D4" s="18">
        <v>42236.439930555556</v>
      </c>
      <c r="E4" t="s">
        <v>194</v>
      </c>
      <c r="F4" s="19">
        <v>0.92853091546980371</v>
      </c>
      <c r="G4" s="19">
        <v>0.80458959899749372</v>
      </c>
      <c r="H4" s="19">
        <v>0.87135248933078624</v>
      </c>
      <c r="I4" s="19">
        <v>4.6582951817081053E-2</v>
      </c>
      <c r="J4" s="19">
        <v>0.93468435050849297</v>
      </c>
      <c r="K4" s="19">
        <v>4.1974921120297069E-2</v>
      </c>
      <c r="L4" s="19"/>
      <c r="M4" s="19"/>
      <c r="N4" s="19"/>
      <c r="O4" s="19"/>
      <c r="P4" s="19"/>
    </row>
    <row r="5" spans="2:16" x14ac:dyDescent="0.2">
      <c r="B5" t="s">
        <v>549</v>
      </c>
      <c r="C5" t="s">
        <v>390</v>
      </c>
      <c r="D5" s="18">
        <v>42236.439930555556</v>
      </c>
      <c r="E5" t="s">
        <v>151</v>
      </c>
      <c r="F5" s="19">
        <v>0.97165298590145999</v>
      </c>
      <c r="G5" s="19">
        <v>0.88863235744941749</v>
      </c>
      <c r="H5" s="19">
        <v>0.90132839190977565</v>
      </c>
      <c r="I5" s="19">
        <v>4.2717327941768135E-2</v>
      </c>
      <c r="J5" s="19">
        <v>0.83249212231662439</v>
      </c>
      <c r="K5" s="19">
        <v>5.1252663798710074E-2</v>
      </c>
      <c r="L5" s="19"/>
      <c r="M5" s="19"/>
      <c r="N5" s="19"/>
      <c r="O5" s="19"/>
      <c r="P5" s="19"/>
    </row>
    <row r="6" spans="2:16" x14ac:dyDescent="0.2">
      <c r="B6" t="s">
        <v>543</v>
      </c>
      <c r="C6" t="s">
        <v>379</v>
      </c>
      <c r="D6" s="18">
        <v>42236.439930555556</v>
      </c>
      <c r="E6" t="s">
        <v>149</v>
      </c>
      <c r="F6" s="19">
        <v>0.93458483652634283</v>
      </c>
      <c r="G6" s="19">
        <v>0.86612899229415996</v>
      </c>
      <c r="H6" s="19">
        <v>0.84835657905458473</v>
      </c>
      <c r="I6" s="19">
        <v>4.6490202491033944E-2</v>
      </c>
      <c r="J6" s="19">
        <v>0.84672428389324095</v>
      </c>
      <c r="K6" s="19">
        <v>4.8553838218814892E-2</v>
      </c>
      <c r="L6" s="19"/>
      <c r="M6" s="19"/>
      <c r="N6" s="19"/>
      <c r="O6" s="19"/>
      <c r="P6" s="19"/>
    </row>
    <row r="7" spans="2:16" x14ac:dyDescent="0.2">
      <c r="B7" t="s">
        <v>611</v>
      </c>
      <c r="C7" t="s">
        <v>414</v>
      </c>
      <c r="D7" s="18">
        <v>42236.439930555556</v>
      </c>
      <c r="E7" t="s">
        <v>175</v>
      </c>
      <c r="F7" s="19">
        <v>0.98495312171804283</v>
      </c>
      <c r="G7" s="19">
        <v>0.93494771601541005</v>
      </c>
      <c r="H7" s="19">
        <v>0.92649942444329769</v>
      </c>
      <c r="I7" s="19">
        <v>4.2543897113850516E-2</v>
      </c>
      <c r="J7" s="19">
        <v>0.96956314255025322</v>
      </c>
      <c r="K7" s="19">
        <v>2.7353974320496448E-2</v>
      </c>
      <c r="L7" s="19"/>
      <c r="M7" s="19"/>
      <c r="N7" s="19"/>
      <c r="O7" s="19"/>
      <c r="P7" s="19"/>
    </row>
    <row r="8" spans="2:16" x14ac:dyDescent="0.2">
      <c r="B8" t="s">
        <v>522</v>
      </c>
      <c r="C8" t="s">
        <v>379</v>
      </c>
      <c r="D8" s="18">
        <v>42236.439930555556</v>
      </c>
      <c r="E8" t="s">
        <v>142</v>
      </c>
      <c r="F8" s="19">
        <v>0.83258888854239843</v>
      </c>
      <c r="G8" s="19">
        <v>0.72847704129111168</v>
      </c>
      <c r="H8" s="19">
        <v>0.83333772256728789</v>
      </c>
      <c r="I8" s="19">
        <v>5.6563560059354999E-2</v>
      </c>
      <c r="J8" s="19">
        <v>0.89697203766859634</v>
      </c>
      <c r="K8" s="19">
        <v>5.6536773506483159E-2</v>
      </c>
      <c r="L8" s="19"/>
      <c r="M8" s="19"/>
      <c r="N8" s="19"/>
      <c r="O8" s="19"/>
      <c r="P8" s="19"/>
    </row>
    <row r="9" spans="2:16" x14ac:dyDescent="0.2">
      <c r="B9" t="s">
        <v>530</v>
      </c>
      <c r="C9" t="s">
        <v>379</v>
      </c>
      <c r="D9" s="18">
        <v>42236.439930555556</v>
      </c>
      <c r="E9" t="s">
        <v>145</v>
      </c>
      <c r="F9" s="19">
        <v>0.88777503867063057</v>
      </c>
      <c r="G9" s="19">
        <v>0.77864214992927872</v>
      </c>
      <c r="H9" s="19">
        <v>0.8838616785045289</v>
      </c>
      <c r="I9" s="19">
        <v>4.7077772133462897E-2</v>
      </c>
      <c r="J9" s="19">
        <v>0.86852391383655392</v>
      </c>
      <c r="K9" s="19">
        <v>4.7183905315532827E-2</v>
      </c>
      <c r="L9" s="19"/>
      <c r="M9" s="19"/>
      <c r="N9" s="19"/>
      <c r="O9" s="19"/>
      <c r="P9" s="19"/>
    </row>
    <row r="10" spans="2:16" x14ac:dyDescent="0.2">
      <c r="B10" t="s">
        <v>647</v>
      </c>
      <c r="C10" t="s">
        <v>395</v>
      </c>
      <c r="D10" s="18">
        <v>42236.439930555556</v>
      </c>
      <c r="E10" t="s">
        <v>683</v>
      </c>
      <c r="F10" s="19">
        <v>0.95820588041215904</v>
      </c>
      <c r="G10" s="19">
        <v>0.83907856643705714</v>
      </c>
      <c r="H10" s="19">
        <v>0.86528808977135452</v>
      </c>
      <c r="I10" s="19">
        <v>5.2020990274825749E-2</v>
      </c>
      <c r="J10" s="19">
        <v>0.9424051425872918</v>
      </c>
      <c r="K10" s="19">
        <v>3.433275583871094E-2</v>
      </c>
      <c r="L10" s="19"/>
      <c r="M10" s="19"/>
      <c r="N10" s="19"/>
      <c r="O10" s="19"/>
      <c r="P10" s="19"/>
    </row>
    <row r="11" spans="2:16" x14ac:dyDescent="0.2">
      <c r="B11" t="s">
        <v>577</v>
      </c>
      <c r="C11" t="s">
        <v>400</v>
      </c>
      <c r="D11" s="18">
        <v>42236.439930555556</v>
      </c>
      <c r="E11" t="s">
        <v>161</v>
      </c>
      <c r="F11" s="19">
        <v>0.93522923313470541</v>
      </c>
      <c r="G11" s="19">
        <v>0.88954552916366769</v>
      </c>
      <c r="H11" s="19">
        <v>0.86916160641918749</v>
      </c>
      <c r="I11" s="19">
        <v>4.6271235564951073E-2</v>
      </c>
      <c r="J11" s="19">
        <v>0.85870767114765878</v>
      </c>
      <c r="K11" s="19">
        <v>5.0834596819334693E-2</v>
      </c>
      <c r="L11" s="255"/>
      <c r="M11" s="255"/>
      <c r="N11" s="255"/>
      <c r="O11" s="255"/>
      <c r="P11" s="255"/>
    </row>
    <row r="12" spans="2:16" x14ac:dyDescent="0.2">
      <c r="B12" t="s">
        <v>569</v>
      </c>
      <c r="C12" t="s">
        <v>400</v>
      </c>
      <c r="D12" s="18">
        <v>42236.439930555556</v>
      </c>
      <c r="E12" t="s">
        <v>158</v>
      </c>
      <c r="F12" s="19">
        <v>0.95711754493768686</v>
      </c>
      <c r="G12" s="19">
        <v>0.89943925233644861</v>
      </c>
      <c r="H12" s="19">
        <v>0.93502847446343551</v>
      </c>
      <c r="I12" s="19">
        <v>3.6312379536337147E-2</v>
      </c>
      <c r="J12" s="19">
        <v>0.88544552043398495</v>
      </c>
      <c r="K12" s="19">
        <v>4.7797456494252939E-2</v>
      </c>
      <c r="L12" s="19"/>
      <c r="M12" s="19"/>
      <c r="N12" s="19"/>
      <c r="O12" s="19"/>
      <c r="P12" s="19"/>
    </row>
    <row r="13" spans="2:16" x14ac:dyDescent="0.2">
      <c r="B13" t="s">
        <v>557</v>
      </c>
      <c r="C13" t="s">
        <v>390</v>
      </c>
      <c r="D13" s="18">
        <v>42236.439930555556</v>
      </c>
      <c r="E13" t="s">
        <v>154</v>
      </c>
      <c r="F13" s="19">
        <v>0.97058793271951016</v>
      </c>
      <c r="G13" s="19">
        <v>0.88608490566037734</v>
      </c>
      <c r="H13" s="19">
        <v>0.93309199019727596</v>
      </c>
      <c r="I13" s="19">
        <v>4.6949464201507564E-2</v>
      </c>
      <c r="J13" s="19">
        <v>0.94167352438662977</v>
      </c>
      <c r="K13" s="19">
        <v>4.0866402070416044E-2</v>
      </c>
      <c r="L13" s="19"/>
      <c r="M13" s="19"/>
      <c r="N13" s="19"/>
      <c r="O13" s="19"/>
      <c r="P13" s="19"/>
    </row>
    <row r="14" spans="2:16" x14ac:dyDescent="0.2">
      <c r="B14" t="s">
        <v>395</v>
      </c>
      <c r="C14" t="s">
        <v>395</v>
      </c>
      <c r="D14" s="18">
        <v>42236.439930555556</v>
      </c>
      <c r="E14" t="s">
        <v>675</v>
      </c>
      <c r="F14" s="19">
        <v>0.95863658107150174</v>
      </c>
      <c r="G14" s="19">
        <v>0.8791479799969133</v>
      </c>
      <c r="H14" s="19">
        <v>0.9096142337281502</v>
      </c>
      <c r="I14" s="19">
        <v>1.5368146827678614E-2</v>
      </c>
      <c r="J14" s="19">
        <v>0.9291960431793731</v>
      </c>
      <c r="K14" s="19">
        <v>1.6107583192639937E-2</v>
      </c>
      <c r="L14" s="19"/>
      <c r="M14" s="19"/>
      <c r="N14" s="19"/>
      <c r="O14" s="19"/>
      <c r="P14" s="19"/>
    </row>
    <row r="15" spans="2:16" x14ac:dyDescent="0.2">
      <c r="B15" t="s">
        <v>594</v>
      </c>
      <c r="C15" t="s">
        <v>395</v>
      </c>
      <c r="D15" s="18">
        <v>42236.439930555556</v>
      </c>
      <c r="E15" t="s">
        <v>168</v>
      </c>
      <c r="F15" s="19">
        <v>0.96893415063341837</v>
      </c>
      <c r="G15" s="19">
        <v>0.88626569543845346</v>
      </c>
      <c r="H15" s="19">
        <v>0.93176681655811033</v>
      </c>
      <c r="I15" s="19">
        <v>3.6989649366352635E-2</v>
      </c>
      <c r="J15" s="19">
        <v>0.92856629995843687</v>
      </c>
      <c r="K15" s="19">
        <v>3.7185817874234174E-2</v>
      </c>
      <c r="L15" s="19"/>
      <c r="M15" s="19"/>
      <c r="N15" s="19"/>
      <c r="O15" s="19"/>
      <c r="P15" s="19"/>
    </row>
    <row r="16" spans="2:16" x14ac:dyDescent="0.2">
      <c r="B16" t="s">
        <v>586</v>
      </c>
      <c r="C16" t="s">
        <v>400</v>
      </c>
      <c r="D16" s="18">
        <v>42236.439930555556</v>
      </c>
      <c r="E16" t="s">
        <v>165</v>
      </c>
      <c r="F16" s="19">
        <v>0.99047206582936342</v>
      </c>
      <c r="G16" s="19">
        <v>1</v>
      </c>
      <c r="H16" s="19">
        <v>0.97806516087493411</v>
      </c>
      <c r="I16" s="19">
        <v>1.7770136806626979E-2</v>
      </c>
      <c r="J16" s="19">
        <v>0.96741635923788638</v>
      </c>
      <c r="K16" s="19">
        <v>2.2879680878814382E-2</v>
      </c>
      <c r="L16" s="255"/>
      <c r="M16" s="255"/>
      <c r="N16" s="255"/>
      <c r="O16" s="255"/>
      <c r="P16" s="255"/>
    </row>
    <row r="17" spans="2:16" x14ac:dyDescent="0.2">
      <c r="B17" t="s">
        <v>579</v>
      </c>
      <c r="C17" t="s">
        <v>400</v>
      </c>
      <c r="D17" s="18">
        <v>42236.439930555556</v>
      </c>
      <c r="E17" t="s">
        <v>162</v>
      </c>
      <c r="F17" s="19">
        <v>0.93196047031554052</v>
      </c>
      <c r="G17" s="19">
        <v>0.81553504380475605</v>
      </c>
      <c r="H17" s="19">
        <v>0.87767847415452704</v>
      </c>
      <c r="I17" s="19">
        <v>4.5720021465680459E-2</v>
      </c>
      <c r="J17" s="19">
        <v>0.90666263535407088</v>
      </c>
      <c r="K17" s="19">
        <v>4.4138471205772661E-2</v>
      </c>
      <c r="L17" s="19"/>
      <c r="M17" s="19"/>
      <c r="N17" s="19"/>
      <c r="O17" s="19"/>
      <c r="P17" s="19"/>
    </row>
    <row r="18" spans="2:16" x14ac:dyDescent="0.2">
      <c r="B18" t="s">
        <v>643</v>
      </c>
      <c r="C18" t="s">
        <v>400</v>
      </c>
      <c r="D18" s="18">
        <v>42236.439930555556</v>
      </c>
      <c r="E18" t="s">
        <v>189</v>
      </c>
      <c r="F18" s="19">
        <v>0.9886092082204877</v>
      </c>
      <c r="G18" s="19">
        <v>0.96761775362318825</v>
      </c>
      <c r="H18" s="19">
        <v>0.96963605099357353</v>
      </c>
      <c r="I18" s="19">
        <v>2.8421120454973591E-2</v>
      </c>
      <c r="J18" s="19">
        <v>0.95486078997938217</v>
      </c>
      <c r="K18" s="19">
        <v>3.2524911868673033E-2</v>
      </c>
      <c r="L18" s="19"/>
      <c r="M18" s="19"/>
      <c r="N18" s="19"/>
      <c r="O18" s="19"/>
      <c r="P18" s="19"/>
    </row>
    <row r="19" spans="2:16" x14ac:dyDescent="0.2">
      <c r="B19" t="s">
        <v>641</v>
      </c>
      <c r="C19" t="s">
        <v>395</v>
      </c>
      <c r="D19" s="18">
        <v>42236.439930555556</v>
      </c>
      <c r="E19" t="s">
        <v>188</v>
      </c>
      <c r="F19" s="19">
        <v>0.95507012177526396</v>
      </c>
      <c r="G19" s="19">
        <v>0.86642143983184439</v>
      </c>
      <c r="H19" s="19">
        <v>0.91212246013399179</v>
      </c>
      <c r="I19" s="19">
        <v>4.8800628568202456E-2</v>
      </c>
      <c r="J19" s="19">
        <v>0.96481459105088985</v>
      </c>
      <c r="K19" s="19">
        <v>2.5263111107909353E-2</v>
      </c>
      <c r="L19" s="19"/>
      <c r="M19" s="19"/>
      <c r="N19" s="19"/>
      <c r="O19" s="19"/>
      <c r="P19" s="19"/>
    </row>
    <row r="20" spans="2:16" x14ac:dyDescent="0.2">
      <c r="B20" t="s">
        <v>532</v>
      </c>
      <c r="C20" t="s">
        <v>379</v>
      </c>
      <c r="D20" s="18">
        <v>42236.439930555556</v>
      </c>
      <c r="E20" t="s">
        <v>146</v>
      </c>
      <c r="F20" s="19">
        <v>0.93634586818856991</v>
      </c>
      <c r="G20" s="19">
        <v>0.83326688815060923</v>
      </c>
      <c r="H20" s="19">
        <v>0.92617741466470604</v>
      </c>
      <c r="I20" s="19">
        <v>3.9299517285578532E-2</v>
      </c>
      <c r="J20" s="19">
        <v>0.98116096259719621</v>
      </c>
      <c r="K20" s="19">
        <v>2.181423874731479E-2</v>
      </c>
      <c r="L20" s="19"/>
      <c r="M20" s="19"/>
      <c r="N20" s="19"/>
      <c r="O20" s="19"/>
      <c r="P20" s="19"/>
    </row>
    <row r="21" spans="2:16" x14ac:dyDescent="0.2">
      <c r="B21" t="s">
        <v>651</v>
      </c>
      <c r="C21" t="s">
        <v>414</v>
      </c>
      <c r="D21" s="18">
        <v>42236.439930555556</v>
      </c>
      <c r="E21" t="s">
        <v>192</v>
      </c>
      <c r="F21" s="19">
        <v>0.96066107674946788</v>
      </c>
      <c r="G21" s="19">
        <v>0.80189900733707387</v>
      </c>
      <c r="H21" s="19">
        <v>0.89445888563194043</v>
      </c>
      <c r="I21" s="19">
        <v>4.465457537152652E-2</v>
      </c>
      <c r="J21" s="19">
        <v>0.95692498745744525</v>
      </c>
      <c r="K21" s="19">
        <v>2.9342474926057988E-2</v>
      </c>
      <c r="L21" s="19"/>
      <c r="M21" s="19"/>
      <c r="N21" s="19"/>
      <c r="O21" s="19"/>
      <c r="P21" s="19"/>
    </row>
    <row r="22" spans="2:16" x14ac:dyDescent="0.2">
      <c r="B22" t="s">
        <v>629</v>
      </c>
      <c r="C22" t="s">
        <v>395</v>
      </c>
      <c r="D22" s="18">
        <v>42236.439930555556</v>
      </c>
      <c r="E22" t="s">
        <v>183</v>
      </c>
      <c r="F22" s="19">
        <v>0.94683273665787637</v>
      </c>
      <c r="G22" s="19">
        <v>0.82109621494453799</v>
      </c>
      <c r="H22" s="19">
        <v>0.871795690288936</v>
      </c>
      <c r="I22" s="19">
        <v>4.3075626919612663E-2</v>
      </c>
      <c r="J22" s="19">
        <v>0.92105942071800617</v>
      </c>
      <c r="K22" s="19">
        <v>4.0113131529229164E-2</v>
      </c>
      <c r="L22" s="19"/>
      <c r="M22" s="19"/>
      <c r="N22" s="19"/>
      <c r="O22" s="19"/>
      <c r="P22" s="19"/>
    </row>
    <row r="23" spans="2:16" x14ac:dyDescent="0.2">
      <c r="B23" t="s">
        <v>547</v>
      </c>
      <c r="C23" t="s">
        <v>379</v>
      </c>
      <c r="D23" s="18">
        <v>42236.439930555556</v>
      </c>
      <c r="E23" t="s">
        <v>150</v>
      </c>
      <c r="F23" s="19">
        <v>0.89772613887071928</v>
      </c>
      <c r="G23" s="19">
        <v>0.83736235688762495</v>
      </c>
      <c r="H23" s="19">
        <v>0.90065387479148451</v>
      </c>
      <c r="I23" s="19">
        <v>4.2578938260772997E-2</v>
      </c>
      <c r="J23" s="19">
        <v>0.9306136032499075</v>
      </c>
      <c r="K23" s="19">
        <v>4.1368126299368486E-2</v>
      </c>
      <c r="L23" s="19"/>
      <c r="M23" s="19"/>
      <c r="N23" s="19"/>
      <c r="O23" s="19"/>
      <c r="P23" s="19"/>
    </row>
    <row r="24" spans="2:16" x14ac:dyDescent="0.2">
      <c r="B24" t="s">
        <v>571</v>
      </c>
      <c r="C24" t="s">
        <v>400</v>
      </c>
      <c r="D24" s="18">
        <v>42236.439930555556</v>
      </c>
      <c r="E24" t="s">
        <v>159</v>
      </c>
      <c r="F24" s="19">
        <v>0.97991085692376523</v>
      </c>
      <c r="G24" s="19">
        <v>0.94786774375352256</v>
      </c>
      <c r="H24" s="19">
        <v>0.91953357012527104</v>
      </c>
      <c r="I24" s="19">
        <v>3.843695884766362E-2</v>
      </c>
      <c r="J24" s="19">
        <v>0.93537038425994301</v>
      </c>
      <c r="K24" s="19">
        <v>3.263894244395104E-2</v>
      </c>
      <c r="L24" s="19"/>
      <c r="M24" s="19"/>
      <c r="N24" s="19"/>
      <c r="O24" s="19"/>
      <c r="P24" s="19"/>
    </row>
    <row r="25" spans="2:16" x14ac:dyDescent="0.2">
      <c r="B25" t="s">
        <v>565</v>
      </c>
      <c r="C25" t="s">
        <v>395</v>
      </c>
      <c r="D25" s="18">
        <v>42236.439930555556</v>
      </c>
      <c r="E25" t="s">
        <v>157</v>
      </c>
      <c r="F25" s="19">
        <v>0.95627236331315102</v>
      </c>
      <c r="G25" s="19">
        <v>0.80435716420140446</v>
      </c>
      <c r="H25" s="19">
        <v>0.89369308269869085</v>
      </c>
      <c r="I25" s="19">
        <v>4.0959482941463107E-2</v>
      </c>
      <c r="J25" s="19">
        <v>0.86609153924416526</v>
      </c>
      <c r="K25" s="19">
        <v>5.6617053041343797E-2</v>
      </c>
      <c r="L25" s="19"/>
      <c r="M25" s="19"/>
      <c r="N25" s="19"/>
      <c r="O25" s="19"/>
      <c r="P25" s="19"/>
    </row>
    <row r="26" spans="2:16" x14ac:dyDescent="0.2">
      <c r="B26" t="s">
        <v>588</v>
      </c>
      <c r="C26" t="s">
        <v>400</v>
      </c>
      <c r="D26" s="18">
        <v>42236.439930555556</v>
      </c>
      <c r="E26" t="s">
        <v>166</v>
      </c>
      <c r="F26" s="19">
        <v>1</v>
      </c>
      <c r="G26" s="19">
        <v>1</v>
      </c>
      <c r="H26" s="19">
        <v>0.97280663186238092</v>
      </c>
      <c r="I26" s="19">
        <v>2.8178742079086307E-2</v>
      </c>
      <c r="J26" s="19">
        <v>0.98491891991725766</v>
      </c>
      <c r="K26" s="19">
        <v>1.6477706993184498E-2</v>
      </c>
      <c r="L26" s="19"/>
      <c r="M26" s="19"/>
      <c r="N26" s="19"/>
      <c r="O26" s="19"/>
      <c r="P26" s="19"/>
    </row>
    <row r="27" spans="2:16" x14ac:dyDescent="0.2">
      <c r="B27" t="s">
        <v>617</v>
      </c>
      <c r="C27" t="s">
        <v>395</v>
      </c>
      <c r="D27" s="18">
        <v>42236.439930555556</v>
      </c>
      <c r="E27" t="s">
        <v>178</v>
      </c>
      <c r="F27" s="19">
        <v>0.95222659179667202</v>
      </c>
      <c r="G27" s="19">
        <v>0.84154002026342456</v>
      </c>
      <c r="H27" s="19">
        <v>0.88898787439044147</v>
      </c>
      <c r="I27" s="19">
        <v>4.9253675676700866E-2</v>
      </c>
      <c r="J27" s="19">
        <v>0.93052194293498247</v>
      </c>
      <c r="K27" s="19">
        <v>4.6459114093037782E-2</v>
      </c>
      <c r="L27" s="19"/>
      <c r="M27" s="19"/>
      <c r="N27" s="19"/>
      <c r="O27" s="19"/>
      <c r="P27" s="19"/>
    </row>
    <row r="28" spans="2:16" x14ac:dyDescent="0.2">
      <c r="B28" t="s">
        <v>603</v>
      </c>
      <c r="C28" t="s">
        <v>414</v>
      </c>
      <c r="D28" s="18">
        <v>42236.439930555556</v>
      </c>
      <c r="E28" t="s">
        <v>172</v>
      </c>
      <c r="F28" s="19">
        <v>0.91044139783101352</v>
      </c>
      <c r="G28" s="19">
        <v>0.83444726775387223</v>
      </c>
      <c r="H28" s="19">
        <v>0.87493579361899765</v>
      </c>
      <c r="I28" s="19">
        <v>4.7334957912545619E-2</v>
      </c>
      <c r="J28" s="19">
        <v>0.92159831977985207</v>
      </c>
      <c r="K28" s="19">
        <v>4.0825526189012321E-2</v>
      </c>
      <c r="L28" s="19"/>
      <c r="M28" s="19"/>
      <c r="N28" s="19"/>
      <c r="O28" s="19"/>
      <c r="P28" s="19"/>
    </row>
    <row r="29" spans="2:16" x14ac:dyDescent="0.2">
      <c r="B29" t="s">
        <v>573</v>
      </c>
      <c r="C29" t="s">
        <v>390</v>
      </c>
      <c r="D29" s="18">
        <v>42236.439930555556</v>
      </c>
      <c r="E29" t="s">
        <v>160</v>
      </c>
      <c r="F29" s="19">
        <v>0.97235783402143783</v>
      </c>
      <c r="G29" s="19">
        <v>0.91293929114341121</v>
      </c>
      <c r="H29" s="19">
        <v>0.91094854246611123</v>
      </c>
      <c r="I29" s="19">
        <v>4.3640655298843284E-2</v>
      </c>
      <c r="J29" s="19">
        <v>0.91032923811056787</v>
      </c>
      <c r="K29" s="19">
        <v>4.0337058903989344E-2</v>
      </c>
      <c r="L29" s="19"/>
      <c r="M29" s="19"/>
      <c r="N29" s="19"/>
      <c r="O29" s="19"/>
      <c r="P29" s="19"/>
    </row>
    <row r="30" spans="2:16" x14ac:dyDescent="0.2">
      <c r="B30" t="s">
        <v>632</v>
      </c>
      <c r="C30" t="s">
        <v>379</v>
      </c>
      <c r="D30" s="18">
        <v>42236.439930555556</v>
      </c>
      <c r="E30" t="s">
        <v>184</v>
      </c>
      <c r="F30" s="19">
        <v>0.97038707409636038</v>
      </c>
      <c r="G30" s="19">
        <v>0.95511337868480728</v>
      </c>
      <c r="H30" s="19">
        <v>0.9113165818631912</v>
      </c>
      <c r="I30" s="19">
        <v>4.0565564837001418E-2</v>
      </c>
      <c r="J30" s="19">
        <v>0.92428788734355638</v>
      </c>
      <c r="K30" s="19">
        <v>3.5225778992118109E-2</v>
      </c>
      <c r="L30" s="19"/>
      <c r="M30" s="19"/>
      <c r="N30" s="19"/>
      <c r="O30" s="19"/>
      <c r="P30" s="19"/>
    </row>
    <row r="31" spans="2:16" x14ac:dyDescent="0.2">
      <c r="B31" t="s">
        <v>625</v>
      </c>
      <c r="C31" t="s">
        <v>414</v>
      </c>
      <c r="D31" s="18">
        <v>42236.439930555556</v>
      </c>
      <c r="E31" t="s">
        <v>182</v>
      </c>
      <c r="F31" s="19">
        <v>0.97572268025473008</v>
      </c>
      <c r="G31" s="19">
        <v>0.9376831695109451</v>
      </c>
      <c r="H31" s="19">
        <v>0.95677708160816677</v>
      </c>
      <c r="I31" s="19">
        <v>3.4114975897660715E-2</v>
      </c>
      <c r="J31" s="19">
        <v>0.96306697794111973</v>
      </c>
      <c r="K31" s="19">
        <v>2.4998215207560719E-2</v>
      </c>
      <c r="L31" s="19"/>
      <c r="M31" s="19"/>
      <c r="N31" s="19"/>
      <c r="O31" s="19"/>
      <c r="P31" s="19"/>
    </row>
    <row r="32" spans="2:16" x14ac:dyDescent="0.2">
      <c r="B32" t="s">
        <v>400</v>
      </c>
      <c r="C32" t="s">
        <v>400</v>
      </c>
      <c r="D32" s="18">
        <v>42236.439930555556</v>
      </c>
      <c r="E32" t="s">
        <v>674</v>
      </c>
      <c r="F32" s="19">
        <v>0.96348509599148879</v>
      </c>
      <c r="G32" s="19">
        <v>0.91635133468325103</v>
      </c>
      <c r="H32" s="19">
        <v>0.92697470565628071</v>
      </c>
      <c r="I32" s="19">
        <v>1.2383926399406206E-2</v>
      </c>
      <c r="J32" s="19">
        <v>0.90779442696534629</v>
      </c>
      <c r="K32" s="19">
        <v>2.0488025531473112E-2</v>
      </c>
      <c r="L32" s="19"/>
      <c r="M32" s="19"/>
      <c r="N32" s="19"/>
      <c r="O32" s="19"/>
      <c r="P32" s="19"/>
    </row>
    <row r="33" spans="2:16" x14ac:dyDescent="0.2">
      <c r="B33" t="s">
        <v>217</v>
      </c>
      <c r="C33" t="s">
        <v>400</v>
      </c>
      <c r="D33" s="18">
        <v>42236.439930555556</v>
      </c>
      <c r="E33" t="s">
        <v>163</v>
      </c>
      <c r="F33" s="19">
        <v>0.99317074904112879</v>
      </c>
      <c r="G33" s="19">
        <v>1</v>
      </c>
      <c r="H33" s="19">
        <v>0.96612727919094854</v>
      </c>
      <c r="I33" s="19">
        <v>3.2616924677418807E-2</v>
      </c>
      <c r="J33" s="19">
        <v>0.93409523307530906</v>
      </c>
      <c r="K33" s="19">
        <v>4.5167559089512109E-2</v>
      </c>
      <c r="L33" s="19">
        <v>0.95182394634332079</v>
      </c>
      <c r="M33" s="19">
        <v>0.95346117649031581</v>
      </c>
      <c r="N33" s="19">
        <v>3.0790613258238082E-2</v>
      </c>
      <c r="O33" s="19">
        <v>0.98790875472638884</v>
      </c>
      <c r="P33" s="19">
        <v>1.5286980222886583E-2</v>
      </c>
    </row>
    <row r="34" spans="2:16" x14ac:dyDescent="0.2">
      <c r="B34" t="s">
        <v>581</v>
      </c>
      <c r="C34" t="s">
        <v>400</v>
      </c>
      <c r="D34" s="18">
        <v>42236.439930555556</v>
      </c>
      <c r="E34" t="s">
        <v>163</v>
      </c>
      <c r="F34" s="19">
        <v>0.99317074904112879</v>
      </c>
      <c r="G34" s="19">
        <v>1</v>
      </c>
      <c r="H34" s="19">
        <v>0.96612727919094854</v>
      </c>
      <c r="I34" s="19">
        <v>3.2616924677418807E-2</v>
      </c>
      <c r="J34" s="19">
        <v>0.93409523307530906</v>
      </c>
      <c r="K34" s="19">
        <v>4.5167559089512109E-2</v>
      </c>
      <c r="L34" s="19">
        <v>0.95182394634332079</v>
      </c>
      <c r="M34" s="19">
        <v>0.95346117649031581</v>
      </c>
      <c r="N34" s="19">
        <v>3.0790613258238082E-2</v>
      </c>
      <c r="O34" s="19">
        <v>0.98790875472638884</v>
      </c>
      <c r="P34" s="19">
        <v>1.5286980222886583E-2</v>
      </c>
    </row>
    <row r="35" spans="2:16" x14ac:dyDescent="0.2">
      <c r="B35" t="s">
        <v>563</v>
      </c>
      <c r="C35" t="s">
        <v>390</v>
      </c>
      <c r="D35" s="18">
        <v>42236.439930555556</v>
      </c>
      <c r="E35" t="s">
        <v>156</v>
      </c>
      <c r="F35" s="19">
        <v>0.95636156232313885</v>
      </c>
      <c r="G35" s="19">
        <v>0.93362682099000838</v>
      </c>
      <c r="H35" s="19">
        <v>0.92351432046638982</v>
      </c>
      <c r="I35" s="19">
        <v>3.5431951951338407E-2</v>
      </c>
      <c r="J35" s="19">
        <v>0.91718571654621628</v>
      </c>
      <c r="K35" s="19">
        <v>3.8195756351782177E-2</v>
      </c>
      <c r="L35" s="19"/>
      <c r="M35" s="19"/>
      <c r="N35" s="19"/>
      <c r="O35" s="19"/>
      <c r="P35" s="19"/>
    </row>
    <row r="36" spans="2:16" x14ac:dyDescent="0.2">
      <c r="B36" t="s">
        <v>619</v>
      </c>
      <c r="C36" t="s">
        <v>395</v>
      </c>
      <c r="D36" s="18">
        <v>42236.439930555556</v>
      </c>
      <c r="E36" t="s">
        <v>179</v>
      </c>
      <c r="F36" s="19">
        <v>0.96943936004338704</v>
      </c>
      <c r="G36" s="19">
        <v>0.90851126927639381</v>
      </c>
      <c r="H36" s="19">
        <v>0.93575445826154346</v>
      </c>
      <c r="I36" s="19">
        <v>4.1454292410482624E-2</v>
      </c>
      <c r="J36" s="19">
        <v>0.96354489422323497</v>
      </c>
      <c r="K36" s="19">
        <v>3.7846513370907359E-2</v>
      </c>
      <c r="L36" s="19"/>
      <c r="M36" s="19"/>
      <c r="N36" s="19"/>
      <c r="O36" s="19"/>
      <c r="P36" s="19"/>
    </row>
    <row r="37" spans="2:16" x14ac:dyDescent="0.2">
      <c r="B37" t="s">
        <v>559</v>
      </c>
      <c r="C37" t="s">
        <v>390</v>
      </c>
      <c r="D37" s="18">
        <v>42236.439930555556</v>
      </c>
      <c r="E37" t="s">
        <v>94</v>
      </c>
      <c r="F37" s="19">
        <v>0.9630550899043272</v>
      </c>
      <c r="G37" s="19">
        <v>0.89448598130841117</v>
      </c>
      <c r="H37" s="19">
        <v>0.9212101143820004</v>
      </c>
      <c r="I37" s="19">
        <v>3.8047395070550466E-2</v>
      </c>
      <c r="J37" s="19">
        <v>0.93719667696398001</v>
      </c>
      <c r="K37" s="19">
        <v>3.7281463281277141E-2</v>
      </c>
      <c r="L37" s="19"/>
      <c r="M37" s="19"/>
      <c r="N37" s="19"/>
      <c r="O37" s="19"/>
      <c r="P37" s="19"/>
    </row>
    <row r="38" spans="2:16" x14ac:dyDescent="0.2">
      <c r="B38" t="s">
        <v>561</v>
      </c>
      <c r="C38" t="s">
        <v>395</v>
      </c>
      <c r="D38" s="18">
        <v>42236.439930555556</v>
      </c>
      <c r="E38" t="s">
        <v>155</v>
      </c>
      <c r="F38" s="19">
        <v>0.89157936439377916</v>
      </c>
      <c r="G38" s="19">
        <v>0.90286638927415619</v>
      </c>
      <c r="H38" s="19">
        <v>0.90709586800547182</v>
      </c>
      <c r="I38" s="19">
        <v>4.4185530704873133E-2</v>
      </c>
      <c r="J38" s="19">
        <v>0.94945932623024587</v>
      </c>
      <c r="K38" s="19">
        <v>3.215545200045071E-2</v>
      </c>
      <c r="L38" s="19"/>
      <c r="M38" s="19"/>
      <c r="N38" s="19"/>
      <c r="O38" s="19"/>
      <c r="P38" s="19"/>
    </row>
    <row r="39" spans="2:16" x14ac:dyDescent="0.2">
      <c r="B39" t="s">
        <v>528</v>
      </c>
      <c r="C39" t="s">
        <v>379</v>
      </c>
      <c r="D39" s="18">
        <v>42236.439930555556</v>
      </c>
      <c r="E39" t="s">
        <v>144</v>
      </c>
      <c r="F39" s="19">
        <v>0.93423904904388533</v>
      </c>
      <c r="G39" s="19">
        <v>0.9006803425887554</v>
      </c>
      <c r="H39" s="19">
        <v>0.91794230241321662</v>
      </c>
      <c r="I39" s="19">
        <v>4.2144137791640689E-2</v>
      </c>
      <c r="J39" s="19">
        <v>0.91954811804712078</v>
      </c>
      <c r="K39" s="19">
        <v>4.1016390859065978E-2</v>
      </c>
      <c r="L39" s="19"/>
      <c r="M39" s="19"/>
      <c r="N39" s="19"/>
      <c r="O39" s="19"/>
      <c r="P39" s="19"/>
    </row>
    <row r="40" spans="2:16" x14ac:dyDescent="0.2">
      <c r="B40" t="s">
        <v>534</v>
      </c>
      <c r="C40" t="s">
        <v>379</v>
      </c>
      <c r="D40" s="18">
        <v>42236.439930555556</v>
      </c>
      <c r="E40" t="s">
        <v>147</v>
      </c>
      <c r="F40" s="19">
        <v>0.97154805988111059</v>
      </c>
      <c r="G40" s="19">
        <v>0.94127507988894132</v>
      </c>
      <c r="H40" s="19">
        <v>0.88824193018242081</v>
      </c>
      <c r="I40" s="19">
        <v>4.1997036812878787E-2</v>
      </c>
      <c r="J40" s="19">
        <v>0.86306732432248312</v>
      </c>
      <c r="K40" s="19">
        <v>4.3553770663386046E-2</v>
      </c>
      <c r="L40" s="19"/>
      <c r="M40" s="19"/>
      <c r="N40" s="19"/>
      <c r="O40" s="19"/>
      <c r="P40" s="19"/>
    </row>
    <row r="41" spans="2:16" x14ac:dyDescent="0.2">
      <c r="B41" t="s">
        <v>379</v>
      </c>
      <c r="C41" t="s">
        <v>379</v>
      </c>
      <c r="D41" s="18">
        <v>42236.439930555556</v>
      </c>
      <c r="E41" t="s">
        <v>671</v>
      </c>
      <c r="F41" s="19">
        <v>0.94597826908231442</v>
      </c>
      <c r="G41" s="19">
        <v>0.85144189919359403</v>
      </c>
      <c r="H41" s="19">
        <v>0.87743686597802939</v>
      </c>
      <c r="I41" s="19">
        <v>1.6154775009585832E-2</v>
      </c>
      <c r="J41" s="19">
        <v>0.89301294319795976</v>
      </c>
      <c r="K41" s="19">
        <v>1.635252208046559E-2</v>
      </c>
      <c r="L41" s="19"/>
      <c r="M41" s="19"/>
      <c r="N41" s="19"/>
      <c r="O41" s="19"/>
      <c r="P41" s="19"/>
    </row>
    <row r="42" spans="2:16" x14ac:dyDescent="0.2">
      <c r="B42" t="s">
        <v>601</v>
      </c>
      <c r="C42" t="s">
        <v>414</v>
      </c>
      <c r="D42" s="18">
        <v>42236.439930555556</v>
      </c>
      <c r="E42" t="s">
        <v>171</v>
      </c>
      <c r="F42" s="19">
        <v>0.94465196152118314</v>
      </c>
      <c r="G42" s="19">
        <v>0.87716796566774302</v>
      </c>
      <c r="H42" s="19">
        <v>0.92461033534635617</v>
      </c>
      <c r="I42" s="19">
        <v>3.6919835521341468E-2</v>
      </c>
      <c r="J42" s="19">
        <v>0.89773668189843536</v>
      </c>
      <c r="K42" s="19">
        <v>5.0934304699975994E-2</v>
      </c>
      <c r="L42" s="19"/>
      <c r="M42" s="19"/>
      <c r="N42" s="19"/>
      <c r="O42" s="19"/>
      <c r="P42" s="19"/>
    </row>
    <row r="43" spans="2:16" x14ac:dyDescent="0.2">
      <c r="B43" t="s">
        <v>8</v>
      </c>
      <c r="D43" s="18"/>
      <c r="F43" s="19"/>
      <c r="G43" s="19"/>
      <c r="H43" s="19"/>
      <c r="I43" s="19"/>
      <c r="J43" s="19"/>
      <c r="K43" s="19"/>
      <c r="L43" s="19"/>
      <c r="M43" s="19"/>
      <c r="N43" s="19"/>
      <c r="O43" s="19"/>
      <c r="P43" s="19"/>
    </row>
    <row r="44" spans="2:16" x14ac:dyDescent="0.2">
      <c r="B44" t="s">
        <v>414</v>
      </c>
      <c r="C44" t="s">
        <v>414</v>
      </c>
      <c r="D44" s="18">
        <v>42236.439930555556</v>
      </c>
      <c r="E44" t="s">
        <v>676</v>
      </c>
      <c r="F44" s="19">
        <v>0.96128616185035332</v>
      </c>
      <c r="G44" s="19">
        <v>0.88230082654561215</v>
      </c>
      <c r="H44" s="19">
        <v>0.90977850899328283</v>
      </c>
      <c r="I44" s="19">
        <v>1.535240175594808E-2</v>
      </c>
      <c r="J44" s="19">
        <v>0.93277740088526218</v>
      </c>
      <c r="K44" s="19">
        <v>1.5093053117149964E-2</v>
      </c>
      <c r="L44" s="19"/>
      <c r="M44" s="19"/>
      <c r="N44" s="19"/>
      <c r="O44" s="19"/>
      <c r="P44" s="19"/>
    </row>
    <row r="45" spans="2:16" x14ac:dyDescent="0.2">
      <c r="B45" t="s">
        <v>218</v>
      </c>
      <c r="C45" t="s">
        <v>379</v>
      </c>
      <c r="D45" s="18">
        <v>42236.439930555556</v>
      </c>
      <c r="E45" t="s">
        <v>102</v>
      </c>
      <c r="F45" s="19">
        <v>0.95339916421216919</v>
      </c>
      <c r="G45" s="19">
        <v>0.91084966635223419</v>
      </c>
      <c r="H45" s="19">
        <v>0.87681282287685147</v>
      </c>
      <c r="I45" s="19">
        <v>4.7229135821489902E-2</v>
      </c>
      <c r="J45" s="19">
        <v>0.9132764718463211</v>
      </c>
      <c r="K45" s="19">
        <v>4.5010074060673588E-2</v>
      </c>
      <c r="L45" s="19">
        <v>0.87499687398404491</v>
      </c>
      <c r="M45" s="19">
        <v>0.95330987426214653</v>
      </c>
      <c r="N45" s="19">
        <v>3.6007169912451217E-2</v>
      </c>
      <c r="O45" s="19">
        <v>0.94151817235213831</v>
      </c>
      <c r="P45" s="19">
        <v>4.2929305125536388E-2</v>
      </c>
    </row>
    <row r="46" spans="2:16" x14ac:dyDescent="0.2">
      <c r="B46" t="s">
        <v>536</v>
      </c>
      <c r="C46" t="s">
        <v>379</v>
      </c>
      <c r="D46" s="18">
        <v>42236.439930555556</v>
      </c>
      <c r="E46" t="s">
        <v>102</v>
      </c>
      <c r="F46" s="19">
        <v>0.95339916421216919</v>
      </c>
      <c r="G46" s="19">
        <v>0.91084966635223419</v>
      </c>
      <c r="H46" s="19">
        <v>0.87681282287685147</v>
      </c>
      <c r="I46" s="19">
        <v>4.7229135821489902E-2</v>
      </c>
      <c r="J46" s="19">
        <v>0.9132764718463211</v>
      </c>
      <c r="K46" s="19">
        <v>4.5010074060673588E-2</v>
      </c>
      <c r="L46" s="19">
        <v>0.87499687398404491</v>
      </c>
      <c r="M46" s="19">
        <v>0.95330987426214653</v>
      </c>
      <c r="N46" s="19">
        <v>3.6007169912451217E-2</v>
      </c>
      <c r="O46" s="19">
        <v>0.94151817235213831</v>
      </c>
      <c r="P46" s="19">
        <v>4.2929305125536388E-2</v>
      </c>
    </row>
    <row r="47" spans="2:16" x14ac:dyDescent="0.2">
      <c r="B47" t="s">
        <v>605</v>
      </c>
      <c r="C47" t="s">
        <v>414</v>
      </c>
      <c r="D47" s="18">
        <v>42236.439930555556</v>
      </c>
      <c r="E47" t="s">
        <v>173</v>
      </c>
      <c r="F47" s="19">
        <v>0.93645829686764603</v>
      </c>
      <c r="G47" s="19">
        <v>0.8564995852589169</v>
      </c>
      <c r="H47" s="19">
        <v>0.91833504785308151</v>
      </c>
      <c r="I47" s="19">
        <v>4.3822622311840718E-2</v>
      </c>
      <c r="J47" s="19">
        <v>0.92387524491722384</v>
      </c>
      <c r="K47" s="19">
        <v>3.9311450569866506E-2</v>
      </c>
      <c r="L47" s="19"/>
      <c r="M47" s="19"/>
      <c r="N47" s="19"/>
      <c r="O47" s="19"/>
      <c r="P47" s="19"/>
    </row>
    <row r="48" spans="2:16" x14ac:dyDescent="0.2">
      <c r="B48" t="s">
        <v>539</v>
      </c>
      <c r="C48" t="s">
        <v>379</v>
      </c>
      <c r="D48" s="18">
        <v>42236.439930555556</v>
      </c>
      <c r="E48" t="s">
        <v>148</v>
      </c>
      <c r="F48" s="19">
        <v>0.95914265536095789</v>
      </c>
      <c r="G48" s="19">
        <v>0.90262857142857145</v>
      </c>
      <c r="H48" s="19">
        <v>0.90275422375535852</v>
      </c>
      <c r="I48" s="19">
        <v>4.4725363827753599E-2</v>
      </c>
      <c r="J48" s="19">
        <v>0.93275407278698108</v>
      </c>
      <c r="K48" s="19">
        <v>4.0793681728530796E-2</v>
      </c>
      <c r="L48" s="19"/>
      <c r="M48" s="19"/>
      <c r="N48" s="19"/>
      <c r="O48" s="19"/>
      <c r="P48" s="19"/>
    </row>
    <row r="49" spans="2:16" x14ac:dyDescent="0.2">
      <c r="B49" t="s">
        <v>613</v>
      </c>
      <c r="C49" t="s">
        <v>414</v>
      </c>
      <c r="D49" s="18">
        <v>42236.439930555556</v>
      </c>
      <c r="E49" t="s">
        <v>176</v>
      </c>
      <c r="F49" s="19">
        <v>0.94647696154681671</v>
      </c>
      <c r="G49" s="19">
        <v>0.91334952968292527</v>
      </c>
      <c r="H49" s="19">
        <v>0.94603948770283042</v>
      </c>
      <c r="I49" s="19">
        <v>3.381726093704053E-2</v>
      </c>
      <c r="J49" s="19">
        <v>0.96277811646351363</v>
      </c>
      <c r="K49" s="19">
        <v>2.8924520290879913E-2</v>
      </c>
      <c r="L49" s="19"/>
      <c r="M49" s="19"/>
      <c r="N49" s="19"/>
      <c r="O49" s="19"/>
      <c r="P49" s="19"/>
    </row>
    <row r="50" spans="2:16" x14ac:dyDescent="0.2">
      <c r="B50" t="s">
        <v>524</v>
      </c>
      <c r="C50" t="s">
        <v>379</v>
      </c>
      <c r="D50" s="18">
        <v>42236.439930555556</v>
      </c>
      <c r="E50" t="s">
        <v>143</v>
      </c>
      <c r="F50" s="19">
        <v>0.96170220080560609</v>
      </c>
      <c r="G50" s="19">
        <v>0.83831604636973767</v>
      </c>
      <c r="H50" s="19">
        <v>0.87284225371367308</v>
      </c>
      <c r="I50" s="19">
        <v>5.5146907500185804E-2</v>
      </c>
      <c r="J50" s="19">
        <v>0.95333317161131736</v>
      </c>
      <c r="K50" s="19">
        <v>3.776793994045647E-2</v>
      </c>
      <c r="L50" s="19"/>
      <c r="M50" s="19"/>
      <c r="N50" s="19"/>
      <c r="O50" s="19"/>
      <c r="P50" s="19"/>
    </row>
    <row r="51" spans="2:16" x14ac:dyDescent="0.2">
      <c r="B51" t="s">
        <v>621</v>
      </c>
      <c r="C51" t="s">
        <v>414</v>
      </c>
      <c r="D51" s="18">
        <v>42236.439930555556</v>
      </c>
      <c r="E51" t="s">
        <v>180</v>
      </c>
      <c r="F51" s="19">
        <v>0.95106743248977943</v>
      </c>
      <c r="G51" s="19">
        <v>0.87967058823529409</v>
      </c>
      <c r="H51" s="19">
        <v>0.90516585147113604</v>
      </c>
      <c r="I51" s="19">
        <v>4.702385810274521E-2</v>
      </c>
      <c r="J51" s="19">
        <v>0.93974126210099218</v>
      </c>
      <c r="K51" s="19">
        <v>3.395546240958211E-2</v>
      </c>
      <c r="L51" s="19"/>
      <c r="M51" s="19"/>
      <c r="N51" s="19"/>
      <c r="O51" s="19"/>
      <c r="P51" s="19"/>
    </row>
    <row r="52" spans="2:16" x14ac:dyDescent="0.2">
      <c r="B52" t="s">
        <v>545</v>
      </c>
      <c r="C52" t="s">
        <v>379</v>
      </c>
      <c r="D52" s="18">
        <v>42236.439930555556</v>
      </c>
      <c r="E52" t="s">
        <v>108</v>
      </c>
      <c r="F52" s="19">
        <v>0.97028414686982167</v>
      </c>
      <c r="G52" s="19">
        <v>0.89088285688520163</v>
      </c>
      <c r="H52" s="19">
        <v>0.9108343084831767</v>
      </c>
      <c r="I52" s="19">
        <v>4.6327199228885195E-2</v>
      </c>
      <c r="J52" s="19">
        <v>0.93104003136573199</v>
      </c>
      <c r="K52" s="19">
        <v>4.1393317421084104E-2</v>
      </c>
      <c r="L52" s="19"/>
      <c r="M52" s="19"/>
      <c r="N52" s="19"/>
      <c r="O52" s="19"/>
      <c r="P52" s="19"/>
    </row>
    <row r="53" spans="2:16" x14ac:dyDescent="0.2">
      <c r="B53" t="s">
        <v>598</v>
      </c>
      <c r="C53" t="s">
        <v>395</v>
      </c>
      <c r="D53" s="18">
        <v>42236.439930555556</v>
      </c>
      <c r="E53" t="s">
        <v>170</v>
      </c>
      <c r="F53" s="19">
        <v>0.95695829629595164</v>
      </c>
      <c r="G53" s="19">
        <v>0.88098898283371763</v>
      </c>
      <c r="H53" s="19">
        <v>0.88999972373341085</v>
      </c>
      <c r="I53" s="19">
        <v>4.2877521016260897E-2</v>
      </c>
      <c r="J53" s="19">
        <v>0.92970238050550191</v>
      </c>
      <c r="K53" s="19">
        <v>4.0825206716353507E-2</v>
      </c>
      <c r="L53" s="255"/>
      <c r="M53" s="255"/>
      <c r="N53" s="255"/>
      <c r="O53" s="255"/>
      <c r="P53" s="255"/>
    </row>
    <row r="54" spans="2:16" x14ac:dyDescent="0.2">
      <c r="B54" t="s">
        <v>634</v>
      </c>
      <c r="C54" t="s">
        <v>414</v>
      </c>
      <c r="D54" s="18">
        <v>42236.439930555556</v>
      </c>
      <c r="E54" t="s">
        <v>185</v>
      </c>
      <c r="F54" s="19">
        <v>0.98189447199374691</v>
      </c>
      <c r="G54" s="19">
        <v>0.89953582142028921</v>
      </c>
      <c r="H54" s="19">
        <v>0.89057977326500548</v>
      </c>
      <c r="I54" s="19">
        <v>4.1086121480492184E-2</v>
      </c>
      <c r="J54" s="19">
        <v>0.92234505907004982</v>
      </c>
      <c r="K54" s="19">
        <v>4.6173598552222687E-2</v>
      </c>
      <c r="L54" s="19"/>
      <c r="M54" s="19"/>
      <c r="N54" s="19"/>
      <c r="O54" s="19"/>
      <c r="P54" s="19"/>
    </row>
    <row r="55" spans="2:16" x14ac:dyDescent="0.2">
      <c r="B55" t="s">
        <v>623</v>
      </c>
      <c r="C55" t="s">
        <v>390</v>
      </c>
      <c r="D55" s="18">
        <v>42236.439930555556</v>
      </c>
      <c r="E55" t="s">
        <v>181</v>
      </c>
      <c r="F55" s="19">
        <v>0.92744354910864091</v>
      </c>
      <c r="G55" s="19">
        <v>0.72890855826009404</v>
      </c>
      <c r="H55" s="19">
        <v>0.85937314868835268</v>
      </c>
      <c r="I55" s="19">
        <v>4.9732923016521081E-2</v>
      </c>
      <c r="J55" s="19">
        <v>0.88928882167507173</v>
      </c>
      <c r="K55" s="19">
        <v>4.9552843728646608E-2</v>
      </c>
      <c r="L55" s="19"/>
      <c r="M55" s="19"/>
      <c r="N55" s="19"/>
      <c r="O55" s="19"/>
      <c r="P55" s="19"/>
    </row>
    <row r="56" spans="2:16" x14ac:dyDescent="0.2">
      <c r="B56" t="s">
        <v>607</v>
      </c>
      <c r="C56" t="s">
        <v>414</v>
      </c>
      <c r="D56" s="18">
        <v>42236.439930555556</v>
      </c>
      <c r="E56" t="s">
        <v>174</v>
      </c>
      <c r="F56" s="19">
        <v>0.97186788652620892</v>
      </c>
      <c r="G56" s="19">
        <v>0.89250796646978825</v>
      </c>
      <c r="H56" s="19">
        <v>0.91445568644994524</v>
      </c>
      <c r="I56" s="19">
        <v>3.8849089135071679E-2</v>
      </c>
      <c r="J56" s="19">
        <v>0.94584493133597436</v>
      </c>
      <c r="K56" s="19">
        <v>3.7027901256434605E-2</v>
      </c>
      <c r="L56" s="19"/>
      <c r="M56" s="19"/>
      <c r="N56" s="19"/>
      <c r="O56" s="19"/>
      <c r="P56" s="19"/>
    </row>
    <row r="57" spans="2:16" x14ac:dyDescent="0.2">
      <c r="B57" t="s">
        <v>645</v>
      </c>
      <c r="C57" t="s">
        <v>400</v>
      </c>
      <c r="D57" s="18">
        <v>42236.439930555556</v>
      </c>
      <c r="E57" t="s">
        <v>190</v>
      </c>
      <c r="F57" s="19">
        <v>0.9463038767156271</v>
      </c>
      <c r="G57" s="19">
        <v>0.88618387262455078</v>
      </c>
      <c r="H57" s="19">
        <v>0.96180171357436395</v>
      </c>
      <c r="I57" s="19">
        <v>3.3406467424565565E-2</v>
      </c>
      <c r="J57" s="19">
        <v>0.94241254223153403</v>
      </c>
      <c r="K57" s="19">
        <v>3.4335366874441747E-2</v>
      </c>
      <c r="L57" s="19"/>
      <c r="M57" s="19"/>
      <c r="N57" s="19"/>
      <c r="O57" s="19"/>
      <c r="P57" s="19"/>
    </row>
    <row r="58" spans="2:16" x14ac:dyDescent="0.2">
      <c r="B58" t="s">
        <v>390</v>
      </c>
      <c r="C58" t="s">
        <v>390</v>
      </c>
      <c r="D58" s="18">
        <v>42236.439930555556</v>
      </c>
      <c r="E58" t="s">
        <v>673</v>
      </c>
      <c r="F58" s="19">
        <v>0.94806095365153453</v>
      </c>
      <c r="G58" s="19">
        <v>0.88003719649489232</v>
      </c>
      <c r="H58" s="19">
        <v>0.90473898621836357</v>
      </c>
      <c r="I58" s="19">
        <v>1.91365933726955E-2</v>
      </c>
      <c r="J58" s="19">
        <v>0.89908019781864856</v>
      </c>
      <c r="K58" s="19">
        <v>2.5498313928897502E-2</v>
      </c>
      <c r="L58" s="19"/>
      <c r="M58" s="19"/>
      <c r="N58" s="19"/>
      <c r="O58" s="19"/>
      <c r="P58" s="19"/>
    </row>
    <row r="59" spans="2:16" x14ac:dyDescent="0.2">
      <c r="B59" t="s">
        <v>584</v>
      </c>
      <c r="C59" t="s">
        <v>400</v>
      </c>
      <c r="D59" s="18">
        <v>42236.439930555556</v>
      </c>
      <c r="E59" t="s">
        <v>164</v>
      </c>
      <c r="F59" s="19">
        <v>0.95213001229463223</v>
      </c>
      <c r="G59" s="19">
        <v>0.84655635613443569</v>
      </c>
      <c r="H59" s="19">
        <v>0.8966502969299619</v>
      </c>
      <c r="I59" s="19">
        <v>4.3423179040779303E-2</v>
      </c>
      <c r="J59" s="19">
        <v>0.87942946175387515</v>
      </c>
      <c r="K59" s="19">
        <v>4.7570497744007484E-2</v>
      </c>
      <c r="L59" s="19"/>
      <c r="M59" s="19"/>
      <c r="N59" s="19"/>
      <c r="O59" s="19"/>
      <c r="P59" s="19"/>
    </row>
    <row r="60" spans="2:16" x14ac:dyDescent="0.2">
      <c r="B60" t="s">
        <v>220</v>
      </c>
      <c r="C60" t="s">
        <v>400</v>
      </c>
      <c r="D60" s="18">
        <v>42236.439930555556</v>
      </c>
      <c r="E60" t="s">
        <v>167</v>
      </c>
      <c r="F60" s="19">
        <v>0.97493921544937345</v>
      </c>
      <c r="G60" s="19">
        <v>0.9455318214610583</v>
      </c>
      <c r="H60" s="19">
        <v>0.93092357448136875</v>
      </c>
      <c r="I60" s="19">
        <v>3.5151715705994846E-2</v>
      </c>
      <c r="J60" s="19">
        <v>0.86126119780755306</v>
      </c>
      <c r="K60" s="19">
        <v>6.8340141599622303E-2</v>
      </c>
      <c r="L60" s="19">
        <v>1</v>
      </c>
      <c r="M60" s="19">
        <v>0.9920093664438947</v>
      </c>
      <c r="N60" s="19">
        <v>9.5752801700201215E-3</v>
      </c>
      <c r="O60" s="19">
        <v>0.96349001134633128</v>
      </c>
      <c r="P60" s="19">
        <v>3.6496758070326651E-2</v>
      </c>
    </row>
    <row r="61" spans="2:16" x14ac:dyDescent="0.2">
      <c r="B61" t="s">
        <v>590</v>
      </c>
      <c r="C61" t="s">
        <v>400</v>
      </c>
      <c r="D61" s="18">
        <v>42236.439930555556</v>
      </c>
      <c r="E61" t="s">
        <v>167</v>
      </c>
      <c r="F61" s="19">
        <v>0.97493921544937345</v>
      </c>
      <c r="G61" s="19">
        <v>0.9455318214610583</v>
      </c>
      <c r="H61" s="19">
        <v>0.93092357448136875</v>
      </c>
      <c r="I61" s="19">
        <v>3.5151715705994846E-2</v>
      </c>
      <c r="J61" s="19">
        <v>0.86126119780755306</v>
      </c>
      <c r="K61" s="19">
        <v>6.8340141599622303E-2</v>
      </c>
      <c r="L61" s="19">
        <v>1</v>
      </c>
      <c r="M61" s="19">
        <v>0.9920093664438947</v>
      </c>
      <c r="N61" s="19">
        <v>9.5752801700201215E-3</v>
      </c>
      <c r="O61" s="19">
        <v>0.96349001134633128</v>
      </c>
      <c r="P61" s="19">
        <v>3.6496758070326651E-2</v>
      </c>
    </row>
    <row r="62" spans="2:16" x14ac:dyDescent="0.2">
      <c r="B62" t="s">
        <v>551</v>
      </c>
      <c r="C62" t="s">
        <v>390</v>
      </c>
      <c r="D62" s="18">
        <v>42236.439930555556</v>
      </c>
      <c r="E62" t="s">
        <v>152</v>
      </c>
      <c r="F62" s="19">
        <v>0.88686748203820354</v>
      </c>
      <c r="G62" s="19">
        <v>0.86138890954611935</v>
      </c>
      <c r="H62" s="19">
        <v>0.88463904349618627</v>
      </c>
      <c r="I62" s="19">
        <v>5.0573171548125941E-2</v>
      </c>
      <c r="J62" s="19">
        <v>0.89564386830711396</v>
      </c>
      <c r="K62" s="19">
        <v>5.6413685804879349E-2</v>
      </c>
      <c r="L62" s="19"/>
      <c r="M62" s="19"/>
      <c r="N62" s="19"/>
      <c r="O62" s="19"/>
      <c r="P62" s="19"/>
    </row>
    <row r="63" spans="2:16" x14ac:dyDescent="0.2">
      <c r="B63" t="s">
        <v>637</v>
      </c>
      <c r="C63" t="s">
        <v>379</v>
      </c>
      <c r="D63" s="18">
        <v>42236.439930555556</v>
      </c>
      <c r="E63" t="s">
        <v>186</v>
      </c>
      <c r="F63" s="19">
        <v>0.97216825069015667</v>
      </c>
      <c r="G63" s="19">
        <v>0.87072751809593907</v>
      </c>
      <c r="H63" s="19">
        <v>0.88527238196198121</v>
      </c>
      <c r="I63" s="19">
        <v>5.3904934598517758E-2</v>
      </c>
      <c r="J63" s="19">
        <v>0.95207134517653547</v>
      </c>
      <c r="K63" s="19">
        <v>3.7256718307833621E-2</v>
      </c>
      <c r="L63" s="19"/>
      <c r="M63" s="19"/>
      <c r="N63" s="19"/>
      <c r="O63" s="19"/>
      <c r="P63" s="19"/>
    </row>
    <row r="64" spans="2:16" x14ac:dyDescent="0.2">
      <c r="B64" t="s">
        <v>706</v>
      </c>
      <c r="C64" t="s">
        <v>6</v>
      </c>
      <c r="D64" s="18">
        <v>42236.439930555556</v>
      </c>
      <c r="E64" t="s">
        <v>447</v>
      </c>
      <c r="F64" s="19"/>
      <c r="G64" s="19"/>
      <c r="H64" s="19"/>
      <c r="I64" s="19"/>
      <c r="J64" s="19"/>
      <c r="K64" s="19"/>
      <c r="L64" s="19">
        <v>0.94246964737261441</v>
      </c>
      <c r="M64" s="19">
        <v>0.96812348377268675</v>
      </c>
      <c r="N64" s="19">
        <v>1.5248741409886577E-2</v>
      </c>
      <c r="O64" s="19">
        <v>0.96389630432598183</v>
      </c>
      <c r="P64" s="19">
        <v>1.9891014158988439E-2</v>
      </c>
    </row>
    <row r="65" spans="2:16" x14ac:dyDescent="0.2">
      <c r="B65" t="s">
        <v>708</v>
      </c>
      <c r="C65" t="s">
        <v>6</v>
      </c>
      <c r="D65" s="18">
        <v>42236.439930555556</v>
      </c>
      <c r="E65" t="s">
        <v>447</v>
      </c>
      <c r="F65" s="19">
        <v>0.95451048793219162</v>
      </c>
      <c r="G65" s="19">
        <v>0.88046570682525982</v>
      </c>
      <c r="H65" s="19">
        <v>0.90459023216668721</v>
      </c>
      <c r="I65" s="19">
        <v>7.1397644292206762E-3</v>
      </c>
      <c r="J65" s="19">
        <v>0.91036932806301474</v>
      </c>
      <c r="K65" s="19">
        <v>8.71643264680543E-3</v>
      </c>
      <c r="L65" s="19">
        <v>0.94246964737261441</v>
      </c>
      <c r="M65" s="19">
        <v>0.96812348377268675</v>
      </c>
      <c r="N65" s="19">
        <v>1.5248741409886577E-2</v>
      </c>
      <c r="O65" s="19">
        <v>0.96389630432598183</v>
      </c>
      <c r="P65" s="19">
        <v>1.9891014158988439E-2</v>
      </c>
    </row>
    <row r="66" spans="2:16" x14ac:dyDescent="0.2">
      <c r="B66" t="s">
        <v>615</v>
      </c>
      <c r="C66" t="s">
        <v>395</v>
      </c>
      <c r="D66" s="18">
        <v>42236.439930555556</v>
      </c>
      <c r="E66" t="s">
        <v>177</v>
      </c>
      <c r="F66" s="19">
        <v>0.97041872132816165</v>
      </c>
      <c r="G66" s="19">
        <v>0.91776779351326421</v>
      </c>
      <c r="H66" s="19">
        <v>0.93074188798415913</v>
      </c>
      <c r="I66" s="19">
        <v>3.7039613401455895E-2</v>
      </c>
      <c r="J66" s="19">
        <v>0.90743276542888074</v>
      </c>
      <c r="K66" s="19">
        <v>4.5782091761133119E-2</v>
      </c>
      <c r="L66" s="19"/>
      <c r="M66" s="19"/>
      <c r="N66" s="19"/>
      <c r="O66" s="19"/>
      <c r="P66" s="19"/>
    </row>
    <row r="67" spans="2:16" x14ac:dyDescent="0.2">
      <c r="B67" t="s">
        <v>680</v>
      </c>
      <c r="C67" t="s">
        <v>379</v>
      </c>
      <c r="D67" s="18">
        <v>42236.439930555556</v>
      </c>
      <c r="E67" t="s">
        <v>679</v>
      </c>
      <c r="F67" s="153">
        <v>0.96301687246163492</v>
      </c>
      <c r="G67" s="153">
        <v>0.90224196607175311</v>
      </c>
      <c r="H67" s="153">
        <v>0.91022521232942066</v>
      </c>
      <c r="I67" s="153">
        <v>0.11607218406135225</v>
      </c>
      <c r="J67" s="153">
        <v>0.81038017894609171</v>
      </c>
      <c r="K67" s="153">
        <v>4.4855548022503487E-2</v>
      </c>
      <c r="L67" s="153"/>
      <c r="M67" s="153"/>
      <c r="N67" s="153"/>
      <c r="O67" s="153"/>
      <c r="P67" s="153"/>
    </row>
    <row r="68" spans="2:16" x14ac:dyDescent="0.2">
      <c r="B68" t="s">
        <v>639</v>
      </c>
      <c r="C68" t="s">
        <v>379</v>
      </c>
      <c r="D68" s="18">
        <v>42236.439930555556</v>
      </c>
      <c r="E68" t="s">
        <v>92</v>
      </c>
      <c r="F68" s="153">
        <v>0.93122995629450489</v>
      </c>
      <c r="G68" s="153">
        <v>0.86016865079365079</v>
      </c>
      <c r="H68" s="153">
        <v>0.83642540469528082</v>
      </c>
      <c r="I68" s="153">
        <v>5.1250249650439839E-2</v>
      </c>
      <c r="J68" s="153">
        <v>0.89578717977998545</v>
      </c>
      <c r="K68" s="153">
        <v>3.1792449818775097E-2</v>
      </c>
      <c r="L68" s="153"/>
      <c r="M68" s="153"/>
      <c r="N68" s="153"/>
      <c r="O68" s="153"/>
      <c r="P68" s="153"/>
    </row>
    <row r="69" spans="2:16" x14ac:dyDescent="0.2">
      <c r="B69" t="s">
        <v>649</v>
      </c>
      <c r="C69" t="s">
        <v>400</v>
      </c>
      <c r="D69" s="18">
        <v>42236.439930555556</v>
      </c>
      <c r="E69" t="s">
        <v>191</v>
      </c>
      <c r="F69" s="153">
        <v>0.9180127922041228</v>
      </c>
      <c r="G69" s="153">
        <v>0.83210571584955828</v>
      </c>
      <c r="H69" s="153">
        <v>0.93547950839900618</v>
      </c>
      <c r="I69" s="153">
        <v>3.6902663034210331E-2</v>
      </c>
      <c r="J69" s="153">
        <v>0.94252766933077969</v>
      </c>
      <c r="K69" s="153">
        <v>4.2405723986213673E-2</v>
      </c>
      <c r="L69" s="153"/>
      <c r="M69" s="153"/>
      <c r="N69" s="153"/>
      <c r="O69" s="153"/>
      <c r="P69" s="153"/>
    </row>
    <row r="70" spans="2:16" x14ac:dyDescent="0.2">
      <c r="B70" t="s">
        <v>653</v>
      </c>
      <c r="C70" t="s">
        <v>379</v>
      </c>
      <c r="D70" s="18">
        <v>42236.439930555556</v>
      </c>
      <c r="E70" t="s">
        <v>193</v>
      </c>
      <c r="F70" s="153">
        <v>0.90053841612252272</v>
      </c>
      <c r="G70" s="153">
        <v>0.82313105326876523</v>
      </c>
      <c r="H70" s="153">
        <v>0.8658925122439125</v>
      </c>
      <c r="I70" s="153">
        <v>4.3207438523814402E-2</v>
      </c>
      <c r="J70" s="153">
        <v>0.90125622698722097</v>
      </c>
      <c r="K70" s="153">
        <v>4.6341368632415648E-2</v>
      </c>
      <c r="L70" s="153"/>
      <c r="M70" s="153"/>
      <c r="N70" s="153"/>
      <c r="O70" s="153"/>
      <c r="P70" s="153"/>
    </row>
    <row r="71" spans="2:16" x14ac:dyDescent="0.2">
      <c r="B71" t="s">
        <v>553</v>
      </c>
      <c r="C71" t="s">
        <v>379</v>
      </c>
      <c r="D71" s="18">
        <v>42236.439930555556</v>
      </c>
      <c r="E71" t="s">
        <v>153</v>
      </c>
      <c r="F71" s="153">
        <v>0.94515933903599847</v>
      </c>
      <c r="G71" s="153">
        <v>0.79584413289349665</v>
      </c>
      <c r="H71" s="153">
        <v>0.83248171547567706</v>
      </c>
      <c r="I71" s="153">
        <v>5.2326796219906983E-2</v>
      </c>
      <c r="J71" s="153">
        <v>0.92127833283277349</v>
      </c>
      <c r="K71" s="153">
        <v>4.2473187310051161E-2</v>
      </c>
      <c r="L71" s="153"/>
      <c r="M71" s="153"/>
      <c r="N71" s="153"/>
      <c r="O71" s="153"/>
      <c r="P71" s="153"/>
    </row>
  </sheetData>
  <sheetProtection autoFilter="0"/>
  <conditionalFormatting sqref="B3:B71">
    <cfRule type="duplicateValues" dxfId="17" priority="345"/>
  </conditionalFormatting>
  <conditionalFormatting sqref="B2:P71">
    <cfRule type="cellIs" dxfId="16" priority="1" operator="between">
      <formula>0.05</formula>
      <formula>0.75</formula>
    </cfRule>
  </conditionalFormatting>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0000"/>
  </sheetPr>
  <dimension ref="B2:AY72"/>
  <sheetViews>
    <sheetView zoomScale="55" zoomScaleNormal="55" workbookViewId="0"/>
  </sheetViews>
  <sheetFormatPr defaultRowHeight="12.75" x14ac:dyDescent="0.2"/>
  <cols>
    <col min="2" max="2" width="64.28515625" customWidth="1"/>
    <col min="3" max="3" width="14.7109375" customWidth="1"/>
    <col min="4" max="4" width="12.5703125" customWidth="1"/>
    <col min="6" max="6" width="20.140625" bestFit="1" customWidth="1"/>
    <col min="7" max="7" width="26.85546875" bestFit="1" customWidth="1"/>
    <col min="8" max="8" width="20.85546875" bestFit="1" customWidth="1"/>
    <col min="9" max="9" width="12.85546875" bestFit="1" customWidth="1"/>
    <col min="10" max="10" width="20.85546875" bestFit="1" customWidth="1"/>
    <col min="11" max="11" width="12.85546875" bestFit="1" customWidth="1"/>
    <col min="12" max="12" width="24" bestFit="1" customWidth="1"/>
    <col min="13" max="13" width="16" bestFit="1" customWidth="1"/>
    <col min="14" max="14" width="31.85546875" bestFit="1" customWidth="1"/>
    <col min="15" max="15" width="24" bestFit="1" customWidth="1"/>
    <col min="16" max="16" width="33.85546875" bestFit="1" customWidth="1"/>
    <col min="17" max="17" width="25.85546875" bestFit="1" customWidth="1"/>
    <col min="18" max="18" width="36.28515625" bestFit="1" customWidth="1"/>
    <col min="19" max="19" width="28.42578125" bestFit="1" customWidth="1"/>
    <col min="20" max="20" width="11.28515625" bestFit="1" customWidth="1"/>
    <col min="22" max="22" width="32.5703125" customWidth="1"/>
    <col min="23" max="23" width="26.85546875" customWidth="1"/>
    <col min="24" max="24" width="20.85546875" customWidth="1"/>
    <col min="25" max="25" width="12.85546875" customWidth="1"/>
    <col min="26" max="26" width="20.85546875" customWidth="1"/>
    <col min="27" max="27" width="12.85546875" customWidth="1"/>
    <col min="28" max="28" width="24" customWidth="1"/>
    <col min="29" max="29" width="16" customWidth="1"/>
    <col min="30" max="30" width="31.85546875" customWidth="1"/>
    <col min="31" max="31" width="24" customWidth="1"/>
    <col min="32" max="32" width="33.85546875" customWidth="1"/>
    <col min="33" max="33" width="25.85546875" customWidth="1"/>
    <col min="34" max="34" width="36.28515625" customWidth="1"/>
    <col min="35" max="35" width="28.42578125" customWidth="1"/>
    <col min="36" max="37" width="11.28515625" customWidth="1"/>
    <col min="38" max="38" width="30.28515625" customWidth="1"/>
    <col min="39" max="39" width="26.85546875" customWidth="1"/>
    <col min="40" max="40" width="20.85546875" customWidth="1"/>
    <col min="41" max="41" width="12.85546875" customWidth="1"/>
    <col min="42" max="42" width="20.85546875" customWidth="1"/>
    <col min="43" max="43" width="12.85546875" customWidth="1"/>
    <col min="44" max="44" width="24" customWidth="1"/>
    <col min="45" max="45" width="16" customWidth="1"/>
    <col min="46" max="46" width="31.85546875" customWidth="1"/>
    <col min="47" max="47" width="24" customWidth="1"/>
    <col min="48" max="48" width="33.85546875" customWidth="1"/>
    <col min="49" max="49" width="25.85546875" customWidth="1"/>
    <col min="50" max="50" width="36.28515625" customWidth="1"/>
    <col min="51" max="51" width="28.42578125" customWidth="1"/>
  </cols>
  <sheetData>
    <row r="2" spans="2:51" x14ac:dyDescent="0.2">
      <c r="B2" t="s">
        <v>962</v>
      </c>
      <c r="C2" t="s">
        <v>963</v>
      </c>
      <c r="D2" t="s">
        <v>139</v>
      </c>
      <c r="F2" t="s">
        <v>957</v>
      </c>
      <c r="G2" t="s">
        <v>944</v>
      </c>
      <c r="H2" t="s">
        <v>945</v>
      </c>
      <c r="I2" t="s">
        <v>946</v>
      </c>
      <c r="J2" t="s">
        <v>947</v>
      </c>
      <c r="K2" t="s">
        <v>948</v>
      </c>
      <c r="L2" t="s">
        <v>949</v>
      </c>
      <c r="M2" t="s">
        <v>950</v>
      </c>
      <c r="N2" t="s">
        <v>951</v>
      </c>
      <c r="O2" t="s">
        <v>952</v>
      </c>
      <c r="P2" t="s">
        <v>953</v>
      </c>
      <c r="Q2" t="s">
        <v>954</v>
      </c>
      <c r="R2" t="s">
        <v>955</v>
      </c>
      <c r="S2" t="s">
        <v>956</v>
      </c>
      <c r="V2" t="s">
        <v>958</v>
      </c>
      <c r="W2" t="s">
        <v>944</v>
      </c>
      <c r="X2" t="s">
        <v>945</v>
      </c>
      <c r="Y2" t="s">
        <v>946</v>
      </c>
      <c r="Z2" t="s">
        <v>947</v>
      </c>
      <c r="AA2" t="s">
        <v>948</v>
      </c>
      <c r="AB2" t="s">
        <v>949</v>
      </c>
      <c r="AC2" t="s">
        <v>950</v>
      </c>
      <c r="AD2" t="s">
        <v>951</v>
      </c>
      <c r="AE2" t="s">
        <v>952</v>
      </c>
      <c r="AF2" t="s">
        <v>953</v>
      </c>
      <c r="AG2" t="s">
        <v>954</v>
      </c>
      <c r="AH2" t="s">
        <v>955</v>
      </c>
      <c r="AI2" t="s">
        <v>956</v>
      </c>
      <c r="AL2" t="s">
        <v>959</v>
      </c>
      <c r="AM2" t="s">
        <v>944</v>
      </c>
      <c r="AN2" t="s">
        <v>945</v>
      </c>
      <c r="AO2" t="s">
        <v>946</v>
      </c>
      <c r="AP2" t="s">
        <v>947</v>
      </c>
      <c r="AQ2" t="s">
        <v>948</v>
      </c>
      <c r="AR2" t="s">
        <v>949</v>
      </c>
      <c r="AS2" t="s">
        <v>950</v>
      </c>
      <c r="AT2" t="s">
        <v>951</v>
      </c>
      <c r="AU2" t="s">
        <v>952</v>
      </c>
      <c r="AV2" t="s">
        <v>953</v>
      </c>
      <c r="AW2" t="s">
        <v>954</v>
      </c>
      <c r="AX2" t="s">
        <v>955</v>
      </c>
      <c r="AY2" t="s">
        <v>956</v>
      </c>
    </row>
    <row r="3" spans="2:51" x14ac:dyDescent="0.2">
      <c r="B3" t="s">
        <v>965</v>
      </c>
      <c r="C3">
        <v>376172</v>
      </c>
      <c r="D3">
        <v>406.73611640960002</v>
      </c>
      <c r="F3" t="s">
        <v>8</v>
      </c>
      <c r="G3">
        <v>12511</v>
      </c>
      <c r="P3">
        <v>12511</v>
      </c>
      <c r="Q3">
        <v>185.9305411238</v>
      </c>
      <c r="V3" t="s">
        <v>318</v>
      </c>
      <c r="W3">
        <v>389</v>
      </c>
      <c r="X3">
        <v>249</v>
      </c>
      <c r="Y3">
        <v>377.73895582329999</v>
      </c>
      <c r="Z3">
        <v>21</v>
      </c>
      <c r="AA3">
        <v>589.09523809519999</v>
      </c>
      <c r="AB3">
        <v>80</v>
      </c>
      <c r="AC3">
        <v>513</v>
      </c>
      <c r="AD3">
        <v>35</v>
      </c>
      <c r="AE3">
        <v>659.65714285709998</v>
      </c>
      <c r="AF3">
        <v>24</v>
      </c>
      <c r="AG3">
        <v>241.0833333333</v>
      </c>
      <c r="AH3">
        <v>1</v>
      </c>
      <c r="AI3">
        <v>54</v>
      </c>
      <c r="AL3" t="s">
        <v>318</v>
      </c>
      <c r="AM3">
        <v>6</v>
      </c>
      <c r="AN3">
        <v>3</v>
      </c>
      <c r="AO3">
        <v>94.666666666699996</v>
      </c>
      <c r="AP3">
        <v>1</v>
      </c>
      <c r="AQ3">
        <v>554</v>
      </c>
      <c r="AR3">
        <v>1</v>
      </c>
      <c r="AS3">
        <v>149</v>
      </c>
      <c r="AT3">
        <v>1</v>
      </c>
      <c r="AU3">
        <v>92</v>
      </c>
      <c r="AV3">
        <v>1</v>
      </c>
      <c r="AW3">
        <v>17</v>
      </c>
    </row>
    <row r="4" spans="2:51" x14ac:dyDescent="0.2">
      <c r="B4" t="s">
        <v>964</v>
      </c>
      <c r="C4">
        <v>36698</v>
      </c>
      <c r="D4">
        <v>406.73611640960002</v>
      </c>
      <c r="F4" t="s">
        <v>8</v>
      </c>
      <c r="G4">
        <v>12511</v>
      </c>
      <c r="P4">
        <v>12511</v>
      </c>
      <c r="Q4">
        <v>185.9305411238</v>
      </c>
      <c r="V4" t="s">
        <v>8</v>
      </c>
      <c r="W4">
        <v>5094</v>
      </c>
      <c r="X4">
        <v>3759</v>
      </c>
      <c r="Y4">
        <v>401.25937749399998</v>
      </c>
      <c r="Z4">
        <v>369</v>
      </c>
      <c r="AA4">
        <v>437.4715447154</v>
      </c>
      <c r="AB4">
        <v>576</v>
      </c>
      <c r="AC4">
        <v>521.55208333329995</v>
      </c>
      <c r="AD4">
        <v>700</v>
      </c>
      <c r="AE4">
        <v>825.98428571429997</v>
      </c>
      <c r="AF4">
        <v>57</v>
      </c>
      <c r="AG4">
        <v>210.77192982459999</v>
      </c>
      <c r="AH4">
        <v>2</v>
      </c>
      <c r="AI4">
        <v>696</v>
      </c>
      <c r="AL4" t="s">
        <v>8</v>
      </c>
      <c r="AM4">
        <v>41</v>
      </c>
      <c r="AN4">
        <v>31</v>
      </c>
      <c r="AO4">
        <v>221.70967741940001</v>
      </c>
      <c r="AP4">
        <v>7</v>
      </c>
      <c r="AQ4">
        <v>272</v>
      </c>
      <c r="AR4">
        <v>10</v>
      </c>
      <c r="AS4">
        <v>137.30000000000001</v>
      </c>
    </row>
    <row r="5" spans="2:51" x14ac:dyDescent="0.2">
      <c r="B5" t="s">
        <v>976</v>
      </c>
      <c r="C5">
        <v>18711</v>
      </c>
      <c r="D5">
        <v>544.41863075200001</v>
      </c>
      <c r="F5" t="s">
        <v>46</v>
      </c>
      <c r="G5">
        <v>521</v>
      </c>
      <c r="H5">
        <v>406</v>
      </c>
      <c r="I5">
        <v>219.7832512315</v>
      </c>
      <c r="J5">
        <v>20</v>
      </c>
      <c r="K5">
        <v>440.85</v>
      </c>
      <c r="L5">
        <v>89</v>
      </c>
      <c r="M5">
        <v>148.35955056180001</v>
      </c>
      <c r="N5">
        <v>26</v>
      </c>
      <c r="O5">
        <v>224.69230769230001</v>
      </c>
      <c r="V5" t="s">
        <v>8</v>
      </c>
      <c r="W5">
        <v>5483</v>
      </c>
      <c r="X5">
        <v>4008</v>
      </c>
      <c r="Y5">
        <v>399.79815369260001</v>
      </c>
      <c r="Z5">
        <v>390</v>
      </c>
      <c r="AA5">
        <v>445.63589743590001</v>
      </c>
      <c r="AB5">
        <v>656</v>
      </c>
      <c r="AC5">
        <v>520.50914634150001</v>
      </c>
      <c r="AD5">
        <v>735</v>
      </c>
      <c r="AE5">
        <v>818.06394557819999</v>
      </c>
      <c r="AF5">
        <v>81</v>
      </c>
      <c r="AG5">
        <v>219.75308641980001</v>
      </c>
      <c r="AH5">
        <v>3</v>
      </c>
      <c r="AI5">
        <v>482</v>
      </c>
      <c r="AL5" t="s">
        <v>8</v>
      </c>
      <c r="AM5">
        <v>47</v>
      </c>
      <c r="AN5">
        <v>34</v>
      </c>
      <c r="AO5">
        <v>210.5</v>
      </c>
      <c r="AP5">
        <v>8</v>
      </c>
      <c r="AQ5">
        <v>307.25</v>
      </c>
      <c r="AR5">
        <v>11</v>
      </c>
      <c r="AS5">
        <v>138.36363636359999</v>
      </c>
      <c r="AT5">
        <v>1</v>
      </c>
      <c r="AU5">
        <v>92</v>
      </c>
      <c r="AV5">
        <v>1</v>
      </c>
      <c r="AW5">
        <v>17</v>
      </c>
    </row>
    <row r="6" spans="2:51" x14ac:dyDescent="0.2">
      <c r="B6" t="s">
        <v>249</v>
      </c>
      <c r="C6">
        <v>56253</v>
      </c>
      <c r="D6">
        <v>616.89504559759996</v>
      </c>
      <c r="F6" t="s">
        <v>40</v>
      </c>
      <c r="G6">
        <v>7504</v>
      </c>
      <c r="H6">
        <v>5524</v>
      </c>
      <c r="I6">
        <v>457.81064446049999</v>
      </c>
      <c r="J6">
        <v>228</v>
      </c>
      <c r="K6">
        <v>1012.4649122807</v>
      </c>
      <c r="L6">
        <v>1416</v>
      </c>
      <c r="M6">
        <v>562.03107344629996</v>
      </c>
      <c r="N6">
        <v>539</v>
      </c>
      <c r="O6">
        <v>662.413729128</v>
      </c>
      <c r="R6">
        <v>25</v>
      </c>
      <c r="S6">
        <v>517.96</v>
      </c>
      <c r="V6" t="s">
        <v>409</v>
      </c>
      <c r="W6">
        <v>1200</v>
      </c>
      <c r="X6">
        <v>616</v>
      </c>
      <c r="Y6">
        <v>159.8587662338</v>
      </c>
      <c r="Z6">
        <v>220</v>
      </c>
      <c r="AA6">
        <v>277.19090909089999</v>
      </c>
      <c r="AB6">
        <v>372</v>
      </c>
      <c r="AC6">
        <v>258.5833333333</v>
      </c>
      <c r="AD6">
        <v>115</v>
      </c>
      <c r="AE6">
        <v>248.17391304349999</v>
      </c>
      <c r="AF6">
        <v>95</v>
      </c>
      <c r="AG6">
        <v>195.58947368419999</v>
      </c>
      <c r="AH6">
        <v>2</v>
      </c>
      <c r="AI6">
        <v>161.5</v>
      </c>
      <c r="AL6" t="s">
        <v>409</v>
      </c>
      <c r="AM6">
        <v>27</v>
      </c>
      <c r="AN6">
        <v>17</v>
      </c>
      <c r="AO6">
        <v>85.294117647099995</v>
      </c>
      <c r="AP6">
        <v>12</v>
      </c>
      <c r="AQ6">
        <v>188.4166666667</v>
      </c>
      <c r="AR6">
        <v>8</v>
      </c>
      <c r="AS6">
        <v>111.75</v>
      </c>
      <c r="AT6">
        <v>2</v>
      </c>
      <c r="AU6">
        <v>101.5</v>
      </c>
    </row>
    <row r="7" spans="2:51" x14ac:dyDescent="0.2">
      <c r="B7" t="s">
        <v>248</v>
      </c>
      <c r="C7">
        <v>221766</v>
      </c>
      <c r="D7">
        <v>395.94107302290001</v>
      </c>
      <c r="F7" t="s">
        <v>45</v>
      </c>
      <c r="G7">
        <v>6043</v>
      </c>
      <c r="H7">
        <v>4255</v>
      </c>
      <c r="I7">
        <v>393.0002350176</v>
      </c>
      <c r="J7">
        <v>477</v>
      </c>
      <c r="K7">
        <v>479.50104821799999</v>
      </c>
      <c r="L7">
        <v>1211</v>
      </c>
      <c r="M7">
        <v>600.06193228740005</v>
      </c>
      <c r="N7">
        <v>572</v>
      </c>
      <c r="O7">
        <v>448.12237762239999</v>
      </c>
      <c r="R7">
        <v>5</v>
      </c>
      <c r="S7">
        <v>641.20000000000005</v>
      </c>
      <c r="V7" t="s">
        <v>401</v>
      </c>
      <c r="W7">
        <v>14003</v>
      </c>
      <c r="X7">
        <v>10165</v>
      </c>
      <c r="Y7">
        <v>627.82882439740001</v>
      </c>
      <c r="Z7">
        <v>207</v>
      </c>
      <c r="AA7">
        <v>905.16425120769998</v>
      </c>
      <c r="AB7">
        <v>2733</v>
      </c>
      <c r="AC7">
        <v>1308.1236736187</v>
      </c>
      <c r="AD7">
        <v>858</v>
      </c>
      <c r="AE7">
        <v>808.08974358969999</v>
      </c>
      <c r="AF7">
        <v>233</v>
      </c>
      <c r="AG7">
        <v>253.12875536480001</v>
      </c>
      <c r="AH7">
        <v>14</v>
      </c>
      <c r="AI7">
        <v>493.5</v>
      </c>
      <c r="AL7" t="s">
        <v>401</v>
      </c>
      <c r="AM7">
        <v>213</v>
      </c>
      <c r="AN7">
        <v>184</v>
      </c>
      <c r="AO7">
        <v>315.07608695649998</v>
      </c>
      <c r="AP7">
        <v>30</v>
      </c>
      <c r="AQ7">
        <v>681.56666666670003</v>
      </c>
      <c r="AR7">
        <v>27</v>
      </c>
      <c r="AS7">
        <v>108.55555555559999</v>
      </c>
      <c r="AT7">
        <v>1</v>
      </c>
      <c r="AU7">
        <v>142</v>
      </c>
      <c r="AV7">
        <v>1</v>
      </c>
      <c r="AW7">
        <v>79</v>
      </c>
    </row>
    <row r="8" spans="2:51" x14ac:dyDescent="0.2">
      <c r="B8" t="s">
        <v>250</v>
      </c>
      <c r="C8">
        <v>23762</v>
      </c>
      <c r="D8">
        <v>522.42711051260005</v>
      </c>
      <c r="F8" t="s">
        <v>53</v>
      </c>
      <c r="G8">
        <v>1401</v>
      </c>
      <c r="H8">
        <v>484</v>
      </c>
      <c r="I8">
        <v>94.657024793399998</v>
      </c>
      <c r="J8">
        <v>292</v>
      </c>
      <c r="K8">
        <v>191.8493150685</v>
      </c>
      <c r="L8">
        <v>672</v>
      </c>
      <c r="M8">
        <v>258.9270833333</v>
      </c>
      <c r="N8">
        <v>238</v>
      </c>
      <c r="O8">
        <v>227.06722689079999</v>
      </c>
      <c r="R8">
        <v>7</v>
      </c>
      <c r="S8">
        <v>170</v>
      </c>
      <c r="V8" t="s">
        <v>432</v>
      </c>
      <c r="W8">
        <v>1397</v>
      </c>
      <c r="X8">
        <v>942</v>
      </c>
      <c r="Y8">
        <v>238.64755838639999</v>
      </c>
      <c r="Z8">
        <v>194</v>
      </c>
      <c r="AA8">
        <v>419.75257731959999</v>
      </c>
      <c r="AB8">
        <v>150</v>
      </c>
      <c r="AC8">
        <v>253.54</v>
      </c>
      <c r="AD8">
        <v>192</v>
      </c>
      <c r="AE8">
        <v>367.9739583333</v>
      </c>
      <c r="AF8">
        <v>112</v>
      </c>
      <c r="AG8">
        <v>166.97321428570001</v>
      </c>
      <c r="AH8">
        <v>1</v>
      </c>
      <c r="AI8">
        <v>38</v>
      </c>
      <c r="AL8" t="s">
        <v>432</v>
      </c>
      <c r="AM8">
        <v>19</v>
      </c>
      <c r="AN8">
        <v>16</v>
      </c>
      <c r="AO8">
        <v>106.375</v>
      </c>
      <c r="AP8">
        <v>16</v>
      </c>
      <c r="AQ8">
        <v>268.3125</v>
      </c>
      <c r="AR8">
        <v>2</v>
      </c>
      <c r="AS8">
        <v>52</v>
      </c>
      <c r="AT8">
        <v>1</v>
      </c>
      <c r="AU8">
        <v>107</v>
      </c>
    </row>
    <row r="9" spans="2:51" x14ac:dyDescent="0.2">
      <c r="B9" t="s">
        <v>251</v>
      </c>
      <c r="C9">
        <v>12511</v>
      </c>
      <c r="D9">
        <v>185.9305411238</v>
      </c>
      <c r="F9" t="s">
        <v>84</v>
      </c>
      <c r="G9">
        <v>1293</v>
      </c>
      <c r="H9">
        <v>942</v>
      </c>
      <c r="I9">
        <v>234.24946921439999</v>
      </c>
      <c r="J9">
        <v>207</v>
      </c>
      <c r="K9">
        <v>407.3381642512</v>
      </c>
      <c r="L9">
        <v>148</v>
      </c>
      <c r="M9">
        <v>213.777027027</v>
      </c>
      <c r="N9">
        <v>201</v>
      </c>
      <c r="O9">
        <v>354.33830845770001</v>
      </c>
      <c r="R9">
        <v>2</v>
      </c>
      <c r="S9">
        <v>263</v>
      </c>
      <c r="V9" t="s">
        <v>402</v>
      </c>
      <c r="W9">
        <v>8032</v>
      </c>
      <c r="X9">
        <v>6045</v>
      </c>
      <c r="Y9">
        <v>489.15186104219998</v>
      </c>
      <c r="Z9">
        <v>143</v>
      </c>
      <c r="AA9">
        <v>766.34965034970003</v>
      </c>
      <c r="AB9">
        <v>1421</v>
      </c>
      <c r="AC9">
        <v>935.22941590430003</v>
      </c>
      <c r="AD9">
        <v>414</v>
      </c>
      <c r="AE9">
        <v>627.07971014489999</v>
      </c>
      <c r="AF9">
        <v>151</v>
      </c>
      <c r="AG9">
        <v>189.68874172189999</v>
      </c>
      <c r="AH9">
        <v>1</v>
      </c>
      <c r="AI9">
        <v>44</v>
      </c>
      <c r="AL9" t="s">
        <v>402</v>
      </c>
      <c r="AM9">
        <v>113</v>
      </c>
      <c r="AN9">
        <v>102</v>
      </c>
      <c r="AO9">
        <v>289.54901960780001</v>
      </c>
      <c r="AP9">
        <v>11</v>
      </c>
      <c r="AQ9">
        <v>436.36363636359999</v>
      </c>
      <c r="AR9">
        <v>10</v>
      </c>
      <c r="AS9">
        <v>276.7</v>
      </c>
      <c r="AT9">
        <v>1</v>
      </c>
      <c r="AU9">
        <v>86</v>
      </c>
    </row>
    <row r="10" spans="2:51" x14ac:dyDescent="0.2">
      <c r="B10" t="s">
        <v>960</v>
      </c>
      <c r="C10">
        <v>425</v>
      </c>
      <c r="D10">
        <v>438.3811764706</v>
      </c>
      <c r="F10" t="s">
        <v>79</v>
      </c>
      <c r="G10">
        <v>1724</v>
      </c>
      <c r="H10">
        <v>801</v>
      </c>
      <c r="I10">
        <v>124.95380774029999</v>
      </c>
      <c r="J10">
        <v>474</v>
      </c>
      <c r="K10">
        <v>198.94092827</v>
      </c>
      <c r="L10">
        <v>842</v>
      </c>
      <c r="M10">
        <v>305.43467933490001</v>
      </c>
      <c r="N10">
        <v>80</v>
      </c>
      <c r="O10">
        <v>128.69999999999999</v>
      </c>
      <c r="R10">
        <v>1</v>
      </c>
      <c r="S10">
        <v>46</v>
      </c>
      <c r="V10" t="s">
        <v>404</v>
      </c>
      <c r="W10">
        <v>7710</v>
      </c>
      <c r="X10">
        <v>5440</v>
      </c>
      <c r="Y10">
        <v>453.54283088239998</v>
      </c>
      <c r="Z10">
        <v>228</v>
      </c>
      <c r="AA10">
        <v>991.38596491229998</v>
      </c>
      <c r="AB10">
        <v>1412</v>
      </c>
      <c r="AC10">
        <v>566.78470254959996</v>
      </c>
      <c r="AD10">
        <v>535</v>
      </c>
      <c r="AE10">
        <v>655.94205607480001</v>
      </c>
      <c r="AF10">
        <v>298</v>
      </c>
      <c r="AG10">
        <v>215.98322147650001</v>
      </c>
      <c r="AH10">
        <v>25</v>
      </c>
      <c r="AI10">
        <v>517.96</v>
      </c>
      <c r="AL10" t="s">
        <v>404</v>
      </c>
      <c r="AM10">
        <v>290</v>
      </c>
      <c r="AN10">
        <v>225</v>
      </c>
      <c r="AO10">
        <v>313.80444444440002</v>
      </c>
      <c r="AP10">
        <v>26</v>
      </c>
      <c r="AQ10">
        <v>546.30769230769999</v>
      </c>
      <c r="AR10">
        <v>56</v>
      </c>
      <c r="AS10">
        <v>379.46428571429999</v>
      </c>
      <c r="AT10">
        <v>7</v>
      </c>
      <c r="AU10">
        <v>85</v>
      </c>
      <c r="AV10">
        <v>2</v>
      </c>
      <c r="AW10">
        <v>269</v>
      </c>
    </row>
    <row r="11" spans="2:51" x14ac:dyDescent="0.2">
      <c r="F11" t="s">
        <v>41</v>
      </c>
      <c r="G11">
        <v>13921</v>
      </c>
      <c r="H11">
        <v>10288</v>
      </c>
      <c r="I11">
        <v>633.08718895799996</v>
      </c>
      <c r="J11">
        <v>196</v>
      </c>
      <c r="K11">
        <v>967.2193877551</v>
      </c>
      <c r="L11">
        <v>2776</v>
      </c>
      <c r="M11">
        <v>1319.3569884726001</v>
      </c>
      <c r="N11">
        <v>841</v>
      </c>
      <c r="O11">
        <v>826.48632580260005</v>
      </c>
      <c r="R11">
        <v>16</v>
      </c>
      <c r="S11">
        <v>432.6875</v>
      </c>
      <c r="V11" t="s">
        <v>405</v>
      </c>
      <c r="W11">
        <v>6335</v>
      </c>
      <c r="X11">
        <v>4193</v>
      </c>
      <c r="Y11">
        <v>396.25471023130001</v>
      </c>
      <c r="Z11">
        <v>470</v>
      </c>
      <c r="AA11">
        <v>484.53617021280002</v>
      </c>
      <c r="AB11">
        <v>1220</v>
      </c>
      <c r="AC11">
        <v>609.04262295080002</v>
      </c>
      <c r="AD11">
        <v>564</v>
      </c>
      <c r="AE11">
        <v>461.31028368789998</v>
      </c>
      <c r="AF11">
        <v>353</v>
      </c>
      <c r="AG11">
        <v>172.492917847</v>
      </c>
      <c r="AH11">
        <v>5</v>
      </c>
      <c r="AI11">
        <v>641.20000000000005</v>
      </c>
      <c r="AL11" t="s">
        <v>405</v>
      </c>
      <c r="AM11">
        <v>206</v>
      </c>
      <c r="AN11">
        <v>184</v>
      </c>
      <c r="AO11">
        <v>290.17934782610001</v>
      </c>
      <c r="AP11">
        <v>27</v>
      </c>
      <c r="AQ11">
        <v>492.4814814815</v>
      </c>
      <c r="AR11">
        <v>17</v>
      </c>
      <c r="AS11">
        <v>350.3529411765</v>
      </c>
      <c r="AT11">
        <v>3</v>
      </c>
      <c r="AU11">
        <v>534</v>
      </c>
      <c r="AV11">
        <v>2</v>
      </c>
      <c r="AW11">
        <v>74.5</v>
      </c>
    </row>
    <row r="12" spans="2:51" x14ac:dyDescent="0.2">
      <c r="F12" t="s">
        <v>59</v>
      </c>
      <c r="G12">
        <v>3056</v>
      </c>
      <c r="H12">
        <v>2520</v>
      </c>
      <c r="I12">
        <v>282.88412698410002</v>
      </c>
      <c r="J12">
        <v>177</v>
      </c>
      <c r="K12">
        <v>543.68361581919999</v>
      </c>
      <c r="L12">
        <v>484</v>
      </c>
      <c r="M12">
        <v>314.56404958680002</v>
      </c>
      <c r="N12">
        <v>52</v>
      </c>
      <c r="O12">
        <v>122.0384615385</v>
      </c>
      <c r="V12" t="s">
        <v>407</v>
      </c>
      <c r="W12">
        <v>6785</v>
      </c>
      <c r="X12">
        <v>5463</v>
      </c>
      <c r="Y12">
        <v>287.45579351999999</v>
      </c>
      <c r="Z12">
        <v>399</v>
      </c>
      <c r="AA12">
        <v>546.2080200501</v>
      </c>
      <c r="AB12">
        <v>452</v>
      </c>
      <c r="AC12">
        <v>224.57964601769999</v>
      </c>
      <c r="AD12">
        <v>499</v>
      </c>
      <c r="AE12">
        <v>345.22645290579999</v>
      </c>
      <c r="AF12">
        <v>360</v>
      </c>
      <c r="AG12">
        <v>177.65</v>
      </c>
      <c r="AH12">
        <v>11</v>
      </c>
      <c r="AI12">
        <v>292.8181818182</v>
      </c>
      <c r="AL12" t="s">
        <v>407</v>
      </c>
      <c r="AM12">
        <v>164</v>
      </c>
      <c r="AN12">
        <v>139</v>
      </c>
      <c r="AO12">
        <v>296.68345323739999</v>
      </c>
      <c r="AP12">
        <v>24</v>
      </c>
      <c r="AQ12">
        <v>467.25</v>
      </c>
      <c r="AR12">
        <v>24</v>
      </c>
      <c r="AS12">
        <v>273.7916666667</v>
      </c>
      <c r="AT12">
        <v>1</v>
      </c>
      <c r="AU12">
        <v>129</v>
      </c>
    </row>
    <row r="13" spans="2:51" x14ac:dyDescent="0.2">
      <c r="F13" t="s">
        <v>78</v>
      </c>
      <c r="G13">
        <v>6310</v>
      </c>
      <c r="H13">
        <v>5386</v>
      </c>
      <c r="I13">
        <v>282.96472335689998</v>
      </c>
      <c r="J13">
        <v>376</v>
      </c>
      <c r="K13">
        <v>542.99468085110004</v>
      </c>
      <c r="L13">
        <v>428</v>
      </c>
      <c r="M13">
        <v>199.14252336449999</v>
      </c>
      <c r="N13">
        <v>488</v>
      </c>
      <c r="O13">
        <v>347.87909836070003</v>
      </c>
      <c r="R13">
        <v>8</v>
      </c>
      <c r="S13">
        <v>350.625</v>
      </c>
      <c r="V13" t="s">
        <v>410</v>
      </c>
      <c r="W13">
        <v>1580</v>
      </c>
      <c r="X13">
        <v>508</v>
      </c>
      <c r="Y13">
        <v>113.34645669290001</v>
      </c>
      <c r="Z13">
        <v>287</v>
      </c>
      <c r="AA13">
        <v>191.99651567940001</v>
      </c>
      <c r="AB13">
        <v>662</v>
      </c>
      <c r="AC13">
        <v>263.1918429003</v>
      </c>
      <c r="AD13">
        <v>234</v>
      </c>
      <c r="AE13">
        <v>229.63247863250001</v>
      </c>
      <c r="AF13">
        <v>170</v>
      </c>
      <c r="AG13">
        <v>198.10588235290001</v>
      </c>
      <c r="AH13">
        <v>6</v>
      </c>
      <c r="AI13">
        <v>232.8333333333</v>
      </c>
      <c r="AL13" t="s">
        <v>410</v>
      </c>
      <c r="AM13">
        <v>25</v>
      </c>
      <c r="AN13">
        <v>17</v>
      </c>
      <c r="AO13">
        <v>152.0588235294</v>
      </c>
      <c r="AP13">
        <v>9</v>
      </c>
      <c r="AQ13">
        <v>210.1111111111</v>
      </c>
      <c r="AR13">
        <v>4</v>
      </c>
      <c r="AS13">
        <v>123</v>
      </c>
      <c r="AT13">
        <v>3</v>
      </c>
      <c r="AU13">
        <v>214.6666666667</v>
      </c>
      <c r="AV13">
        <v>1</v>
      </c>
      <c r="AW13">
        <v>4</v>
      </c>
    </row>
    <row r="14" spans="2:51" x14ac:dyDescent="0.2">
      <c r="F14" t="s">
        <v>44</v>
      </c>
      <c r="G14">
        <v>1088</v>
      </c>
      <c r="H14">
        <v>597</v>
      </c>
      <c r="I14">
        <v>141.1541038526</v>
      </c>
      <c r="J14">
        <v>226</v>
      </c>
      <c r="K14">
        <v>278.64601769910001</v>
      </c>
      <c r="L14">
        <v>371</v>
      </c>
      <c r="M14">
        <v>256.50134770890003</v>
      </c>
      <c r="N14">
        <v>117</v>
      </c>
      <c r="O14">
        <v>255.4700854701</v>
      </c>
      <c r="R14">
        <v>3</v>
      </c>
      <c r="S14">
        <v>162.6666666667</v>
      </c>
      <c r="V14" t="s">
        <v>411</v>
      </c>
      <c r="W14">
        <v>2172</v>
      </c>
      <c r="X14">
        <v>979</v>
      </c>
      <c r="Y14">
        <v>158.33707865170001</v>
      </c>
      <c r="Z14">
        <v>483</v>
      </c>
      <c r="AA14">
        <v>211.4430641822</v>
      </c>
      <c r="AB14">
        <v>884</v>
      </c>
      <c r="AC14">
        <v>317.72850678729998</v>
      </c>
      <c r="AD14">
        <v>94</v>
      </c>
      <c r="AE14">
        <v>181.21276595739999</v>
      </c>
      <c r="AF14">
        <v>215</v>
      </c>
      <c r="AG14">
        <v>172.6837209302</v>
      </c>
      <c r="AL14" t="s">
        <v>411</v>
      </c>
      <c r="AM14">
        <v>31</v>
      </c>
      <c r="AN14">
        <v>21</v>
      </c>
      <c r="AO14">
        <v>74.952380952400006</v>
      </c>
      <c r="AP14">
        <v>19</v>
      </c>
      <c r="AQ14">
        <v>196.84210526320001</v>
      </c>
      <c r="AR14">
        <v>6</v>
      </c>
      <c r="AS14">
        <v>38.833333333299997</v>
      </c>
      <c r="AT14">
        <v>4</v>
      </c>
      <c r="AU14">
        <v>167</v>
      </c>
    </row>
    <row r="15" spans="2:51" x14ac:dyDescent="0.2">
      <c r="F15" t="s">
        <v>77</v>
      </c>
      <c r="G15">
        <v>229</v>
      </c>
      <c r="H15">
        <v>101</v>
      </c>
      <c r="I15">
        <v>89.990099009900007</v>
      </c>
      <c r="J15">
        <v>103</v>
      </c>
      <c r="K15">
        <v>172.99029126209999</v>
      </c>
      <c r="L15">
        <v>76</v>
      </c>
      <c r="M15">
        <v>216.1447368421</v>
      </c>
      <c r="N15">
        <v>51</v>
      </c>
      <c r="O15">
        <v>237.0392156863</v>
      </c>
      <c r="R15">
        <v>1</v>
      </c>
      <c r="S15">
        <v>346</v>
      </c>
      <c r="V15" t="s">
        <v>406</v>
      </c>
      <c r="W15">
        <v>3224</v>
      </c>
      <c r="X15">
        <v>2540</v>
      </c>
      <c r="Y15">
        <v>291.52244094489998</v>
      </c>
      <c r="Z15">
        <v>189</v>
      </c>
      <c r="AA15">
        <v>530.48148148150005</v>
      </c>
      <c r="AB15">
        <v>478</v>
      </c>
      <c r="AC15">
        <v>318.89748953970002</v>
      </c>
      <c r="AD15">
        <v>68</v>
      </c>
      <c r="AE15">
        <v>193.45588235290001</v>
      </c>
      <c r="AF15">
        <v>137</v>
      </c>
      <c r="AG15">
        <v>126.36496350359999</v>
      </c>
      <c r="AH15">
        <v>1</v>
      </c>
      <c r="AI15">
        <v>46</v>
      </c>
      <c r="AL15" t="s">
        <v>406</v>
      </c>
      <c r="AM15">
        <v>80</v>
      </c>
      <c r="AN15">
        <v>60</v>
      </c>
      <c r="AO15">
        <v>219.9166666667</v>
      </c>
      <c r="AP15">
        <v>6</v>
      </c>
      <c r="AQ15">
        <v>311</v>
      </c>
      <c r="AR15">
        <v>16</v>
      </c>
      <c r="AS15">
        <v>193.875</v>
      </c>
      <c r="AT15">
        <v>4</v>
      </c>
      <c r="AU15">
        <v>126.25</v>
      </c>
    </row>
    <row r="16" spans="2:51" x14ac:dyDescent="0.2">
      <c r="F16" t="s">
        <v>51</v>
      </c>
      <c r="G16">
        <v>8129</v>
      </c>
      <c r="H16">
        <v>6283</v>
      </c>
      <c r="I16">
        <v>489.65748846090003</v>
      </c>
      <c r="J16">
        <v>139</v>
      </c>
      <c r="K16">
        <v>772.17266187049995</v>
      </c>
      <c r="L16">
        <v>1446</v>
      </c>
      <c r="M16">
        <v>937.84716459200001</v>
      </c>
      <c r="N16">
        <v>399</v>
      </c>
      <c r="O16">
        <v>641.40100250629996</v>
      </c>
      <c r="R16">
        <v>1</v>
      </c>
      <c r="S16">
        <v>44</v>
      </c>
      <c r="V16" t="s">
        <v>429</v>
      </c>
      <c r="W16">
        <v>405</v>
      </c>
      <c r="X16">
        <v>295</v>
      </c>
      <c r="Y16">
        <v>234.82372881360001</v>
      </c>
      <c r="Z16">
        <v>16</v>
      </c>
      <c r="AA16">
        <v>411.6875</v>
      </c>
      <c r="AB16">
        <v>68</v>
      </c>
      <c r="AC16">
        <v>205.3088235294</v>
      </c>
      <c r="AD16">
        <v>15</v>
      </c>
      <c r="AE16">
        <v>212.8</v>
      </c>
      <c r="AF16">
        <v>27</v>
      </c>
      <c r="AG16">
        <v>144.037037037</v>
      </c>
      <c r="AL16" t="s">
        <v>429</v>
      </c>
      <c r="AM16">
        <v>5</v>
      </c>
      <c r="AN16">
        <v>4</v>
      </c>
      <c r="AO16">
        <v>40.25</v>
      </c>
      <c r="AP16">
        <v>3</v>
      </c>
      <c r="AQ16">
        <v>329.6666666667</v>
      </c>
      <c r="AR16">
        <v>1</v>
      </c>
      <c r="AS16">
        <v>32</v>
      </c>
    </row>
    <row r="17" spans="6:49" x14ac:dyDescent="0.2">
      <c r="F17" t="s">
        <v>400</v>
      </c>
      <c r="G17">
        <v>51219</v>
      </c>
      <c r="H17">
        <v>37587</v>
      </c>
      <c r="I17">
        <v>441.02886636340003</v>
      </c>
      <c r="J17">
        <v>2915</v>
      </c>
      <c r="K17">
        <v>473.7958833619</v>
      </c>
      <c r="L17">
        <v>9959</v>
      </c>
      <c r="M17">
        <v>739.65880108440001</v>
      </c>
      <c r="N17">
        <v>3604</v>
      </c>
      <c r="O17">
        <v>533.81048834629996</v>
      </c>
      <c r="R17">
        <v>69</v>
      </c>
      <c r="S17">
        <v>413.37681159419998</v>
      </c>
      <c r="V17" t="s">
        <v>430</v>
      </c>
      <c r="W17">
        <v>198</v>
      </c>
      <c r="X17">
        <v>46</v>
      </c>
      <c r="Y17">
        <v>298.41304347829998</v>
      </c>
      <c r="Z17">
        <v>22</v>
      </c>
      <c r="AA17">
        <v>279.54545454549998</v>
      </c>
      <c r="AB17">
        <v>47</v>
      </c>
      <c r="AC17">
        <v>366.04255319150002</v>
      </c>
      <c r="AD17">
        <v>49</v>
      </c>
      <c r="AE17">
        <v>236.5918367347</v>
      </c>
      <c r="AF17">
        <v>55</v>
      </c>
      <c r="AG17">
        <v>189.4</v>
      </c>
      <c r="AH17">
        <v>1</v>
      </c>
      <c r="AI17">
        <v>346</v>
      </c>
      <c r="AL17" t="s">
        <v>430</v>
      </c>
      <c r="AM17">
        <v>7</v>
      </c>
      <c r="AN17">
        <v>5</v>
      </c>
      <c r="AO17">
        <v>144.19999999999999</v>
      </c>
      <c r="AP17">
        <v>6</v>
      </c>
      <c r="AQ17">
        <v>201.5</v>
      </c>
      <c r="AR17">
        <v>2</v>
      </c>
      <c r="AS17">
        <v>101</v>
      </c>
    </row>
    <row r="18" spans="6:49" x14ac:dyDescent="0.2">
      <c r="F18" t="s">
        <v>71</v>
      </c>
      <c r="G18">
        <v>2803</v>
      </c>
      <c r="H18">
        <v>2250</v>
      </c>
      <c r="I18">
        <v>259.5782222222</v>
      </c>
      <c r="J18">
        <v>140</v>
      </c>
      <c r="K18">
        <v>665.35</v>
      </c>
      <c r="L18">
        <v>327</v>
      </c>
      <c r="M18">
        <v>272.24464831799997</v>
      </c>
      <c r="N18">
        <v>223</v>
      </c>
      <c r="O18">
        <v>494.87443946190001</v>
      </c>
      <c r="R18">
        <v>3</v>
      </c>
      <c r="S18">
        <v>866.66666666670005</v>
      </c>
      <c r="V18" t="s">
        <v>400</v>
      </c>
      <c r="W18">
        <v>53041</v>
      </c>
      <c r="X18">
        <v>37232</v>
      </c>
      <c r="Y18">
        <v>440.40827782550002</v>
      </c>
      <c r="Z18">
        <v>2858</v>
      </c>
      <c r="AA18">
        <v>483.311406578</v>
      </c>
      <c r="AB18">
        <v>9899</v>
      </c>
      <c r="AC18">
        <v>739.65370239419997</v>
      </c>
      <c r="AD18">
        <v>3637</v>
      </c>
      <c r="AE18">
        <v>531.81935661260002</v>
      </c>
      <c r="AF18">
        <v>2206</v>
      </c>
      <c r="AG18">
        <v>188.81867633729999</v>
      </c>
      <c r="AH18">
        <v>67</v>
      </c>
      <c r="AI18">
        <v>425.05970149249998</v>
      </c>
      <c r="AL18" t="s">
        <v>400</v>
      </c>
      <c r="AM18">
        <v>1180</v>
      </c>
      <c r="AN18">
        <v>974</v>
      </c>
      <c r="AO18">
        <v>281.45174537989999</v>
      </c>
      <c r="AP18">
        <v>189</v>
      </c>
      <c r="AQ18">
        <v>424.39682539680001</v>
      </c>
      <c r="AR18">
        <v>173</v>
      </c>
      <c r="AS18">
        <v>257.4219653179</v>
      </c>
      <c r="AT18">
        <v>27</v>
      </c>
      <c r="AU18">
        <v>173.3703703704</v>
      </c>
      <c r="AV18">
        <v>6</v>
      </c>
      <c r="AW18">
        <v>128.3333333333</v>
      </c>
    </row>
    <row r="19" spans="6:49" x14ac:dyDescent="0.2">
      <c r="F19" t="s">
        <v>37</v>
      </c>
      <c r="G19">
        <v>921</v>
      </c>
      <c r="H19">
        <v>563</v>
      </c>
      <c r="I19">
        <v>247.90941385439999</v>
      </c>
      <c r="J19">
        <v>74</v>
      </c>
      <c r="K19">
        <v>462.66216216219999</v>
      </c>
      <c r="L19">
        <v>181</v>
      </c>
      <c r="M19">
        <v>219.9337016575</v>
      </c>
      <c r="N19">
        <v>173</v>
      </c>
      <c r="O19">
        <v>540.66473988439998</v>
      </c>
      <c r="R19">
        <v>4</v>
      </c>
      <c r="S19">
        <v>338</v>
      </c>
      <c r="V19" t="s">
        <v>418</v>
      </c>
      <c r="W19">
        <v>998</v>
      </c>
      <c r="X19">
        <v>587</v>
      </c>
      <c r="Y19">
        <v>265.13798977850001</v>
      </c>
      <c r="Z19">
        <v>79</v>
      </c>
      <c r="AA19">
        <v>470.53164556960002</v>
      </c>
      <c r="AB19">
        <v>182</v>
      </c>
      <c r="AC19">
        <v>229.30769230769999</v>
      </c>
      <c r="AD19">
        <v>162</v>
      </c>
      <c r="AE19">
        <v>538.91975308639996</v>
      </c>
      <c r="AF19">
        <v>64</v>
      </c>
      <c r="AG19">
        <v>197.3125</v>
      </c>
      <c r="AH19">
        <v>3</v>
      </c>
      <c r="AI19">
        <v>405.6666666667</v>
      </c>
      <c r="AL19" t="s">
        <v>418</v>
      </c>
      <c r="AM19">
        <v>7</v>
      </c>
      <c r="AN19">
        <v>5</v>
      </c>
      <c r="AO19">
        <v>144</v>
      </c>
      <c r="AP19">
        <v>10</v>
      </c>
      <c r="AQ19">
        <v>204.1</v>
      </c>
      <c r="AR19">
        <v>2</v>
      </c>
      <c r="AS19">
        <v>69.5</v>
      </c>
    </row>
    <row r="20" spans="6:49" x14ac:dyDescent="0.2">
      <c r="F20" t="s">
        <v>58</v>
      </c>
      <c r="G20">
        <v>1063</v>
      </c>
      <c r="H20">
        <v>450</v>
      </c>
      <c r="I20">
        <v>174.4977777778</v>
      </c>
      <c r="J20">
        <v>137</v>
      </c>
      <c r="K20">
        <v>316.3138686131</v>
      </c>
      <c r="L20">
        <v>259</v>
      </c>
      <c r="M20">
        <v>320.80308880310002</v>
      </c>
      <c r="N20">
        <v>351</v>
      </c>
      <c r="O20">
        <v>551.40170940170003</v>
      </c>
      <c r="R20">
        <v>3</v>
      </c>
      <c r="S20">
        <v>477</v>
      </c>
      <c r="V20" t="s">
        <v>434</v>
      </c>
      <c r="W20">
        <v>300</v>
      </c>
      <c r="X20">
        <v>165</v>
      </c>
      <c r="Y20">
        <v>202.70909090910001</v>
      </c>
      <c r="Z20">
        <v>125</v>
      </c>
      <c r="AA20">
        <v>226.72800000000001</v>
      </c>
      <c r="AB20">
        <v>47</v>
      </c>
      <c r="AC20">
        <v>272.97872340430001</v>
      </c>
      <c r="AD20">
        <v>50</v>
      </c>
      <c r="AE20">
        <v>565.36</v>
      </c>
      <c r="AF20">
        <v>36</v>
      </c>
      <c r="AG20">
        <v>115.69444444440001</v>
      </c>
      <c r="AH20">
        <v>2</v>
      </c>
      <c r="AI20">
        <v>404</v>
      </c>
      <c r="AL20" t="s">
        <v>434</v>
      </c>
      <c r="AM20">
        <v>5</v>
      </c>
      <c r="AN20">
        <v>5</v>
      </c>
      <c r="AO20">
        <v>168.8</v>
      </c>
      <c r="AP20">
        <v>1</v>
      </c>
      <c r="AQ20">
        <v>330</v>
      </c>
    </row>
    <row r="21" spans="6:49" x14ac:dyDescent="0.2">
      <c r="F21" t="s">
        <v>65</v>
      </c>
      <c r="G21">
        <v>8773</v>
      </c>
      <c r="H21">
        <v>6990</v>
      </c>
      <c r="I21">
        <v>387.930472103</v>
      </c>
      <c r="J21">
        <v>446</v>
      </c>
      <c r="K21">
        <v>719.49103139010003</v>
      </c>
      <c r="L21">
        <v>1380</v>
      </c>
      <c r="M21">
        <v>709.98985507249995</v>
      </c>
      <c r="N21">
        <v>393</v>
      </c>
      <c r="O21">
        <v>639.58269720099997</v>
      </c>
      <c r="R21">
        <v>10</v>
      </c>
      <c r="S21">
        <v>644.29999999999995</v>
      </c>
      <c r="V21" t="s">
        <v>438</v>
      </c>
      <c r="W21">
        <v>1036</v>
      </c>
      <c r="X21">
        <v>786</v>
      </c>
      <c r="Y21">
        <v>296.29007633589998</v>
      </c>
      <c r="Z21">
        <v>60</v>
      </c>
      <c r="AA21">
        <v>496.65</v>
      </c>
      <c r="AB21">
        <v>142</v>
      </c>
      <c r="AC21">
        <v>355.25352112680002</v>
      </c>
      <c r="AD21">
        <v>52</v>
      </c>
      <c r="AE21">
        <v>508.67307692309998</v>
      </c>
      <c r="AF21">
        <v>54</v>
      </c>
      <c r="AG21">
        <v>152.64814814810001</v>
      </c>
      <c r="AH21">
        <v>2</v>
      </c>
      <c r="AI21">
        <v>195</v>
      </c>
      <c r="AL21" t="s">
        <v>438</v>
      </c>
      <c r="AM21">
        <v>13</v>
      </c>
      <c r="AN21">
        <v>10</v>
      </c>
      <c r="AO21">
        <v>106.1</v>
      </c>
      <c r="AP21">
        <v>3</v>
      </c>
      <c r="AQ21">
        <v>211.6666666667</v>
      </c>
      <c r="AR21">
        <v>2</v>
      </c>
      <c r="AS21">
        <v>286.5</v>
      </c>
      <c r="AT21">
        <v>1</v>
      </c>
      <c r="AU21">
        <v>123</v>
      </c>
    </row>
    <row r="22" spans="6:49" x14ac:dyDescent="0.2">
      <c r="F22" t="s">
        <v>67</v>
      </c>
      <c r="G22">
        <v>7034</v>
      </c>
      <c r="H22">
        <v>5016</v>
      </c>
      <c r="I22">
        <v>342.69218500800002</v>
      </c>
      <c r="J22">
        <v>332</v>
      </c>
      <c r="K22">
        <v>695.68373493980005</v>
      </c>
      <c r="L22">
        <v>1677</v>
      </c>
      <c r="M22">
        <v>718.9910554562</v>
      </c>
      <c r="N22">
        <v>322</v>
      </c>
      <c r="O22">
        <v>619.77329192549996</v>
      </c>
      <c r="R22">
        <v>19</v>
      </c>
      <c r="S22">
        <v>535.89473684209997</v>
      </c>
      <c r="V22" t="s">
        <v>423</v>
      </c>
      <c r="W22">
        <v>2901</v>
      </c>
      <c r="X22">
        <v>2211</v>
      </c>
      <c r="Y22">
        <v>263.28855721389999</v>
      </c>
      <c r="Z22">
        <v>132</v>
      </c>
      <c r="AA22">
        <v>637.46969696969995</v>
      </c>
      <c r="AB22">
        <v>338</v>
      </c>
      <c r="AC22">
        <v>306.80769230769999</v>
      </c>
      <c r="AD22">
        <v>225</v>
      </c>
      <c r="AE22">
        <v>477.75555555559998</v>
      </c>
      <c r="AF22">
        <v>124</v>
      </c>
      <c r="AG22">
        <v>223.5</v>
      </c>
      <c r="AH22">
        <v>3</v>
      </c>
      <c r="AI22">
        <v>866.66666666670005</v>
      </c>
      <c r="AL22" t="s">
        <v>423</v>
      </c>
      <c r="AM22">
        <v>38</v>
      </c>
      <c r="AN22">
        <v>24</v>
      </c>
      <c r="AO22">
        <v>132.2916666667</v>
      </c>
      <c r="AP22">
        <v>23</v>
      </c>
      <c r="AQ22">
        <v>249.08695652169999</v>
      </c>
      <c r="AR22">
        <v>8</v>
      </c>
      <c r="AS22">
        <v>246.875</v>
      </c>
      <c r="AT22">
        <v>5</v>
      </c>
      <c r="AU22">
        <v>161.19999999999999</v>
      </c>
      <c r="AV22">
        <v>1</v>
      </c>
      <c r="AW22">
        <v>45</v>
      </c>
    </row>
    <row r="23" spans="6:49" x14ac:dyDescent="0.2">
      <c r="F23" t="s">
        <v>76</v>
      </c>
      <c r="G23">
        <v>4702</v>
      </c>
      <c r="H23">
        <v>3680</v>
      </c>
      <c r="I23">
        <v>264.42228260870002</v>
      </c>
      <c r="J23">
        <v>312</v>
      </c>
      <c r="K23">
        <v>518.73076923079998</v>
      </c>
      <c r="L23">
        <v>779</v>
      </c>
      <c r="M23">
        <v>416.3838254172</v>
      </c>
      <c r="N23">
        <v>238</v>
      </c>
      <c r="O23">
        <v>514.89075630249999</v>
      </c>
      <c r="R23">
        <v>5</v>
      </c>
      <c r="S23">
        <v>416.2</v>
      </c>
      <c r="V23" t="s">
        <v>419</v>
      </c>
      <c r="W23">
        <v>5504</v>
      </c>
      <c r="X23">
        <v>3609</v>
      </c>
      <c r="Y23">
        <v>364.59878082569998</v>
      </c>
      <c r="Z23">
        <v>223</v>
      </c>
      <c r="AA23">
        <v>607.64573991029999</v>
      </c>
      <c r="AB23">
        <v>1529</v>
      </c>
      <c r="AC23">
        <v>530.82668410730003</v>
      </c>
      <c r="AD23">
        <v>214</v>
      </c>
      <c r="AE23">
        <v>471.14953271029998</v>
      </c>
      <c r="AF23">
        <v>147</v>
      </c>
      <c r="AG23">
        <v>173.43537414970001</v>
      </c>
      <c r="AH23">
        <v>5</v>
      </c>
      <c r="AI23">
        <v>308.2</v>
      </c>
      <c r="AL23" t="s">
        <v>419</v>
      </c>
      <c r="AM23">
        <v>39</v>
      </c>
      <c r="AN23">
        <v>25</v>
      </c>
      <c r="AO23">
        <v>95.72</v>
      </c>
      <c r="AP23">
        <v>27</v>
      </c>
      <c r="AQ23">
        <v>230.6666666667</v>
      </c>
      <c r="AR23">
        <v>12</v>
      </c>
      <c r="AS23">
        <v>188.25</v>
      </c>
      <c r="AT23">
        <v>1</v>
      </c>
      <c r="AU23">
        <v>3</v>
      </c>
      <c r="AV23">
        <v>1</v>
      </c>
      <c r="AW23">
        <v>11</v>
      </c>
    </row>
    <row r="24" spans="6:49" x14ac:dyDescent="0.2">
      <c r="F24" t="s">
        <v>48</v>
      </c>
      <c r="G24">
        <v>1248</v>
      </c>
      <c r="H24">
        <v>975</v>
      </c>
      <c r="I24">
        <v>295.16615384620002</v>
      </c>
      <c r="J24">
        <v>74</v>
      </c>
      <c r="K24">
        <v>509.45945945950001</v>
      </c>
      <c r="L24">
        <v>204</v>
      </c>
      <c r="M24">
        <v>417.2794117647</v>
      </c>
      <c r="N24">
        <v>66</v>
      </c>
      <c r="O24">
        <v>514.25757575759997</v>
      </c>
      <c r="R24">
        <v>3</v>
      </c>
      <c r="S24">
        <v>148</v>
      </c>
      <c r="V24" t="s">
        <v>436</v>
      </c>
      <c r="W24">
        <v>7112</v>
      </c>
      <c r="X24">
        <v>4993</v>
      </c>
      <c r="Y24">
        <v>344.37031844580002</v>
      </c>
      <c r="Z24">
        <v>331</v>
      </c>
      <c r="AA24">
        <v>684.67673716009995</v>
      </c>
      <c r="AB24">
        <v>1617</v>
      </c>
      <c r="AC24">
        <v>696.53741496600003</v>
      </c>
      <c r="AD24">
        <v>328</v>
      </c>
      <c r="AE24">
        <v>601.53048780489996</v>
      </c>
      <c r="AF24">
        <v>154</v>
      </c>
      <c r="AG24">
        <v>229.11038961040001</v>
      </c>
      <c r="AH24">
        <v>20</v>
      </c>
      <c r="AI24">
        <v>540.35</v>
      </c>
      <c r="AL24" t="s">
        <v>436</v>
      </c>
      <c r="AM24">
        <v>53</v>
      </c>
      <c r="AN24">
        <v>41</v>
      </c>
      <c r="AO24">
        <v>128</v>
      </c>
      <c r="AP24">
        <v>38</v>
      </c>
      <c r="AQ24">
        <v>204.36842105260001</v>
      </c>
      <c r="AR24">
        <v>9</v>
      </c>
      <c r="AS24">
        <v>244.8888888889</v>
      </c>
      <c r="AT24">
        <v>2</v>
      </c>
      <c r="AU24">
        <v>84</v>
      </c>
      <c r="AV24">
        <v>1</v>
      </c>
      <c r="AW24">
        <v>40</v>
      </c>
    </row>
    <row r="25" spans="6:49" x14ac:dyDescent="0.2">
      <c r="F25" t="s">
        <v>69</v>
      </c>
      <c r="G25">
        <v>5435</v>
      </c>
      <c r="H25">
        <v>3649</v>
      </c>
      <c r="I25">
        <v>367.90326116739999</v>
      </c>
      <c r="J25">
        <v>227</v>
      </c>
      <c r="K25">
        <v>615.98678414100004</v>
      </c>
      <c r="L25">
        <v>1571</v>
      </c>
      <c r="M25">
        <v>539.04137492040002</v>
      </c>
      <c r="N25">
        <v>209</v>
      </c>
      <c r="O25">
        <v>475.8038277512</v>
      </c>
      <c r="R25">
        <v>6</v>
      </c>
      <c r="S25">
        <v>317.1666666667</v>
      </c>
      <c r="V25" t="s">
        <v>417</v>
      </c>
      <c r="W25">
        <v>18143</v>
      </c>
      <c r="X25">
        <v>13859</v>
      </c>
      <c r="Y25">
        <v>332.41676888659998</v>
      </c>
      <c r="Z25">
        <v>1519</v>
      </c>
      <c r="AA25">
        <v>504.71231073069998</v>
      </c>
      <c r="AB25">
        <v>2717</v>
      </c>
      <c r="AC25">
        <v>486.4552815605</v>
      </c>
      <c r="AD25">
        <v>855</v>
      </c>
      <c r="AE25">
        <v>479.47719298250001</v>
      </c>
      <c r="AF25">
        <v>683</v>
      </c>
      <c r="AG25">
        <v>177.95754026349999</v>
      </c>
      <c r="AH25">
        <v>29</v>
      </c>
      <c r="AI25">
        <v>388.4827586207</v>
      </c>
      <c r="AL25" t="s">
        <v>417</v>
      </c>
      <c r="AM25">
        <v>259</v>
      </c>
      <c r="AN25">
        <v>184</v>
      </c>
      <c r="AO25">
        <v>151.92391304349999</v>
      </c>
      <c r="AP25">
        <v>170</v>
      </c>
      <c r="AQ25">
        <v>248.06470588240001</v>
      </c>
      <c r="AR25">
        <v>54</v>
      </c>
      <c r="AS25">
        <v>174.037037037</v>
      </c>
      <c r="AT25">
        <v>15</v>
      </c>
      <c r="AU25">
        <v>193.3333333333</v>
      </c>
      <c r="AV25">
        <v>6</v>
      </c>
      <c r="AW25">
        <v>44</v>
      </c>
    </row>
    <row r="26" spans="6:49" x14ac:dyDescent="0.2">
      <c r="F26" t="s">
        <v>35</v>
      </c>
      <c r="G26">
        <v>228</v>
      </c>
      <c r="H26">
        <v>128</v>
      </c>
      <c r="I26">
        <v>131.390625</v>
      </c>
      <c r="J26">
        <v>125</v>
      </c>
      <c r="K26">
        <v>225.52</v>
      </c>
      <c r="L26">
        <v>42</v>
      </c>
      <c r="M26">
        <v>177.45238095240001</v>
      </c>
      <c r="N26">
        <v>56</v>
      </c>
      <c r="O26">
        <v>538.23214285710003</v>
      </c>
      <c r="R26">
        <v>2</v>
      </c>
      <c r="S26">
        <v>404</v>
      </c>
      <c r="V26" t="s">
        <v>415</v>
      </c>
      <c r="W26">
        <v>1978</v>
      </c>
      <c r="X26">
        <v>1471</v>
      </c>
      <c r="Y26">
        <v>310.88987083619998</v>
      </c>
      <c r="Z26">
        <v>164</v>
      </c>
      <c r="AA26">
        <v>474.73780487800002</v>
      </c>
      <c r="AB26">
        <v>300</v>
      </c>
      <c r="AC26">
        <v>252.5533333333</v>
      </c>
      <c r="AD26">
        <v>113</v>
      </c>
      <c r="AE26">
        <v>397.80530973449999</v>
      </c>
      <c r="AF26">
        <v>93</v>
      </c>
      <c r="AG26">
        <v>144.67741935480001</v>
      </c>
      <c r="AH26">
        <v>1</v>
      </c>
      <c r="AI26">
        <v>555</v>
      </c>
      <c r="AL26" t="s">
        <v>415</v>
      </c>
      <c r="AM26">
        <v>22</v>
      </c>
      <c r="AN26">
        <v>15</v>
      </c>
      <c r="AO26">
        <v>185.8</v>
      </c>
      <c r="AP26">
        <v>19</v>
      </c>
      <c r="AQ26">
        <v>200.47368421050001</v>
      </c>
      <c r="AR26">
        <v>7</v>
      </c>
      <c r="AS26">
        <v>159.57142857139999</v>
      </c>
    </row>
    <row r="27" spans="6:49" x14ac:dyDescent="0.2">
      <c r="F27" t="s">
        <v>74</v>
      </c>
      <c r="G27">
        <v>4180</v>
      </c>
      <c r="H27">
        <v>3409</v>
      </c>
      <c r="I27">
        <v>197.43795834560001</v>
      </c>
      <c r="J27">
        <v>594</v>
      </c>
      <c r="K27">
        <v>334.48821548820001</v>
      </c>
      <c r="L27">
        <v>580</v>
      </c>
      <c r="M27">
        <v>145.8137931034</v>
      </c>
      <c r="N27">
        <v>178</v>
      </c>
      <c r="O27">
        <v>185.79213483149999</v>
      </c>
      <c r="R27">
        <v>13</v>
      </c>
      <c r="S27">
        <v>228.1538461538</v>
      </c>
      <c r="V27" t="s">
        <v>83</v>
      </c>
      <c r="W27">
        <v>4931</v>
      </c>
      <c r="X27">
        <v>3700</v>
      </c>
      <c r="Y27">
        <v>271.57189189190001</v>
      </c>
      <c r="Z27">
        <v>306</v>
      </c>
      <c r="AA27">
        <v>503.8333333333</v>
      </c>
      <c r="AB27">
        <v>804</v>
      </c>
      <c r="AC27">
        <v>448.90671641789999</v>
      </c>
      <c r="AD27">
        <v>244</v>
      </c>
      <c r="AE27">
        <v>503.34016393439998</v>
      </c>
      <c r="AF27">
        <v>179</v>
      </c>
      <c r="AG27">
        <v>160.3240223464</v>
      </c>
      <c r="AH27">
        <v>4</v>
      </c>
      <c r="AI27">
        <v>364</v>
      </c>
      <c r="AL27" t="s">
        <v>83</v>
      </c>
      <c r="AM27">
        <v>72</v>
      </c>
      <c r="AN27">
        <v>50</v>
      </c>
      <c r="AO27">
        <v>107.04</v>
      </c>
      <c r="AP27">
        <v>25</v>
      </c>
      <c r="AQ27">
        <v>183.56</v>
      </c>
      <c r="AR27">
        <v>19</v>
      </c>
      <c r="AS27">
        <v>130.63157894739999</v>
      </c>
      <c r="AT27">
        <v>1</v>
      </c>
      <c r="AU27">
        <v>172</v>
      </c>
      <c r="AV27">
        <v>2</v>
      </c>
      <c r="AW27">
        <v>178</v>
      </c>
    </row>
    <row r="28" spans="6:49" x14ac:dyDescent="0.2">
      <c r="F28" t="s">
        <v>34</v>
      </c>
      <c r="G28">
        <v>1831</v>
      </c>
      <c r="H28">
        <v>1414</v>
      </c>
      <c r="I28">
        <v>314.34936350779998</v>
      </c>
      <c r="J28">
        <v>168</v>
      </c>
      <c r="K28">
        <v>475.39880952380003</v>
      </c>
      <c r="L28">
        <v>305</v>
      </c>
      <c r="M28">
        <v>255.07540983609999</v>
      </c>
      <c r="N28">
        <v>111</v>
      </c>
      <c r="O28">
        <v>367.81081081079998</v>
      </c>
      <c r="R28">
        <v>1</v>
      </c>
      <c r="S28">
        <v>555</v>
      </c>
      <c r="V28" t="s">
        <v>414</v>
      </c>
      <c r="W28">
        <v>42903</v>
      </c>
      <c r="X28">
        <v>31381</v>
      </c>
      <c r="Y28">
        <v>322.12086931580001</v>
      </c>
      <c r="Z28">
        <v>2939</v>
      </c>
      <c r="AA28">
        <v>524.08268118410001</v>
      </c>
      <c r="AB28">
        <v>7676</v>
      </c>
      <c r="AC28">
        <v>508.73267326730002</v>
      </c>
      <c r="AD28">
        <v>2243</v>
      </c>
      <c r="AE28">
        <v>501.72403031649998</v>
      </c>
      <c r="AF28">
        <v>1534</v>
      </c>
      <c r="AG28">
        <v>180.7209908735</v>
      </c>
      <c r="AH28">
        <v>69</v>
      </c>
      <c r="AI28">
        <v>444.05797101450003</v>
      </c>
      <c r="AL28" t="s">
        <v>414</v>
      </c>
      <c r="AM28">
        <v>508</v>
      </c>
      <c r="AN28">
        <v>359</v>
      </c>
      <c r="AO28">
        <v>137.97771587739999</v>
      </c>
      <c r="AP28">
        <v>316</v>
      </c>
      <c r="AQ28">
        <v>231.95569620250001</v>
      </c>
      <c r="AR28">
        <v>113</v>
      </c>
      <c r="AS28">
        <v>178.2920353982</v>
      </c>
      <c r="AT28">
        <v>25</v>
      </c>
      <c r="AU28">
        <v>166.88</v>
      </c>
      <c r="AV28">
        <v>11</v>
      </c>
      <c r="AW28">
        <v>65.090909090899999</v>
      </c>
    </row>
    <row r="29" spans="6:49" x14ac:dyDescent="0.2">
      <c r="F29" t="s">
        <v>55</v>
      </c>
      <c r="G29">
        <v>4501</v>
      </c>
      <c r="H29">
        <v>3557</v>
      </c>
      <c r="I29">
        <v>338.69384312620002</v>
      </c>
      <c r="J29">
        <v>485</v>
      </c>
      <c r="K29">
        <v>498.74226804120002</v>
      </c>
      <c r="L29">
        <v>733</v>
      </c>
      <c r="M29">
        <v>329.76261937240002</v>
      </c>
      <c r="N29">
        <v>208</v>
      </c>
      <c r="O29">
        <v>380.27403846150003</v>
      </c>
      <c r="R29">
        <v>3</v>
      </c>
      <c r="S29">
        <v>430.3333333333</v>
      </c>
      <c r="V29" t="s">
        <v>398</v>
      </c>
      <c r="W29">
        <v>10765</v>
      </c>
      <c r="X29">
        <v>5534</v>
      </c>
      <c r="Y29">
        <v>304.91723888690001</v>
      </c>
      <c r="Z29">
        <v>543</v>
      </c>
      <c r="AA29">
        <v>625.197053407</v>
      </c>
      <c r="AB29">
        <v>3591</v>
      </c>
      <c r="AC29">
        <v>864.36842105259996</v>
      </c>
      <c r="AD29">
        <v>1132</v>
      </c>
      <c r="AE29">
        <v>525.83657243820005</v>
      </c>
      <c r="AF29">
        <v>485</v>
      </c>
      <c r="AG29">
        <v>219.88247422680001</v>
      </c>
      <c r="AH29">
        <v>23</v>
      </c>
      <c r="AI29">
        <v>548.34782608700004</v>
      </c>
      <c r="AL29" t="s">
        <v>398</v>
      </c>
      <c r="AM29">
        <v>177</v>
      </c>
      <c r="AN29">
        <v>137</v>
      </c>
      <c r="AO29">
        <v>263.64233576639998</v>
      </c>
      <c r="AP29">
        <v>18</v>
      </c>
      <c r="AQ29">
        <v>386.94444444440001</v>
      </c>
      <c r="AR29">
        <v>33</v>
      </c>
      <c r="AS29">
        <v>324.60606060610002</v>
      </c>
      <c r="AT29">
        <v>7</v>
      </c>
      <c r="AU29">
        <v>70.857142857100001</v>
      </c>
    </row>
    <row r="30" spans="6:49" x14ac:dyDescent="0.2">
      <c r="F30" t="s">
        <v>414</v>
      </c>
      <c r="G30">
        <v>42719</v>
      </c>
      <c r="H30">
        <v>32081</v>
      </c>
      <c r="I30">
        <v>317.17134752660002</v>
      </c>
      <c r="J30">
        <v>3114</v>
      </c>
      <c r="K30">
        <v>517.20841361589999</v>
      </c>
      <c r="L30">
        <v>8038</v>
      </c>
      <c r="M30">
        <v>505.76200547399998</v>
      </c>
      <c r="N30">
        <v>2528</v>
      </c>
      <c r="O30">
        <v>509.2646360759</v>
      </c>
      <c r="R30">
        <v>72</v>
      </c>
      <c r="S30">
        <v>445.2222222222</v>
      </c>
      <c r="V30" t="s">
        <v>435</v>
      </c>
      <c r="W30">
        <v>28651</v>
      </c>
      <c r="X30">
        <v>24225</v>
      </c>
      <c r="Y30">
        <v>450.0331888545</v>
      </c>
      <c r="Z30">
        <v>1398</v>
      </c>
      <c r="AA30">
        <v>742.97281831190003</v>
      </c>
      <c r="AB30">
        <v>1440</v>
      </c>
      <c r="AC30">
        <v>338.2708333333</v>
      </c>
      <c r="AD30">
        <v>1873</v>
      </c>
      <c r="AE30">
        <v>337.54938601169999</v>
      </c>
      <c r="AF30">
        <v>1102</v>
      </c>
      <c r="AG30">
        <v>168.3402903811</v>
      </c>
      <c r="AH30">
        <v>11</v>
      </c>
      <c r="AI30">
        <v>292.27272727270002</v>
      </c>
      <c r="AL30" t="s">
        <v>435</v>
      </c>
      <c r="AM30">
        <v>519</v>
      </c>
      <c r="AN30">
        <v>442</v>
      </c>
      <c r="AO30">
        <v>261.11538461539999</v>
      </c>
      <c r="AP30">
        <v>66</v>
      </c>
      <c r="AQ30">
        <v>399</v>
      </c>
      <c r="AR30">
        <v>67</v>
      </c>
      <c r="AS30">
        <v>223.9850746269</v>
      </c>
      <c r="AT30">
        <v>9</v>
      </c>
      <c r="AU30">
        <v>234.3333333333</v>
      </c>
      <c r="AV30">
        <v>1</v>
      </c>
      <c r="AW30">
        <v>148</v>
      </c>
    </row>
    <row r="31" spans="6:49" x14ac:dyDescent="0.2">
      <c r="F31" t="s">
        <v>25</v>
      </c>
      <c r="G31">
        <v>16120</v>
      </c>
      <c r="H31">
        <v>13539</v>
      </c>
      <c r="I31">
        <v>565.44309033160005</v>
      </c>
      <c r="J31">
        <v>396</v>
      </c>
      <c r="K31">
        <v>832.68434343429999</v>
      </c>
      <c r="L31">
        <v>1752</v>
      </c>
      <c r="M31">
        <v>539.69063926939998</v>
      </c>
      <c r="N31">
        <v>815</v>
      </c>
      <c r="O31">
        <v>365.84785276069999</v>
      </c>
      <c r="R31">
        <v>14</v>
      </c>
      <c r="S31">
        <v>444.85714285709997</v>
      </c>
      <c r="V31" t="s">
        <v>391</v>
      </c>
      <c r="W31">
        <v>16680</v>
      </c>
      <c r="X31">
        <v>13455</v>
      </c>
      <c r="Y31">
        <v>562.18312894830001</v>
      </c>
      <c r="Z31">
        <v>410</v>
      </c>
      <c r="AA31">
        <v>807.42926829270004</v>
      </c>
      <c r="AB31">
        <v>1821</v>
      </c>
      <c r="AC31">
        <v>559.35914332779998</v>
      </c>
      <c r="AD31">
        <v>846</v>
      </c>
      <c r="AE31">
        <v>373.12411347519998</v>
      </c>
      <c r="AF31">
        <v>544</v>
      </c>
      <c r="AG31">
        <v>170.39338235290001</v>
      </c>
      <c r="AH31">
        <v>14</v>
      </c>
      <c r="AI31">
        <v>444.85714285709997</v>
      </c>
      <c r="AL31" t="s">
        <v>391</v>
      </c>
      <c r="AM31">
        <v>330</v>
      </c>
      <c r="AN31">
        <v>275</v>
      </c>
      <c r="AO31">
        <v>292.74545454550002</v>
      </c>
      <c r="AP31">
        <v>58</v>
      </c>
      <c r="AQ31">
        <v>317</v>
      </c>
      <c r="AR31">
        <v>40</v>
      </c>
      <c r="AS31">
        <v>268.17500000000001</v>
      </c>
      <c r="AT31">
        <v>13</v>
      </c>
      <c r="AU31">
        <v>141.5384615385</v>
      </c>
      <c r="AV31">
        <v>2</v>
      </c>
      <c r="AW31">
        <v>45.5</v>
      </c>
    </row>
    <row r="32" spans="6:49" x14ac:dyDescent="0.2">
      <c r="F32" t="s">
        <v>42</v>
      </c>
      <c r="G32">
        <v>11975</v>
      </c>
      <c r="H32">
        <v>9175</v>
      </c>
      <c r="I32">
        <v>323.94713896460001</v>
      </c>
      <c r="J32">
        <v>310</v>
      </c>
      <c r="K32">
        <v>740.12903225809998</v>
      </c>
      <c r="L32">
        <v>1950</v>
      </c>
      <c r="M32">
        <v>541.28256410259996</v>
      </c>
      <c r="N32">
        <v>827</v>
      </c>
      <c r="O32">
        <v>571.03022974609996</v>
      </c>
      <c r="R32">
        <v>23</v>
      </c>
      <c r="S32">
        <v>595.78260869569999</v>
      </c>
      <c r="V32" t="s">
        <v>403</v>
      </c>
      <c r="W32">
        <v>3285</v>
      </c>
      <c r="X32">
        <v>2158</v>
      </c>
      <c r="Y32">
        <v>480.22752548659997</v>
      </c>
      <c r="Z32">
        <v>302</v>
      </c>
      <c r="AA32">
        <v>430.63907284769999</v>
      </c>
      <c r="AB32">
        <v>499</v>
      </c>
      <c r="AC32">
        <v>659.43086172339997</v>
      </c>
      <c r="AD32">
        <v>462</v>
      </c>
      <c r="AE32">
        <v>541.04761904760005</v>
      </c>
      <c r="AF32">
        <v>160</v>
      </c>
      <c r="AG32">
        <v>197.15</v>
      </c>
      <c r="AH32">
        <v>6</v>
      </c>
      <c r="AI32">
        <v>510</v>
      </c>
      <c r="AL32" t="s">
        <v>403</v>
      </c>
      <c r="AM32">
        <v>106</v>
      </c>
      <c r="AN32">
        <v>92</v>
      </c>
      <c r="AO32">
        <v>413.35869565220003</v>
      </c>
      <c r="AP32">
        <v>12</v>
      </c>
      <c r="AQ32">
        <v>513.91666666670005</v>
      </c>
      <c r="AR32">
        <v>11</v>
      </c>
      <c r="AS32">
        <v>316.45454545450002</v>
      </c>
      <c r="AT32">
        <v>2</v>
      </c>
      <c r="AU32">
        <v>117</v>
      </c>
      <c r="AV32">
        <v>1</v>
      </c>
      <c r="AW32">
        <v>500</v>
      </c>
    </row>
    <row r="33" spans="6:49" x14ac:dyDescent="0.2">
      <c r="F33" t="s">
        <v>75</v>
      </c>
      <c r="G33">
        <v>6121</v>
      </c>
      <c r="H33">
        <v>2834</v>
      </c>
      <c r="I33">
        <v>380.44001411430003</v>
      </c>
      <c r="J33">
        <v>250</v>
      </c>
      <c r="K33">
        <v>514.17200000000003</v>
      </c>
      <c r="L33">
        <v>2289</v>
      </c>
      <c r="M33">
        <v>687.92878986460005</v>
      </c>
      <c r="N33">
        <v>997</v>
      </c>
      <c r="O33">
        <v>949.71815446339997</v>
      </c>
      <c r="R33">
        <v>1</v>
      </c>
      <c r="S33">
        <v>1440</v>
      </c>
      <c r="V33" t="s">
        <v>394</v>
      </c>
      <c r="W33">
        <v>7028</v>
      </c>
      <c r="X33">
        <v>4232</v>
      </c>
      <c r="Y33">
        <v>268.99291115310001</v>
      </c>
      <c r="Z33">
        <v>570</v>
      </c>
      <c r="AA33">
        <v>551.68596491230005</v>
      </c>
      <c r="AB33">
        <v>1518</v>
      </c>
      <c r="AC33">
        <v>397.27470355729997</v>
      </c>
      <c r="AD33">
        <v>797</v>
      </c>
      <c r="AE33">
        <v>465.96863237140002</v>
      </c>
      <c r="AF33">
        <v>469</v>
      </c>
      <c r="AG33">
        <v>184.67803837950001</v>
      </c>
      <c r="AH33">
        <v>12</v>
      </c>
      <c r="AI33">
        <v>406</v>
      </c>
      <c r="AL33" t="s">
        <v>394</v>
      </c>
      <c r="AM33">
        <v>215</v>
      </c>
      <c r="AN33">
        <v>178</v>
      </c>
      <c r="AO33">
        <v>235.24719101119999</v>
      </c>
      <c r="AP33">
        <v>22</v>
      </c>
      <c r="AQ33">
        <v>462.09090909090003</v>
      </c>
      <c r="AR33">
        <v>33</v>
      </c>
      <c r="AS33">
        <v>332.36363636359999</v>
      </c>
      <c r="AT33">
        <v>3</v>
      </c>
      <c r="AU33">
        <v>259.3333333333</v>
      </c>
      <c r="AV33">
        <v>1</v>
      </c>
      <c r="AW33">
        <v>44</v>
      </c>
    </row>
    <row r="34" spans="6:49" x14ac:dyDescent="0.2">
      <c r="F34" t="s">
        <v>61</v>
      </c>
      <c r="G34">
        <v>6401</v>
      </c>
      <c r="H34">
        <v>4118</v>
      </c>
      <c r="I34">
        <v>249.66367168529999</v>
      </c>
      <c r="J34">
        <v>572</v>
      </c>
      <c r="K34">
        <v>538.0559440559</v>
      </c>
      <c r="L34">
        <v>1467</v>
      </c>
      <c r="M34">
        <v>368.57327880029999</v>
      </c>
      <c r="N34">
        <v>804</v>
      </c>
      <c r="O34">
        <v>456.52860696520003</v>
      </c>
      <c r="R34">
        <v>12</v>
      </c>
      <c r="S34">
        <v>405.4166666667</v>
      </c>
      <c r="V34" t="s">
        <v>437</v>
      </c>
      <c r="W34">
        <v>6203</v>
      </c>
      <c r="X34">
        <v>2751</v>
      </c>
      <c r="Y34">
        <v>381.3805888768</v>
      </c>
      <c r="Z34">
        <v>244</v>
      </c>
      <c r="AA34">
        <v>511.42622950819998</v>
      </c>
      <c r="AB34">
        <v>2223</v>
      </c>
      <c r="AC34">
        <v>687.15969410709999</v>
      </c>
      <c r="AD34">
        <v>972</v>
      </c>
      <c r="AE34">
        <v>945.37139917699994</v>
      </c>
      <c r="AF34">
        <v>256</v>
      </c>
      <c r="AG34">
        <v>203.75</v>
      </c>
      <c r="AH34">
        <v>1</v>
      </c>
      <c r="AI34">
        <v>1440</v>
      </c>
      <c r="AL34" t="s">
        <v>437</v>
      </c>
      <c r="AM34">
        <v>125</v>
      </c>
      <c r="AN34">
        <v>93</v>
      </c>
      <c r="AO34">
        <v>223.70967741940001</v>
      </c>
      <c r="AP34">
        <v>11</v>
      </c>
      <c r="AQ34">
        <v>363.90909090909997</v>
      </c>
      <c r="AR34">
        <v>21</v>
      </c>
      <c r="AS34">
        <v>235.1428571429</v>
      </c>
      <c r="AT34">
        <v>10</v>
      </c>
      <c r="AU34">
        <v>129.69999999999999</v>
      </c>
      <c r="AV34">
        <v>1</v>
      </c>
      <c r="AW34">
        <v>136</v>
      </c>
    </row>
    <row r="35" spans="6:49" x14ac:dyDescent="0.2">
      <c r="F35" t="s">
        <v>56</v>
      </c>
      <c r="G35">
        <v>4548</v>
      </c>
      <c r="H35">
        <v>3123</v>
      </c>
      <c r="I35">
        <v>499.35446685879998</v>
      </c>
      <c r="J35">
        <v>443</v>
      </c>
      <c r="K35">
        <v>418.77426636569999</v>
      </c>
      <c r="L35">
        <v>767</v>
      </c>
      <c r="M35">
        <v>640.36245110820005</v>
      </c>
      <c r="N35">
        <v>650</v>
      </c>
      <c r="O35">
        <v>577.32923076919997</v>
      </c>
      <c r="R35">
        <v>8</v>
      </c>
      <c r="S35">
        <v>557.25</v>
      </c>
      <c r="V35" t="s">
        <v>393</v>
      </c>
      <c r="W35">
        <v>12293</v>
      </c>
      <c r="X35">
        <v>9090</v>
      </c>
      <c r="Y35">
        <v>329.09273927390001</v>
      </c>
      <c r="Z35">
        <v>319</v>
      </c>
      <c r="AA35">
        <v>724.63949843260002</v>
      </c>
      <c r="AB35">
        <v>1946</v>
      </c>
      <c r="AC35">
        <v>541.94501541620002</v>
      </c>
      <c r="AD35">
        <v>822</v>
      </c>
      <c r="AE35">
        <v>568.56934306569997</v>
      </c>
      <c r="AF35">
        <v>411</v>
      </c>
      <c r="AG35">
        <v>178.91727493920001</v>
      </c>
      <c r="AH35">
        <v>24</v>
      </c>
      <c r="AI35">
        <v>619.79166666670005</v>
      </c>
      <c r="AL35" t="s">
        <v>393</v>
      </c>
      <c r="AM35">
        <v>153</v>
      </c>
      <c r="AN35">
        <v>128</v>
      </c>
      <c r="AO35">
        <v>238.4765625</v>
      </c>
      <c r="AP35">
        <v>31</v>
      </c>
      <c r="AQ35">
        <v>315.61290322579998</v>
      </c>
      <c r="AR35">
        <v>19</v>
      </c>
      <c r="AS35">
        <v>205.1052631579</v>
      </c>
      <c r="AT35">
        <v>4</v>
      </c>
      <c r="AU35">
        <v>149.5</v>
      </c>
      <c r="AV35">
        <v>2</v>
      </c>
      <c r="AW35">
        <v>477</v>
      </c>
    </row>
    <row r="36" spans="6:49" x14ac:dyDescent="0.2">
      <c r="F36" t="s">
        <v>60</v>
      </c>
      <c r="G36">
        <v>10338</v>
      </c>
      <c r="H36">
        <v>5518</v>
      </c>
      <c r="I36">
        <v>297.34287785430001</v>
      </c>
      <c r="J36">
        <v>554</v>
      </c>
      <c r="K36">
        <v>621.64801444039995</v>
      </c>
      <c r="L36">
        <v>3662</v>
      </c>
      <c r="M36">
        <v>868.8762971054</v>
      </c>
      <c r="N36">
        <v>1135</v>
      </c>
      <c r="O36">
        <v>521.01674008810005</v>
      </c>
      <c r="R36">
        <v>23</v>
      </c>
      <c r="S36">
        <v>548.34782608700004</v>
      </c>
      <c r="V36" t="s">
        <v>390</v>
      </c>
      <c r="W36">
        <v>84905</v>
      </c>
      <c r="X36">
        <v>61445</v>
      </c>
      <c r="Y36">
        <v>429.14769305879997</v>
      </c>
      <c r="Z36">
        <v>3786</v>
      </c>
      <c r="AA36">
        <v>662.88061278390001</v>
      </c>
      <c r="AB36">
        <v>13038</v>
      </c>
      <c r="AC36">
        <v>623.09786777110003</v>
      </c>
      <c r="AD36">
        <v>6904</v>
      </c>
      <c r="AE36">
        <v>514.3027230591</v>
      </c>
      <c r="AF36">
        <v>3427</v>
      </c>
      <c r="AG36">
        <v>183.45520863729999</v>
      </c>
      <c r="AH36">
        <v>91</v>
      </c>
      <c r="AI36">
        <v>508.81318681319999</v>
      </c>
      <c r="AL36" t="s">
        <v>390</v>
      </c>
      <c r="AM36">
        <v>1625</v>
      </c>
      <c r="AN36">
        <v>1345</v>
      </c>
      <c r="AO36">
        <v>270.08921933089999</v>
      </c>
      <c r="AP36">
        <v>218</v>
      </c>
      <c r="AQ36">
        <v>375.25229357799998</v>
      </c>
      <c r="AR36">
        <v>224</v>
      </c>
      <c r="AS36">
        <v>266.65178571429999</v>
      </c>
      <c r="AT36">
        <v>48</v>
      </c>
      <c r="AU36">
        <v>153.1666666667</v>
      </c>
      <c r="AV36">
        <v>8</v>
      </c>
      <c r="AW36">
        <v>234.125</v>
      </c>
    </row>
    <row r="37" spans="6:49" x14ac:dyDescent="0.2">
      <c r="F37" t="s">
        <v>80</v>
      </c>
      <c r="G37">
        <v>27703</v>
      </c>
      <c r="H37">
        <v>24624</v>
      </c>
      <c r="I37">
        <v>449.45646523720001</v>
      </c>
      <c r="J37">
        <v>1370</v>
      </c>
      <c r="K37">
        <v>740.90291970800001</v>
      </c>
      <c r="L37">
        <v>1274</v>
      </c>
      <c r="M37">
        <v>273.42935635790002</v>
      </c>
      <c r="N37">
        <v>1798</v>
      </c>
      <c r="O37">
        <v>313.29977753060001</v>
      </c>
      <c r="R37">
        <v>7</v>
      </c>
      <c r="S37">
        <v>321.71428571429999</v>
      </c>
      <c r="V37" t="s">
        <v>416</v>
      </c>
      <c r="W37">
        <v>530</v>
      </c>
      <c r="X37">
        <v>274</v>
      </c>
      <c r="Y37">
        <v>143.57299270070001</v>
      </c>
      <c r="Z37">
        <v>217</v>
      </c>
      <c r="AA37">
        <v>240.08294930880001</v>
      </c>
      <c r="AB37">
        <v>89</v>
      </c>
      <c r="AC37">
        <v>232.50561797750001</v>
      </c>
      <c r="AD37">
        <v>100</v>
      </c>
      <c r="AE37">
        <v>232.53</v>
      </c>
      <c r="AF37">
        <v>60</v>
      </c>
      <c r="AG37">
        <v>189.5</v>
      </c>
      <c r="AH37">
        <v>7</v>
      </c>
      <c r="AI37">
        <v>176</v>
      </c>
      <c r="AL37" t="s">
        <v>416</v>
      </c>
      <c r="AM37">
        <v>15</v>
      </c>
      <c r="AN37">
        <v>11</v>
      </c>
      <c r="AO37">
        <v>77.090909090899999</v>
      </c>
      <c r="AP37">
        <v>11</v>
      </c>
      <c r="AQ37">
        <v>211</v>
      </c>
      <c r="AR37">
        <v>3</v>
      </c>
      <c r="AS37">
        <v>74</v>
      </c>
      <c r="AT37">
        <v>1</v>
      </c>
      <c r="AU37">
        <v>116</v>
      </c>
    </row>
    <row r="38" spans="6:49" x14ac:dyDescent="0.2">
      <c r="F38" t="s">
        <v>390</v>
      </c>
      <c r="G38">
        <v>83206</v>
      </c>
      <c r="H38">
        <v>62931</v>
      </c>
      <c r="I38">
        <v>429.06785209200001</v>
      </c>
      <c r="J38">
        <v>3895</v>
      </c>
      <c r="K38">
        <v>652.23132220800005</v>
      </c>
      <c r="L38">
        <v>13161</v>
      </c>
      <c r="M38">
        <v>618.32208798720001</v>
      </c>
      <c r="N38">
        <v>7026</v>
      </c>
      <c r="O38">
        <v>514.41175633360001</v>
      </c>
      <c r="R38">
        <v>88</v>
      </c>
      <c r="S38">
        <v>517.70454545450002</v>
      </c>
      <c r="V38" t="s">
        <v>420</v>
      </c>
      <c r="W38">
        <v>39763</v>
      </c>
      <c r="X38">
        <v>27973</v>
      </c>
      <c r="Y38">
        <v>457.08758445640001</v>
      </c>
      <c r="Z38">
        <v>1729</v>
      </c>
      <c r="AA38">
        <v>680.75130133020002</v>
      </c>
      <c r="AB38">
        <v>8072</v>
      </c>
      <c r="AC38">
        <v>752.01424677900002</v>
      </c>
      <c r="AD38">
        <v>2393</v>
      </c>
      <c r="AE38">
        <v>579.31717509400005</v>
      </c>
      <c r="AF38">
        <v>1273</v>
      </c>
      <c r="AG38">
        <v>203.7816182247</v>
      </c>
      <c r="AH38">
        <v>52</v>
      </c>
      <c r="AI38">
        <v>439.23076923079998</v>
      </c>
      <c r="AL38" t="s">
        <v>420</v>
      </c>
      <c r="AM38">
        <v>291</v>
      </c>
      <c r="AN38">
        <v>201</v>
      </c>
      <c r="AO38">
        <v>168.05970149250001</v>
      </c>
      <c r="AP38">
        <v>181</v>
      </c>
      <c r="AQ38">
        <v>232.60773480660001</v>
      </c>
      <c r="AR38">
        <v>76</v>
      </c>
      <c r="AS38">
        <v>193.93421052630001</v>
      </c>
      <c r="AT38">
        <v>13</v>
      </c>
      <c r="AU38">
        <v>309.61538461539999</v>
      </c>
      <c r="AV38">
        <v>1</v>
      </c>
      <c r="AW38">
        <v>2152</v>
      </c>
    </row>
    <row r="39" spans="6:49" x14ac:dyDescent="0.2">
      <c r="F39" t="s">
        <v>82</v>
      </c>
      <c r="G39">
        <v>19294</v>
      </c>
      <c r="H39">
        <v>14290</v>
      </c>
      <c r="I39">
        <v>398.40587823649997</v>
      </c>
      <c r="J39">
        <v>925</v>
      </c>
      <c r="K39">
        <v>686.5102702703</v>
      </c>
      <c r="L39">
        <v>3729</v>
      </c>
      <c r="M39">
        <v>817.4601769912</v>
      </c>
      <c r="N39">
        <v>1237</v>
      </c>
      <c r="O39">
        <v>610.46321746160004</v>
      </c>
      <c r="R39">
        <v>38</v>
      </c>
      <c r="S39">
        <v>508.15789473680002</v>
      </c>
      <c r="V39" t="s">
        <v>428</v>
      </c>
      <c r="W39">
        <v>316</v>
      </c>
      <c r="X39">
        <v>117</v>
      </c>
      <c r="Y39">
        <v>211.03418803420001</v>
      </c>
      <c r="Z39">
        <v>121</v>
      </c>
      <c r="AA39">
        <v>254.58677685949999</v>
      </c>
      <c r="AB39">
        <v>103</v>
      </c>
      <c r="AC39">
        <v>287.67961165050002</v>
      </c>
      <c r="AD39">
        <v>63</v>
      </c>
      <c r="AE39">
        <v>386.36507936509997</v>
      </c>
      <c r="AF39">
        <v>33</v>
      </c>
      <c r="AG39">
        <v>199.96969696970001</v>
      </c>
      <c r="AL39" t="s">
        <v>428</v>
      </c>
      <c r="AM39">
        <v>2</v>
      </c>
      <c r="AN39">
        <v>2</v>
      </c>
      <c r="AO39">
        <v>304.5</v>
      </c>
      <c r="AP39">
        <v>5</v>
      </c>
      <c r="AQ39">
        <v>184.4</v>
      </c>
    </row>
    <row r="40" spans="6:49" x14ac:dyDescent="0.2">
      <c r="F40" t="s">
        <v>43</v>
      </c>
      <c r="G40">
        <v>5786</v>
      </c>
      <c r="H40">
        <v>3037</v>
      </c>
      <c r="I40">
        <v>234.69805729340001</v>
      </c>
      <c r="J40">
        <v>239</v>
      </c>
      <c r="K40">
        <v>502.41004184100001</v>
      </c>
      <c r="L40">
        <v>2370</v>
      </c>
      <c r="M40">
        <v>684.08691983120002</v>
      </c>
      <c r="N40">
        <v>370</v>
      </c>
      <c r="O40">
        <v>402.02972972970002</v>
      </c>
      <c r="R40">
        <v>9</v>
      </c>
      <c r="S40">
        <v>197.6666666667</v>
      </c>
      <c r="V40" t="s">
        <v>431</v>
      </c>
      <c r="W40">
        <v>363</v>
      </c>
      <c r="X40">
        <v>258</v>
      </c>
      <c r="Y40">
        <v>285.67441860470001</v>
      </c>
      <c r="Z40">
        <v>20</v>
      </c>
      <c r="AA40">
        <v>594.5</v>
      </c>
      <c r="AB40">
        <v>26</v>
      </c>
      <c r="AC40">
        <v>505.5</v>
      </c>
      <c r="AD40">
        <v>43</v>
      </c>
      <c r="AE40">
        <v>358.37209302330001</v>
      </c>
      <c r="AF40">
        <v>35</v>
      </c>
      <c r="AG40">
        <v>213.08571428569999</v>
      </c>
      <c r="AH40">
        <v>1</v>
      </c>
      <c r="AI40">
        <v>332</v>
      </c>
      <c r="AL40" t="s">
        <v>431</v>
      </c>
      <c r="AM40">
        <v>4</v>
      </c>
      <c r="AN40">
        <v>3</v>
      </c>
      <c r="AO40">
        <v>166.6666666667</v>
      </c>
      <c r="AP40">
        <v>2</v>
      </c>
      <c r="AQ40">
        <v>330.5</v>
      </c>
      <c r="AR40">
        <v>1</v>
      </c>
      <c r="AS40">
        <v>110</v>
      </c>
    </row>
    <row r="41" spans="6:49" x14ac:dyDescent="0.2">
      <c r="F41" t="s">
        <v>49</v>
      </c>
      <c r="G41">
        <v>19420</v>
      </c>
      <c r="H41">
        <v>13901</v>
      </c>
      <c r="I41">
        <v>520.28738939640004</v>
      </c>
      <c r="J41">
        <v>794</v>
      </c>
      <c r="K41">
        <v>686.2795969773</v>
      </c>
      <c r="L41">
        <v>4367</v>
      </c>
      <c r="M41">
        <v>700.28280283950005</v>
      </c>
      <c r="N41">
        <v>1137</v>
      </c>
      <c r="O41">
        <v>559.3051890941</v>
      </c>
      <c r="R41">
        <v>15</v>
      </c>
      <c r="S41">
        <v>379.13333333330002</v>
      </c>
      <c r="V41" t="s">
        <v>421</v>
      </c>
      <c r="W41">
        <v>5364</v>
      </c>
      <c r="X41">
        <v>4095</v>
      </c>
      <c r="Y41">
        <v>477.64175824180001</v>
      </c>
      <c r="Z41">
        <v>152</v>
      </c>
      <c r="AA41">
        <v>932.63815789470004</v>
      </c>
      <c r="AB41">
        <v>553</v>
      </c>
      <c r="AC41">
        <v>326.00180831829999</v>
      </c>
      <c r="AD41">
        <v>440</v>
      </c>
      <c r="AE41">
        <v>615.18181818180005</v>
      </c>
      <c r="AF41">
        <v>271</v>
      </c>
      <c r="AG41">
        <v>182.6273062731</v>
      </c>
      <c r="AH41">
        <v>5</v>
      </c>
      <c r="AI41">
        <v>577.4</v>
      </c>
      <c r="AL41" t="s">
        <v>421</v>
      </c>
      <c r="AM41">
        <v>111</v>
      </c>
      <c r="AN41">
        <v>97</v>
      </c>
      <c r="AO41">
        <v>262.72164948450001</v>
      </c>
      <c r="AP41">
        <v>13</v>
      </c>
      <c r="AQ41">
        <v>539.15384615380003</v>
      </c>
      <c r="AR41">
        <v>13</v>
      </c>
      <c r="AS41">
        <v>222.38461538460001</v>
      </c>
      <c r="AT41">
        <v>1</v>
      </c>
      <c r="AU41">
        <v>75</v>
      </c>
    </row>
    <row r="42" spans="6:49" x14ac:dyDescent="0.2">
      <c r="F42" t="s">
        <v>52</v>
      </c>
      <c r="G42">
        <v>4265</v>
      </c>
      <c r="H42">
        <v>2712</v>
      </c>
      <c r="I42">
        <v>316.09734513270001</v>
      </c>
      <c r="J42">
        <v>258</v>
      </c>
      <c r="K42">
        <v>588.18992248059999</v>
      </c>
      <c r="L42">
        <v>998</v>
      </c>
      <c r="M42">
        <v>404.1392785571</v>
      </c>
      <c r="N42">
        <v>546</v>
      </c>
      <c r="O42">
        <v>612.11721611719997</v>
      </c>
      <c r="R42">
        <v>9</v>
      </c>
      <c r="S42">
        <v>749.66666666670005</v>
      </c>
      <c r="V42" t="s">
        <v>413</v>
      </c>
      <c r="W42">
        <v>6037</v>
      </c>
      <c r="X42">
        <v>3068</v>
      </c>
      <c r="Y42">
        <v>244.88689700130001</v>
      </c>
      <c r="Z42">
        <v>229</v>
      </c>
      <c r="AA42">
        <v>499.7379912664</v>
      </c>
      <c r="AB42">
        <v>2277</v>
      </c>
      <c r="AC42">
        <v>677.34914361000006</v>
      </c>
      <c r="AD42">
        <v>373</v>
      </c>
      <c r="AE42">
        <v>415.30563002679997</v>
      </c>
      <c r="AF42">
        <v>310</v>
      </c>
      <c r="AG42">
        <v>176.4387096774</v>
      </c>
      <c r="AH42">
        <v>9</v>
      </c>
      <c r="AI42">
        <v>197.6666666667</v>
      </c>
      <c r="AL42" t="s">
        <v>413</v>
      </c>
      <c r="AM42">
        <v>48</v>
      </c>
      <c r="AN42">
        <v>39</v>
      </c>
      <c r="AO42">
        <v>85.641025640999999</v>
      </c>
      <c r="AP42">
        <v>22</v>
      </c>
      <c r="AQ42">
        <v>177.7727272727</v>
      </c>
      <c r="AR42">
        <v>7</v>
      </c>
      <c r="AS42">
        <v>125.57142857140001</v>
      </c>
      <c r="AT42">
        <v>2</v>
      </c>
      <c r="AU42">
        <v>118</v>
      </c>
    </row>
    <row r="43" spans="6:49" x14ac:dyDescent="0.2">
      <c r="F43" t="s">
        <v>39</v>
      </c>
      <c r="G43">
        <v>324</v>
      </c>
      <c r="H43">
        <v>260</v>
      </c>
      <c r="I43">
        <v>285.45384615379999</v>
      </c>
      <c r="J43">
        <v>18</v>
      </c>
      <c r="K43">
        <v>596.55555555559999</v>
      </c>
      <c r="L43">
        <v>20</v>
      </c>
      <c r="M43">
        <v>449.25</v>
      </c>
      <c r="N43">
        <v>43</v>
      </c>
      <c r="O43">
        <v>365.81395348839999</v>
      </c>
      <c r="R43">
        <v>1</v>
      </c>
      <c r="S43">
        <v>332</v>
      </c>
      <c r="V43" t="s">
        <v>422</v>
      </c>
      <c r="W43">
        <v>4308</v>
      </c>
      <c r="X43">
        <v>2324</v>
      </c>
      <c r="Y43">
        <v>183.6596385542</v>
      </c>
      <c r="Z43">
        <v>565</v>
      </c>
      <c r="AA43">
        <v>277.00884955750001</v>
      </c>
      <c r="AB43">
        <v>1069</v>
      </c>
      <c r="AC43">
        <v>277.9401309635</v>
      </c>
      <c r="AD43">
        <v>560</v>
      </c>
      <c r="AE43">
        <v>280.99107142859998</v>
      </c>
      <c r="AF43">
        <v>345</v>
      </c>
      <c r="AG43">
        <v>183.91594202900001</v>
      </c>
      <c r="AH43">
        <v>10</v>
      </c>
      <c r="AI43">
        <v>210.7</v>
      </c>
      <c r="AL43" t="s">
        <v>422</v>
      </c>
      <c r="AM43">
        <v>82</v>
      </c>
      <c r="AN43">
        <v>64</v>
      </c>
      <c r="AO43">
        <v>126.375</v>
      </c>
      <c r="AP43">
        <v>35</v>
      </c>
      <c r="AQ43">
        <v>191.31428571430001</v>
      </c>
      <c r="AR43">
        <v>16</v>
      </c>
      <c r="AS43">
        <v>113.5</v>
      </c>
      <c r="AT43">
        <v>1</v>
      </c>
      <c r="AU43">
        <v>235</v>
      </c>
      <c r="AV43">
        <v>1</v>
      </c>
      <c r="AW43">
        <v>31</v>
      </c>
    </row>
    <row r="44" spans="6:49" x14ac:dyDescent="0.2">
      <c r="F44" t="s">
        <v>27</v>
      </c>
      <c r="G44">
        <v>3900</v>
      </c>
      <c r="H44">
        <v>2263</v>
      </c>
      <c r="I44">
        <v>171.4387980557</v>
      </c>
      <c r="J44">
        <v>577</v>
      </c>
      <c r="K44">
        <v>273.50779896009999</v>
      </c>
      <c r="L44">
        <v>1059</v>
      </c>
      <c r="M44">
        <v>275.16713881020002</v>
      </c>
      <c r="N44">
        <v>568</v>
      </c>
      <c r="O44">
        <v>269.37323943659999</v>
      </c>
      <c r="R44">
        <v>10</v>
      </c>
      <c r="S44">
        <v>210.7</v>
      </c>
      <c r="V44" t="s">
        <v>397</v>
      </c>
      <c r="W44">
        <v>5966</v>
      </c>
      <c r="X44">
        <v>4809</v>
      </c>
      <c r="Y44">
        <v>424.89166146809998</v>
      </c>
      <c r="Z44">
        <v>323</v>
      </c>
      <c r="AA44">
        <v>797.99690402479996</v>
      </c>
      <c r="AB44">
        <v>569</v>
      </c>
      <c r="AC44">
        <v>491.6028119508</v>
      </c>
      <c r="AD44">
        <v>350</v>
      </c>
      <c r="AE44">
        <v>421.9857142857</v>
      </c>
      <c r="AF44">
        <v>224</v>
      </c>
      <c r="AG44">
        <v>181.5446428571</v>
      </c>
      <c r="AH44">
        <v>14</v>
      </c>
      <c r="AI44">
        <v>407.5</v>
      </c>
      <c r="AL44" t="s">
        <v>397</v>
      </c>
      <c r="AM44">
        <v>140</v>
      </c>
      <c r="AN44">
        <v>117</v>
      </c>
      <c r="AO44">
        <v>319.62393162389998</v>
      </c>
      <c r="AP44">
        <v>26</v>
      </c>
      <c r="AQ44">
        <v>621.38461538460001</v>
      </c>
      <c r="AR44">
        <v>22</v>
      </c>
      <c r="AS44">
        <v>188.4090909091</v>
      </c>
      <c r="AT44">
        <v>1</v>
      </c>
      <c r="AU44">
        <v>5</v>
      </c>
    </row>
    <row r="45" spans="6:49" x14ac:dyDescent="0.2">
      <c r="F45" t="s">
        <v>54</v>
      </c>
      <c r="G45">
        <v>5250</v>
      </c>
      <c r="H45">
        <v>4235</v>
      </c>
      <c r="I45">
        <v>478.2337662338</v>
      </c>
      <c r="J45">
        <v>141</v>
      </c>
      <c r="K45">
        <v>959.81560283689998</v>
      </c>
      <c r="L45">
        <v>555</v>
      </c>
      <c r="M45">
        <v>310.68828828829999</v>
      </c>
      <c r="N45">
        <v>455</v>
      </c>
      <c r="O45">
        <v>629.7626373626</v>
      </c>
      <c r="R45">
        <v>5</v>
      </c>
      <c r="S45">
        <v>577.4</v>
      </c>
      <c r="V45" t="s">
        <v>399</v>
      </c>
      <c r="W45">
        <v>4553</v>
      </c>
      <c r="X45">
        <v>2778</v>
      </c>
      <c r="Y45">
        <v>325.33657307419998</v>
      </c>
      <c r="Z45">
        <v>256</v>
      </c>
      <c r="AA45">
        <v>582.109375</v>
      </c>
      <c r="AB45">
        <v>1000</v>
      </c>
      <c r="AC45">
        <v>415.96300000000002</v>
      </c>
      <c r="AD45">
        <v>552</v>
      </c>
      <c r="AE45">
        <v>618.5</v>
      </c>
      <c r="AF45">
        <v>214</v>
      </c>
      <c r="AG45">
        <v>200.54672897200001</v>
      </c>
      <c r="AH45">
        <v>9</v>
      </c>
      <c r="AI45">
        <v>749.66666666670005</v>
      </c>
      <c r="AL45" t="s">
        <v>399</v>
      </c>
      <c r="AM45">
        <v>109</v>
      </c>
      <c r="AN45">
        <v>92</v>
      </c>
      <c r="AO45">
        <v>262.48913043480002</v>
      </c>
      <c r="AP45">
        <v>16</v>
      </c>
      <c r="AQ45">
        <v>461.0625</v>
      </c>
      <c r="AR45">
        <v>16</v>
      </c>
      <c r="AS45">
        <v>362.875</v>
      </c>
      <c r="AT45">
        <v>1</v>
      </c>
      <c r="AU45">
        <v>393</v>
      </c>
    </row>
    <row r="46" spans="6:49" x14ac:dyDescent="0.2">
      <c r="F46" t="s">
        <v>62</v>
      </c>
      <c r="G46">
        <v>5766</v>
      </c>
      <c r="H46">
        <v>4838</v>
      </c>
      <c r="I46">
        <v>424.9262091773</v>
      </c>
      <c r="J46">
        <v>327</v>
      </c>
      <c r="K46">
        <v>806.12232415899996</v>
      </c>
      <c r="L46">
        <v>559</v>
      </c>
      <c r="M46">
        <v>472.97853309480001</v>
      </c>
      <c r="N46">
        <v>357</v>
      </c>
      <c r="O46">
        <v>424.4117647059</v>
      </c>
      <c r="R46">
        <v>12</v>
      </c>
      <c r="S46">
        <v>295.4166666667</v>
      </c>
      <c r="V46" t="s">
        <v>395</v>
      </c>
      <c r="W46">
        <v>67200</v>
      </c>
      <c r="X46">
        <v>45696</v>
      </c>
      <c r="Y46">
        <v>415.90106355040001</v>
      </c>
      <c r="Z46">
        <v>3612</v>
      </c>
      <c r="AA46">
        <v>578.98560354369999</v>
      </c>
      <c r="AB46">
        <v>13758</v>
      </c>
      <c r="AC46">
        <v>643.19901148420001</v>
      </c>
      <c r="AD46">
        <v>4874</v>
      </c>
      <c r="AE46">
        <v>517.30837094790002</v>
      </c>
      <c r="AF46">
        <v>2765</v>
      </c>
      <c r="AG46">
        <v>193.8745027125</v>
      </c>
      <c r="AH46">
        <v>107</v>
      </c>
      <c r="AI46">
        <v>407.74766355140002</v>
      </c>
      <c r="AL46" t="s">
        <v>395</v>
      </c>
      <c r="AM46">
        <v>802</v>
      </c>
      <c r="AN46">
        <v>626</v>
      </c>
      <c r="AO46">
        <v>214.36741214060001</v>
      </c>
      <c r="AP46">
        <v>311</v>
      </c>
      <c r="AQ46">
        <v>280.24115755629998</v>
      </c>
      <c r="AR46">
        <v>154</v>
      </c>
      <c r="AS46">
        <v>198.75324675319999</v>
      </c>
      <c r="AT46">
        <v>20</v>
      </c>
      <c r="AU46">
        <v>254.25</v>
      </c>
      <c r="AV46">
        <v>2</v>
      </c>
      <c r="AW46">
        <v>1091.5</v>
      </c>
    </row>
    <row r="47" spans="6:49" x14ac:dyDescent="0.2">
      <c r="F47" t="s">
        <v>187</v>
      </c>
      <c r="G47">
        <v>240</v>
      </c>
      <c r="H47">
        <v>87</v>
      </c>
      <c r="I47">
        <v>161.5977011494</v>
      </c>
      <c r="J47">
        <v>116</v>
      </c>
      <c r="K47">
        <v>222.2931034483</v>
      </c>
      <c r="L47">
        <v>94</v>
      </c>
      <c r="M47">
        <v>277.86170212770003</v>
      </c>
      <c r="N47">
        <v>59</v>
      </c>
      <c r="O47">
        <v>370.83050847459998</v>
      </c>
      <c r="V47" t="s">
        <v>426</v>
      </c>
      <c r="W47">
        <v>429</v>
      </c>
      <c r="X47">
        <v>262</v>
      </c>
      <c r="Y47">
        <v>288.6564885496</v>
      </c>
      <c r="Z47">
        <v>42</v>
      </c>
      <c r="AA47">
        <v>397.52380952380003</v>
      </c>
      <c r="AB47">
        <v>60</v>
      </c>
      <c r="AC47">
        <v>394.06666666669997</v>
      </c>
      <c r="AD47">
        <v>72</v>
      </c>
      <c r="AE47">
        <v>290.6527777778</v>
      </c>
      <c r="AF47">
        <v>34</v>
      </c>
      <c r="AG47">
        <v>182.5588235294</v>
      </c>
      <c r="AH47">
        <v>1</v>
      </c>
      <c r="AI47">
        <v>206</v>
      </c>
      <c r="AL47" t="s">
        <v>426</v>
      </c>
      <c r="AM47">
        <v>24</v>
      </c>
      <c r="AN47">
        <v>22</v>
      </c>
      <c r="AO47">
        <v>221.45454545449999</v>
      </c>
      <c r="AP47">
        <v>6</v>
      </c>
      <c r="AQ47">
        <v>297.6666666667</v>
      </c>
      <c r="AT47">
        <v>2</v>
      </c>
      <c r="AU47">
        <v>160</v>
      </c>
    </row>
    <row r="48" spans="6:49" x14ac:dyDescent="0.2">
      <c r="F48" t="s">
        <v>73</v>
      </c>
      <c r="G48">
        <v>430</v>
      </c>
      <c r="H48">
        <v>248</v>
      </c>
      <c r="I48">
        <v>101.5282258065</v>
      </c>
      <c r="J48">
        <v>216</v>
      </c>
      <c r="K48">
        <v>226.625</v>
      </c>
      <c r="L48">
        <v>79</v>
      </c>
      <c r="M48">
        <v>167.05063291139999</v>
      </c>
      <c r="N48">
        <v>97</v>
      </c>
      <c r="O48">
        <v>186.58762886599999</v>
      </c>
      <c r="R48">
        <v>6</v>
      </c>
      <c r="S48">
        <v>100.6666666667</v>
      </c>
      <c r="V48" t="s">
        <v>427</v>
      </c>
      <c r="W48">
        <v>204</v>
      </c>
      <c r="X48">
        <v>122</v>
      </c>
      <c r="Y48">
        <v>213.6147540984</v>
      </c>
      <c r="Z48">
        <v>21</v>
      </c>
      <c r="AA48">
        <v>269.61904761900001</v>
      </c>
      <c r="AB48">
        <v>28</v>
      </c>
      <c r="AC48">
        <v>320.96428571429999</v>
      </c>
      <c r="AD48">
        <v>30</v>
      </c>
      <c r="AE48">
        <v>359.36666666669998</v>
      </c>
      <c r="AF48">
        <v>23</v>
      </c>
      <c r="AG48">
        <v>154.47826086960001</v>
      </c>
      <c r="AH48">
        <v>1</v>
      </c>
      <c r="AI48">
        <v>17</v>
      </c>
      <c r="AL48" t="s">
        <v>427</v>
      </c>
      <c r="AM48">
        <v>6</v>
      </c>
      <c r="AN48">
        <v>5</v>
      </c>
      <c r="AO48">
        <v>202.4</v>
      </c>
      <c r="AT48">
        <v>1</v>
      </c>
      <c r="AU48">
        <v>457</v>
      </c>
    </row>
    <row r="49" spans="6:51" x14ac:dyDescent="0.2">
      <c r="F49" t="s">
        <v>395</v>
      </c>
      <c r="G49">
        <v>64675</v>
      </c>
      <c r="H49">
        <v>45871</v>
      </c>
      <c r="I49">
        <v>415.9121013276</v>
      </c>
      <c r="J49">
        <v>3611</v>
      </c>
      <c r="K49">
        <v>579.88978122399999</v>
      </c>
      <c r="L49">
        <v>13830</v>
      </c>
      <c r="M49">
        <v>644.07744034710004</v>
      </c>
      <c r="N49">
        <v>4869</v>
      </c>
      <c r="O49">
        <v>517.72622715140005</v>
      </c>
      <c r="R49">
        <v>105</v>
      </c>
      <c r="S49">
        <v>409.50476190479998</v>
      </c>
      <c r="V49" t="s">
        <v>433</v>
      </c>
      <c r="W49">
        <v>500</v>
      </c>
      <c r="X49">
        <v>298</v>
      </c>
      <c r="Y49">
        <v>392.09731543620001</v>
      </c>
      <c r="Z49">
        <v>43</v>
      </c>
      <c r="AA49">
        <v>504.55813953490002</v>
      </c>
      <c r="AB49">
        <v>113</v>
      </c>
      <c r="AC49">
        <v>473.9557522124</v>
      </c>
      <c r="AD49">
        <v>60</v>
      </c>
      <c r="AE49">
        <v>590.01666666669996</v>
      </c>
      <c r="AF49">
        <v>27</v>
      </c>
      <c r="AG49">
        <v>143.25925925929999</v>
      </c>
      <c r="AH49">
        <v>2</v>
      </c>
      <c r="AI49">
        <v>62.5</v>
      </c>
      <c r="AL49" t="s">
        <v>433</v>
      </c>
      <c r="AM49">
        <v>20</v>
      </c>
      <c r="AN49">
        <v>13</v>
      </c>
      <c r="AO49">
        <v>226.76923076919999</v>
      </c>
      <c r="AP49">
        <v>5</v>
      </c>
      <c r="AQ49">
        <v>286.8</v>
      </c>
      <c r="AR49">
        <v>2</v>
      </c>
      <c r="AS49">
        <v>90</v>
      </c>
      <c r="AT49">
        <v>4</v>
      </c>
      <c r="AU49">
        <v>395.75</v>
      </c>
      <c r="AX49">
        <v>1</v>
      </c>
      <c r="AY49">
        <v>271</v>
      </c>
    </row>
    <row r="50" spans="6:51" x14ac:dyDescent="0.2">
      <c r="F50" t="s">
        <v>220</v>
      </c>
      <c r="G50">
        <v>1051</v>
      </c>
      <c r="H50">
        <v>755</v>
      </c>
      <c r="I50">
        <v>134.421192053</v>
      </c>
      <c r="J50">
        <v>653</v>
      </c>
      <c r="K50">
        <v>228.7947932619</v>
      </c>
      <c r="L50">
        <v>241</v>
      </c>
      <c r="M50">
        <v>167.1161825726</v>
      </c>
      <c r="N50">
        <v>55</v>
      </c>
      <c r="O50">
        <v>198.07272727270001</v>
      </c>
      <c r="V50" t="s">
        <v>386</v>
      </c>
      <c r="W50">
        <v>5314</v>
      </c>
      <c r="X50">
        <v>3946</v>
      </c>
      <c r="Y50">
        <v>551.6768879878</v>
      </c>
      <c r="Z50">
        <v>240</v>
      </c>
      <c r="AA50">
        <v>1069.7083333333001</v>
      </c>
      <c r="AB50">
        <v>1040</v>
      </c>
      <c r="AC50">
        <v>826.37980769230001</v>
      </c>
      <c r="AD50">
        <v>235</v>
      </c>
      <c r="AE50">
        <v>639.08085106379997</v>
      </c>
      <c r="AF50">
        <v>90</v>
      </c>
      <c r="AG50">
        <v>164.25555555560001</v>
      </c>
      <c r="AH50">
        <v>3</v>
      </c>
      <c r="AI50">
        <v>554</v>
      </c>
      <c r="AL50" t="s">
        <v>386</v>
      </c>
      <c r="AM50">
        <v>82</v>
      </c>
      <c r="AN50">
        <v>62</v>
      </c>
      <c r="AO50">
        <v>207.5806451613</v>
      </c>
      <c r="AP50">
        <v>14</v>
      </c>
      <c r="AQ50">
        <v>298.71428571429999</v>
      </c>
      <c r="AR50">
        <v>17</v>
      </c>
      <c r="AS50">
        <v>239.9411764706</v>
      </c>
      <c r="AT50">
        <v>3</v>
      </c>
      <c r="AU50">
        <v>143.6666666667</v>
      </c>
    </row>
    <row r="51" spans="6:51" x14ac:dyDescent="0.2">
      <c r="F51" t="s">
        <v>217</v>
      </c>
      <c r="G51">
        <v>1921</v>
      </c>
      <c r="H51">
        <v>1605</v>
      </c>
      <c r="I51">
        <v>293.64236760120002</v>
      </c>
      <c r="J51">
        <v>222</v>
      </c>
      <c r="K51">
        <v>529.82882882880006</v>
      </c>
      <c r="L51">
        <v>284</v>
      </c>
      <c r="M51">
        <v>290.83802816899998</v>
      </c>
      <c r="N51">
        <v>32</v>
      </c>
      <c r="O51">
        <v>163.9375</v>
      </c>
      <c r="V51" t="s">
        <v>63</v>
      </c>
      <c r="W51">
        <v>5486</v>
      </c>
      <c r="X51">
        <v>3640</v>
      </c>
      <c r="Y51">
        <v>274.78021978020001</v>
      </c>
      <c r="Z51">
        <v>642</v>
      </c>
      <c r="AA51">
        <v>445.13862928349999</v>
      </c>
      <c r="AB51">
        <v>931</v>
      </c>
      <c r="AC51">
        <v>299.10955961330001</v>
      </c>
      <c r="AD51">
        <v>597</v>
      </c>
      <c r="AE51">
        <v>595.52596314909999</v>
      </c>
      <c r="AF51">
        <v>284</v>
      </c>
      <c r="AG51">
        <v>196.7535211268</v>
      </c>
      <c r="AH51">
        <v>34</v>
      </c>
      <c r="AI51">
        <v>598</v>
      </c>
      <c r="AL51" t="s">
        <v>63</v>
      </c>
      <c r="AM51">
        <v>250</v>
      </c>
      <c r="AN51">
        <v>206</v>
      </c>
      <c r="AO51">
        <v>277.81553398059998</v>
      </c>
      <c r="AP51">
        <v>47</v>
      </c>
      <c r="AQ51">
        <v>364.89361702129997</v>
      </c>
      <c r="AR51">
        <v>38</v>
      </c>
      <c r="AS51">
        <v>207.7105263158</v>
      </c>
      <c r="AT51">
        <v>5</v>
      </c>
      <c r="AU51">
        <v>178</v>
      </c>
      <c r="AV51">
        <v>1</v>
      </c>
      <c r="AW51">
        <v>1671</v>
      </c>
    </row>
    <row r="52" spans="6:51" x14ac:dyDescent="0.2">
      <c r="F52" t="s">
        <v>218</v>
      </c>
      <c r="G52">
        <v>2675</v>
      </c>
      <c r="H52">
        <v>2244</v>
      </c>
      <c r="I52">
        <v>249.9906417112</v>
      </c>
      <c r="J52">
        <v>389</v>
      </c>
      <c r="K52">
        <v>334.4910025707</v>
      </c>
      <c r="L52">
        <v>333</v>
      </c>
      <c r="M52">
        <v>231.3333333333</v>
      </c>
      <c r="N52">
        <v>97</v>
      </c>
      <c r="O52">
        <v>194.5670103093</v>
      </c>
      <c r="R52">
        <v>1</v>
      </c>
      <c r="S52">
        <v>271</v>
      </c>
      <c r="V52" t="s">
        <v>388</v>
      </c>
      <c r="W52">
        <v>14136</v>
      </c>
      <c r="X52">
        <v>9311</v>
      </c>
      <c r="Y52">
        <v>352.59295456989997</v>
      </c>
      <c r="Z52">
        <v>357</v>
      </c>
      <c r="AA52">
        <v>741.09243697479997</v>
      </c>
      <c r="AB52">
        <v>3768</v>
      </c>
      <c r="AC52">
        <v>776.51804670909996</v>
      </c>
      <c r="AD52">
        <v>711</v>
      </c>
      <c r="AE52">
        <v>530.01265822779999</v>
      </c>
      <c r="AF52">
        <v>342</v>
      </c>
      <c r="AG52">
        <v>173.66374269010001</v>
      </c>
      <c r="AH52">
        <v>4</v>
      </c>
      <c r="AI52">
        <v>97.25</v>
      </c>
      <c r="AL52" t="s">
        <v>388</v>
      </c>
      <c r="AM52">
        <v>170</v>
      </c>
      <c r="AN52">
        <v>141</v>
      </c>
      <c r="AO52">
        <v>225.3687943262</v>
      </c>
      <c r="AP52">
        <v>23</v>
      </c>
      <c r="AQ52">
        <v>300.86956521740001</v>
      </c>
      <c r="AR52">
        <v>22</v>
      </c>
      <c r="AS52">
        <v>257.04545454549998</v>
      </c>
      <c r="AT52">
        <v>7</v>
      </c>
      <c r="AU52">
        <v>214.42857142860001</v>
      </c>
    </row>
    <row r="53" spans="6:51" x14ac:dyDescent="0.2">
      <c r="F53" t="s">
        <v>472</v>
      </c>
      <c r="G53">
        <v>5647</v>
      </c>
      <c r="H53">
        <v>4604</v>
      </c>
      <c r="I53">
        <v>246.25608166809999</v>
      </c>
      <c r="J53">
        <v>1264</v>
      </c>
      <c r="K53">
        <v>314.19462025320001</v>
      </c>
      <c r="L53">
        <v>858</v>
      </c>
      <c r="M53">
        <v>232.99184149179999</v>
      </c>
      <c r="N53">
        <v>184</v>
      </c>
      <c r="O53">
        <v>190.28804347830001</v>
      </c>
      <c r="R53">
        <v>1</v>
      </c>
      <c r="S53">
        <v>271</v>
      </c>
      <c r="V53" t="s">
        <v>384</v>
      </c>
      <c r="W53">
        <v>4103</v>
      </c>
      <c r="X53">
        <v>2874</v>
      </c>
      <c r="Y53">
        <v>341.68754349340003</v>
      </c>
      <c r="Z53">
        <v>285</v>
      </c>
      <c r="AA53">
        <v>493.11228070179999</v>
      </c>
      <c r="AB53">
        <v>525</v>
      </c>
      <c r="AC53">
        <v>343.18476190479998</v>
      </c>
      <c r="AD53">
        <v>501</v>
      </c>
      <c r="AE53">
        <v>461.59281437129999</v>
      </c>
      <c r="AF53">
        <v>197</v>
      </c>
      <c r="AG53">
        <v>198.62944162439999</v>
      </c>
      <c r="AH53">
        <v>6</v>
      </c>
      <c r="AI53">
        <v>377</v>
      </c>
      <c r="AL53" t="s">
        <v>384</v>
      </c>
      <c r="AM53">
        <v>175</v>
      </c>
      <c r="AN53">
        <v>143</v>
      </c>
      <c r="AO53">
        <v>210.45454545449999</v>
      </c>
      <c r="AP53">
        <v>27</v>
      </c>
      <c r="AQ53">
        <v>272.9259259259</v>
      </c>
      <c r="AR53">
        <v>23</v>
      </c>
      <c r="AS53">
        <v>195.08695652169999</v>
      </c>
      <c r="AT53">
        <v>7</v>
      </c>
      <c r="AU53">
        <v>210.71428571429999</v>
      </c>
      <c r="AV53">
        <v>2</v>
      </c>
      <c r="AW53">
        <v>1007.5</v>
      </c>
    </row>
    <row r="54" spans="6:51" x14ac:dyDescent="0.2">
      <c r="F54" t="s">
        <v>81</v>
      </c>
      <c r="G54">
        <v>363</v>
      </c>
      <c r="H54">
        <v>251</v>
      </c>
      <c r="I54">
        <v>225.4860557769</v>
      </c>
      <c r="J54">
        <v>39</v>
      </c>
      <c r="K54">
        <v>335.02564102560001</v>
      </c>
      <c r="L54">
        <v>46</v>
      </c>
      <c r="M54">
        <v>328.86956521740001</v>
      </c>
      <c r="N54">
        <v>65</v>
      </c>
      <c r="O54">
        <v>258.64615384619998</v>
      </c>
      <c r="R54">
        <v>1</v>
      </c>
      <c r="S54">
        <v>206</v>
      </c>
      <c r="V54" t="s">
        <v>383</v>
      </c>
      <c r="W54">
        <v>946</v>
      </c>
      <c r="X54">
        <v>482</v>
      </c>
      <c r="Y54">
        <v>189.28215767629999</v>
      </c>
      <c r="Z54">
        <v>229</v>
      </c>
      <c r="AA54">
        <v>336.63755458520001</v>
      </c>
      <c r="AB54">
        <v>208</v>
      </c>
      <c r="AC54">
        <v>281.37980769230001</v>
      </c>
      <c r="AD54">
        <v>154</v>
      </c>
      <c r="AE54">
        <v>287.87012987010002</v>
      </c>
      <c r="AF54">
        <v>101</v>
      </c>
      <c r="AG54">
        <v>198.8811881188</v>
      </c>
      <c r="AH54">
        <v>1</v>
      </c>
      <c r="AI54">
        <v>99</v>
      </c>
      <c r="AL54" t="s">
        <v>383</v>
      </c>
      <c r="AM54">
        <v>58</v>
      </c>
      <c r="AN54">
        <v>54</v>
      </c>
      <c r="AO54">
        <v>232.9259259259</v>
      </c>
      <c r="AP54">
        <v>3</v>
      </c>
      <c r="AQ54">
        <v>213</v>
      </c>
      <c r="AR54">
        <v>4</v>
      </c>
      <c r="AS54">
        <v>167.25</v>
      </c>
    </row>
    <row r="55" spans="6:51" x14ac:dyDescent="0.2">
      <c r="F55" t="s">
        <v>38</v>
      </c>
      <c r="G55">
        <v>3398</v>
      </c>
      <c r="H55">
        <v>2265</v>
      </c>
      <c r="I55">
        <v>465.44768211920001</v>
      </c>
      <c r="J55">
        <v>298</v>
      </c>
      <c r="K55">
        <v>734.50671140940005</v>
      </c>
      <c r="L55">
        <v>819</v>
      </c>
      <c r="M55">
        <v>672.16483516480002</v>
      </c>
      <c r="N55">
        <v>304</v>
      </c>
      <c r="O55">
        <v>682.03289473680002</v>
      </c>
      <c r="R55">
        <v>10</v>
      </c>
      <c r="S55">
        <v>82.8</v>
      </c>
      <c r="V55" t="s">
        <v>385</v>
      </c>
      <c r="W55">
        <v>6577</v>
      </c>
      <c r="X55">
        <v>4402</v>
      </c>
      <c r="Y55">
        <v>378.43003180369999</v>
      </c>
      <c r="Z55">
        <v>364</v>
      </c>
      <c r="AA55">
        <v>533.35714285710003</v>
      </c>
      <c r="AB55">
        <v>933</v>
      </c>
      <c r="AC55">
        <v>539.59056806000001</v>
      </c>
      <c r="AD55">
        <v>909</v>
      </c>
      <c r="AE55">
        <v>639.63366336629997</v>
      </c>
      <c r="AF55">
        <v>326</v>
      </c>
      <c r="AG55">
        <v>173.07975460119999</v>
      </c>
      <c r="AH55">
        <v>7</v>
      </c>
      <c r="AI55">
        <v>499.42857142859998</v>
      </c>
      <c r="AL55" t="s">
        <v>385</v>
      </c>
      <c r="AM55">
        <v>284</v>
      </c>
      <c r="AN55">
        <v>238</v>
      </c>
      <c r="AO55">
        <v>248.49579831930001</v>
      </c>
      <c r="AP55">
        <v>42</v>
      </c>
      <c r="AQ55">
        <v>331.95238095240001</v>
      </c>
      <c r="AR55">
        <v>29</v>
      </c>
      <c r="AS55">
        <v>295.24137931029998</v>
      </c>
      <c r="AT55">
        <v>14</v>
      </c>
      <c r="AU55">
        <v>234.1428571429</v>
      </c>
      <c r="AV55">
        <v>3</v>
      </c>
      <c r="AW55">
        <v>205</v>
      </c>
    </row>
    <row r="56" spans="6:51" x14ac:dyDescent="0.2">
      <c r="F56" t="s">
        <v>64</v>
      </c>
      <c r="G56">
        <v>2694</v>
      </c>
      <c r="H56">
        <v>2111</v>
      </c>
      <c r="I56">
        <v>362.15348176219999</v>
      </c>
      <c r="J56">
        <v>170</v>
      </c>
      <c r="K56">
        <v>573.1764705882</v>
      </c>
      <c r="L56">
        <v>231</v>
      </c>
      <c r="M56">
        <v>100.5670995671</v>
      </c>
      <c r="N56">
        <v>350</v>
      </c>
      <c r="O56">
        <v>389.77714285709999</v>
      </c>
      <c r="R56">
        <v>2</v>
      </c>
      <c r="S56">
        <v>406.5</v>
      </c>
      <c r="V56" t="s">
        <v>382</v>
      </c>
      <c r="W56">
        <v>313</v>
      </c>
      <c r="X56">
        <v>125</v>
      </c>
      <c r="Y56">
        <v>128.768</v>
      </c>
      <c r="Z56">
        <v>78</v>
      </c>
      <c r="AA56">
        <v>215.358974359</v>
      </c>
      <c r="AB56">
        <v>85</v>
      </c>
      <c r="AC56">
        <v>151.6470588235</v>
      </c>
      <c r="AD56">
        <v>43</v>
      </c>
      <c r="AE56">
        <v>202.67441860470001</v>
      </c>
      <c r="AF56">
        <v>59</v>
      </c>
      <c r="AG56">
        <v>152.50847457629999</v>
      </c>
      <c r="AH56">
        <v>1</v>
      </c>
      <c r="AI56">
        <v>43</v>
      </c>
      <c r="AL56" t="s">
        <v>382</v>
      </c>
      <c r="AM56">
        <v>24</v>
      </c>
      <c r="AN56">
        <v>18</v>
      </c>
      <c r="AO56">
        <v>290.3333333333</v>
      </c>
      <c r="AP56">
        <v>3</v>
      </c>
      <c r="AQ56">
        <v>239</v>
      </c>
      <c r="AR56">
        <v>4</v>
      </c>
      <c r="AS56">
        <v>290.5</v>
      </c>
      <c r="AT56">
        <v>2</v>
      </c>
      <c r="AU56">
        <v>76.5</v>
      </c>
    </row>
    <row r="57" spans="6:51" x14ac:dyDescent="0.2">
      <c r="F57" t="s">
        <v>24</v>
      </c>
      <c r="G57">
        <v>1744</v>
      </c>
      <c r="H57">
        <v>1055</v>
      </c>
      <c r="I57">
        <v>226.92985781990001</v>
      </c>
      <c r="J57">
        <v>341</v>
      </c>
      <c r="K57">
        <v>279.91202346040001</v>
      </c>
      <c r="L57">
        <v>491</v>
      </c>
      <c r="M57">
        <v>309.97963340119998</v>
      </c>
      <c r="N57">
        <v>185</v>
      </c>
      <c r="O57">
        <v>494.51351351350002</v>
      </c>
      <c r="R57">
        <v>13</v>
      </c>
      <c r="S57">
        <v>562.76923076920002</v>
      </c>
      <c r="V57" t="s">
        <v>381</v>
      </c>
      <c r="W57">
        <v>3500</v>
      </c>
      <c r="X57">
        <v>2109</v>
      </c>
      <c r="Y57">
        <v>462.32622095779999</v>
      </c>
      <c r="Z57">
        <v>358</v>
      </c>
      <c r="AA57">
        <v>611.39106145250003</v>
      </c>
      <c r="AB57">
        <v>875</v>
      </c>
      <c r="AC57">
        <v>590.78971428570003</v>
      </c>
      <c r="AD57">
        <v>342</v>
      </c>
      <c r="AE57">
        <v>621.07894736840001</v>
      </c>
      <c r="AF57">
        <v>164</v>
      </c>
      <c r="AG57">
        <v>198.60975609760001</v>
      </c>
      <c r="AH57">
        <v>10</v>
      </c>
      <c r="AI57">
        <v>83.4</v>
      </c>
      <c r="AL57" t="s">
        <v>381</v>
      </c>
      <c r="AM57">
        <v>120</v>
      </c>
      <c r="AN57">
        <v>101</v>
      </c>
      <c r="AO57">
        <v>280.93069306929999</v>
      </c>
      <c r="AP57">
        <v>18</v>
      </c>
      <c r="AQ57">
        <v>358</v>
      </c>
      <c r="AR57">
        <v>14</v>
      </c>
      <c r="AS57">
        <v>275.42857142859998</v>
      </c>
      <c r="AT57">
        <v>5</v>
      </c>
      <c r="AU57">
        <v>169.2</v>
      </c>
    </row>
    <row r="58" spans="6:51" x14ac:dyDescent="0.2">
      <c r="F58" t="s">
        <v>72</v>
      </c>
      <c r="G58">
        <v>14229</v>
      </c>
      <c r="H58">
        <v>9502</v>
      </c>
      <c r="I58">
        <v>344.45032624710001</v>
      </c>
      <c r="J58">
        <v>364</v>
      </c>
      <c r="K58">
        <v>760.92307692309998</v>
      </c>
      <c r="L58">
        <v>4009</v>
      </c>
      <c r="M58">
        <v>788.41681217259998</v>
      </c>
      <c r="N58">
        <v>714</v>
      </c>
      <c r="O58">
        <v>527.16246498600003</v>
      </c>
      <c r="R58">
        <v>4</v>
      </c>
      <c r="S58">
        <v>97.25</v>
      </c>
      <c r="V58" t="s">
        <v>425</v>
      </c>
      <c r="W58">
        <v>695</v>
      </c>
      <c r="X58">
        <v>547</v>
      </c>
      <c r="Y58">
        <v>320.30347349179999</v>
      </c>
      <c r="Z58">
        <v>102</v>
      </c>
      <c r="AA58">
        <v>679.5</v>
      </c>
      <c r="AB58">
        <v>67</v>
      </c>
      <c r="AC58">
        <v>194.25373134329999</v>
      </c>
      <c r="AD58">
        <v>45</v>
      </c>
      <c r="AE58">
        <v>386.86666666669998</v>
      </c>
      <c r="AF58">
        <v>36</v>
      </c>
      <c r="AG58">
        <v>234.7777777778</v>
      </c>
      <c r="AL58" t="s">
        <v>425</v>
      </c>
      <c r="AM58">
        <v>20</v>
      </c>
      <c r="AN58">
        <v>18</v>
      </c>
      <c r="AO58">
        <v>282.7222222222</v>
      </c>
      <c r="AP58">
        <v>4</v>
      </c>
      <c r="AQ58">
        <v>206.25</v>
      </c>
      <c r="AR58">
        <v>2</v>
      </c>
      <c r="AS58">
        <v>183.5</v>
      </c>
    </row>
    <row r="59" spans="6:51" x14ac:dyDescent="0.2">
      <c r="F59" t="s">
        <v>47</v>
      </c>
      <c r="G59">
        <v>787</v>
      </c>
      <c r="H59">
        <v>452</v>
      </c>
      <c r="I59">
        <v>162.4269911504</v>
      </c>
      <c r="J59">
        <v>220</v>
      </c>
      <c r="K59">
        <v>326.7409090909</v>
      </c>
      <c r="L59">
        <v>192</v>
      </c>
      <c r="M59">
        <v>243.3697916667</v>
      </c>
      <c r="N59">
        <v>142</v>
      </c>
      <c r="O59">
        <v>259.4929577465</v>
      </c>
      <c r="R59">
        <v>1</v>
      </c>
      <c r="S59">
        <v>99</v>
      </c>
      <c r="V59" t="s">
        <v>389</v>
      </c>
      <c r="W59">
        <v>2361</v>
      </c>
      <c r="X59">
        <v>1529</v>
      </c>
      <c r="Y59">
        <v>349.63243950290001</v>
      </c>
      <c r="Z59">
        <v>283</v>
      </c>
      <c r="AA59">
        <v>465.89399293290001</v>
      </c>
      <c r="AB59">
        <v>198</v>
      </c>
      <c r="AC59">
        <v>269.80808080809999</v>
      </c>
      <c r="AD59">
        <v>481</v>
      </c>
      <c r="AE59">
        <v>458.8731808732</v>
      </c>
      <c r="AF59">
        <v>150</v>
      </c>
      <c r="AG59">
        <v>181.18</v>
      </c>
      <c r="AH59">
        <v>3</v>
      </c>
      <c r="AI59">
        <v>525.66666666670005</v>
      </c>
      <c r="AL59" t="s">
        <v>389</v>
      </c>
      <c r="AM59">
        <v>46</v>
      </c>
      <c r="AN59">
        <v>34</v>
      </c>
      <c r="AO59">
        <v>204.76470588239999</v>
      </c>
      <c r="AP59">
        <v>7</v>
      </c>
      <c r="AQ59">
        <v>544.85714285710003</v>
      </c>
      <c r="AR59">
        <v>9</v>
      </c>
      <c r="AS59">
        <v>149.55555555559999</v>
      </c>
      <c r="AT59">
        <v>3</v>
      </c>
      <c r="AU59">
        <v>132</v>
      </c>
    </row>
    <row r="60" spans="6:51" x14ac:dyDescent="0.2">
      <c r="F60" t="s">
        <v>63</v>
      </c>
      <c r="G60">
        <v>3395</v>
      </c>
      <c r="H60">
        <v>2524</v>
      </c>
      <c r="I60">
        <v>282.07725832009999</v>
      </c>
      <c r="J60">
        <v>309</v>
      </c>
      <c r="K60">
        <v>638.37216828479995</v>
      </c>
      <c r="L60">
        <v>417</v>
      </c>
      <c r="M60">
        <v>256.29976019179998</v>
      </c>
      <c r="N60">
        <v>431</v>
      </c>
      <c r="O60">
        <v>631.88167053359996</v>
      </c>
      <c r="R60">
        <v>23</v>
      </c>
      <c r="S60">
        <v>597.78260869569999</v>
      </c>
      <c r="V60" t="s">
        <v>392</v>
      </c>
      <c r="W60">
        <v>10375</v>
      </c>
      <c r="X60">
        <v>7409</v>
      </c>
      <c r="Y60">
        <v>262.66500202460003</v>
      </c>
      <c r="Z60">
        <v>802</v>
      </c>
      <c r="AA60">
        <v>473.79177057359999</v>
      </c>
      <c r="AB60">
        <v>1366</v>
      </c>
      <c r="AC60">
        <v>234.84919472909999</v>
      </c>
      <c r="AD60">
        <v>970</v>
      </c>
      <c r="AE60">
        <v>371.6082474227</v>
      </c>
      <c r="AF60">
        <v>616</v>
      </c>
      <c r="AG60">
        <v>162.9821428571</v>
      </c>
      <c r="AH60">
        <v>14</v>
      </c>
      <c r="AI60">
        <v>321.64285714290003</v>
      </c>
      <c r="AL60" t="s">
        <v>392</v>
      </c>
      <c r="AM60">
        <v>230</v>
      </c>
      <c r="AN60">
        <v>200</v>
      </c>
      <c r="AO60">
        <v>226.89500000000001</v>
      </c>
      <c r="AP60">
        <v>23</v>
      </c>
      <c r="AQ60">
        <v>304.04347826089997</v>
      </c>
      <c r="AR60">
        <v>18</v>
      </c>
      <c r="AS60">
        <v>281.3333333333</v>
      </c>
      <c r="AT60">
        <v>10</v>
      </c>
      <c r="AU60">
        <v>230.1</v>
      </c>
      <c r="AV60">
        <v>2</v>
      </c>
      <c r="AW60">
        <v>230</v>
      </c>
    </row>
    <row r="61" spans="6:51" x14ac:dyDescent="0.2">
      <c r="F61" t="s">
        <v>36</v>
      </c>
      <c r="G61">
        <v>5434</v>
      </c>
      <c r="H61">
        <v>4089</v>
      </c>
      <c r="I61">
        <v>572.23624358029997</v>
      </c>
      <c r="J61">
        <v>245</v>
      </c>
      <c r="K61">
        <v>1108.1387755102</v>
      </c>
      <c r="L61">
        <v>1091</v>
      </c>
      <c r="M61">
        <v>833.48670944089997</v>
      </c>
      <c r="N61">
        <v>250</v>
      </c>
      <c r="O61">
        <v>683.20799999999997</v>
      </c>
      <c r="R61">
        <v>4</v>
      </c>
      <c r="S61">
        <v>616.75</v>
      </c>
      <c r="V61" t="s">
        <v>424</v>
      </c>
      <c r="W61">
        <v>563</v>
      </c>
      <c r="X61">
        <v>344</v>
      </c>
      <c r="Y61">
        <v>365.13081395350002</v>
      </c>
      <c r="Z61">
        <v>16</v>
      </c>
      <c r="AA61">
        <v>838.5</v>
      </c>
      <c r="AB61">
        <v>171</v>
      </c>
      <c r="AC61">
        <v>886.94152046780005</v>
      </c>
      <c r="AD61">
        <v>35</v>
      </c>
      <c r="AE61">
        <v>558.08571428569996</v>
      </c>
      <c r="AF61">
        <v>13</v>
      </c>
      <c r="AG61">
        <v>201.07692307689999</v>
      </c>
      <c r="AL61" t="s">
        <v>424</v>
      </c>
      <c r="AM61">
        <v>12</v>
      </c>
      <c r="AN61">
        <v>11</v>
      </c>
      <c r="AO61">
        <v>174.54545454550001</v>
      </c>
      <c r="AR61">
        <v>1</v>
      </c>
      <c r="AS61">
        <v>46</v>
      </c>
    </row>
    <row r="62" spans="6:51" x14ac:dyDescent="0.2">
      <c r="F62" t="s">
        <v>50</v>
      </c>
      <c r="G62">
        <v>1988</v>
      </c>
      <c r="H62">
        <v>1370</v>
      </c>
      <c r="I62">
        <v>328.33868613139998</v>
      </c>
      <c r="J62">
        <v>281</v>
      </c>
      <c r="K62">
        <v>456.22064056940002</v>
      </c>
      <c r="L62">
        <v>166</v>
      </c>
      <c r="M62">
        <v>161.6445783133</v>
      </c>
      <c r="N62">
        <v>449</v>
      </c>
      <c r="O62">
        <v>428.5812917595</v>
      </c>
      <c r="R62">
        <v>3</v>
      </c>
      <c r="S62">
        <v>525.66666666670005</v>
      </c>
      <c r="V62" t="s">
        <v>379</v>
      </c>
      <c r="W62">
        <v>55502</v>
      </c>
      <c r="X62">
        <v>37400</v>
      </c>
      <c r="Y62">
        <v>352.68350267379998</v>
      </c>
      <c r="Z62">
        <v>3862</v>
      </c>
      <c r="AA62">
        <v>541.98135680990003</v>
      </c>
      <c r="AB62">
        <v>10368</v>
      </c>
      <c r="AC62">
        <v>574.93152006169998</v>
      </c>
      <c r="AD62">
        <v>5185</v>
      </c>
      <c r="AE62">
        <v>510.30318225650001</v>
      </c>
      <c r="AF62">
        <v>2462</v>
      </c>
      <c r="AG62">
        <v>178.5268074736</v>
      </c>
      <c r="AH62">
        <v>87</v>
      </c>
      <c r="AI62">
        <v>408.56321839079999</v>
      </c>
      <c r="AL62" t="s">
        <v>379</v>
      </c>
      <c r="AM62">
        <v>1521</v>
      </c>
      <c r="AN62">
        <v>1266</v>
      </c>
      <c r="AO62">
        <v>241.29067930490001</v>
      </c>
      <c r="AP62">
        <v>222</v>
      </c>
      <c r="AQ62">
        <v>325.29279279280001</v>
      </c>
      <c r="AR62">
        <v>183</v>
      </c>
      <c r="AS62">
        <v>236.9726775956</v>
      </c>
      <c r="AT62">
        <v>63</v>
      </c>
      <c r="AU62">
        <v>216.3650793651</v>
      </c>
      <c r="AV62">
        <v>8</v>
      </c>
      <c r="AW62">
        <v>595.125</v>
      </c>
      <c r="AX62">
        <v>1</v>
      </c>
      <c r="AY62">
        <v>271</v>
      </c>
    </row>
    <row r="63" spans="6:51" x14ac:dyDescent="0.2">
      <c r="F63" t="s">
        <v>57</v>
      </c>
      <c r="G63">
        <v>626</v>
      </c>
      <c r="H63">
        <v>518</v>
      </c>
      <c r="I63">
        <v>308.92277992279998</v>
      </c>
      <c r="J63">
        <v>100</v>
      </c>
      <c r="K63">
        <v>689.84</v>
      </c>
      <c r="L63">
        <v>61</v>
      </c>
      <c r="M63">
        <v>85.180327868899994</v>
      </c>
      <c r="N63">
        <v>47</v>
      </c>
      <c r="O63">
        <v>355.85106382980001</v>
      </c>
      <c r="V63" t="s">
        <v>708</v>
      </c>
      <c r="W63">
        <v>309034</v>
      </c>
      <c r="X63">
        <v>217162</v>
      </c>
      <c r="Y63">
        <v>399.11450898409998</v>
      </c>
      <c r="Z63">
        <v>17447</v>
      </c>
      <c r="AA63">
        <v>561.09789648649996</v>
      </c>
      <c r="AB63">
        <v>55395</v>
      </c>
      <c r="AC63">
        <v>622.84123115800003</v>
      </c>
      <c r="AD63">
        <v>23578</v>
      </c>
      <c r="AE63">
        <v>525.01908558829996</v>
      </c>
      <c r="AF63">
        <v>12475</v>
      </c>
      <c r="AG63">
        <v>185.63983967940001</v>
      </c>
      <c r="AH63">
        <v>424</v>
      </c>
      <c r="AI63">
        <v>438.77594339619998</v>
      </c>
      <c r="AL63" t="s">
        <v>708</v>
      </c>
      <c r="AM63">
        <v>5683</v>
      </c>
      <c r="AN63">
        <v>4604</v>
      </c>
      <c r="AO63">
        <v>246.25608166809999</v>
      </c>
      <c r="AP63">
        <v>1264</v>
      </c>
      <c r="AQ63">
        <v>314.19462025320001</v>
      </c>
      <c r="AR63">
        <v>858</v>
      </c>
      <c r="AS63">
        <v>232.99184149179999</v>
      </c>
      <c r="AT63">
        <v>184</v>
      </c>
      <c r="AU63">
        <v>190.28804347830001</v>
      </c>
      <c r="AV63">
        <v>36</v>
      </c>
      <c r="AW63">
        <v>286.6666666667</v>
      </c>
      <c r="AX63">
        <v>1</v>
      </c>
      <c r="AY63">
        <v>271</v>
      </c>
    </row>
    <row r="64" spans="6:51" x14ac:dyDescent="0.2">
      <c r="F64" t="s">
        <v>68</v>
      </c>
      <c r="G64">
        <v>4852</v>
      </c>
      <c r="H64">
        <v>3706</v>
      </c>
      <c r="I64">
        <v>545.42579600650004</v>
      </c>
      <c r="J64">
        <v>107</v>
      </c>
      <c r="K64">
        <v>1067.1588785046999</v>
      </c>
      <c r="L64">
        <v>270</v>
      </c>
      <c r="M64">
        <v>620.69259259260002</v>
      </c>
      <c r="N64">
        <v>874</v>
      </c>
      <c r="O64">
        <v>861.04919908470004</v>
      </c>
      <c r="R64">
        <v>2</v>
      </c>
      <c r="S64">
        <v>702.5</v>
      </c>
    </row>
    <row r="65" spans="6:19" x14ac:dyDescent="0.2">
      <c r="F65" t="s">
        <v>70</v>
      </c>
      <c r="G65">
        <v>453</v>
      </c>
      <c r="H65">
        <v>209</v>
      </c>
      <c r="I65">
        <v>114.31578947369999</v>
      </c>
      <c r="J65">
        <v>160</v>
      </c>
      <c r="K65">
        <v>204.60624999999999</v>
      </c>
      <c r="L65">
        <v>165</v>
      </c>
      <c r="M65">
        <v>115.6424242424</v>
      </c>
      <c r="N65">
        <v>77</v>
      </c>
      <c r="O65">
        <v>191.87012987009999</v>
      </c>
      <c r="R65">
        <v>2</v>
      </c>
      <c r="S65">
        <v>33</v>
      </c>
    </row>
    <row r="66" spans="6:19" x14ac:dyDescent="0.2">
      <c r="F66" t="s">
        <v>85</v>
      </c>
      <c r="G66">
        <v>180</v>
      </c>
      <c r="H66">
        <v>54</v>
      </c>
      <c r="I66">
        <v>1029.7407407406999</v>
      </c>
      <c r="J66">
        <v>12</v>
      </c>
      <c r="K66">
        <v>1102.4166666666999</v>
      </c>
      <c r="L66">
        <v>72</v>
      </c>
      <c r="M66">
        <v>606.33333333329995</v>
      </c>
      <c r="N66">
        <v>54</v>
      </c>
      <c r="O66">
        <v>633.74074074069995</v>
      </c>
    </row>
    <row r="67" spans="6:19" x14ac:dyDescent="0.2">
      <c r="F67" t="s">
        <v>66</v>
      </c>
      <c r="G67">
        <v>4947</v>
      </c>
      <c r="H67">
        <v>3277</v>
      </c>
      <c r="I67">
        <v>240.14220323469999</v>
      </c>
      <c r="J67">
        <v>457</v>
      </c>
      <c r="K67">
        <v>412.76586433260002</v>
      </c>
      <c r="L67">
        <v>1049</v>
      </c>
      <c r="M67">
        <v>502.48427073400001</v>
      </c>
      <c r="N67">
        <v>611</v>
      </c>
      <c r="O67">
        <v>584.12274959080003</v>
      </c>
      <c r="R67">
        <v>10</v>
      </c>
      <c r="S67">
        <v>326.10000000000002</v>
      </c>
    </row>
    <row r="68" spans="6:19" x14ac:dyDescent="0.2">
      <c r="F68" t="s">
        <v>440</v>
      </c>
      <c r="G68">
        <v>9</v>
      </c>
      <c r="H68">
        <v>3</v>
      </c>
      <c r="I68">
        <v>392</v>
      </c>
      <c r="L68">
        <v>2</v>
      </c>
      <c r="M68">
        <v>1170.5</v>
      </c>
      <c r="N68">
        <v>3</v>
      </c>
      <c r="O68">
        <v>59.333333333299997</v>
      </c>
      <c r="R68">
        <v>1</v>
      </c>
      <c r="S68">
        <v>227</v>
      </c>
    </row>
    <row r="69" spans="6:19" x14ac:dyDescent="0.2">
      <c r="F69" t="s">
        <v>86</v>
      </c>
      <c r="G69">
        <v>9436</v>
      </c>
      <c r="H69">
        <v>7190</v>
      </c>
      <c r="I69">
        <v>251.2407510431</v>
      </c>
      <c r="J69">
        <v>789</v>
      </c>
      <c r="K69">
        <v>467.85171102660001</v>
      </c>
      <c r="L69">
        <v>1283</v>
      </c>
      <c r="M69">
        <v>193.18316445830001</v>
      </c>
      <c r="N69">
        <v>949</v>
      </c>
      <c r="O69">
        <v>353.53213909380003</v>
      </c>
      <c r="R69">
        <v>14</v>
      </c>
      <c r="S69">
        <v>321.64285714290003</v>
      </c>
    </row>
    <row r="70" spans="6:19" x14ac:dyDescent="0.2">
      <c r="F70" t="s">
        <v>141</v>
      </c>
      <c r="G70">
        <v>205</v>
      </c>
      <c r="H70">
        <v>116</v>
      </c>
      <c r="I70">
        <v>191.35344827590001</v>
      </c>
      <c r="J70">
        <v>20</v>
      </c>
      <c r="K70">
        <v>289.89999999999998</v>
      </c>
      <c r="L70">
        <v>43</v>
      </c>
      <c r="M70">
        <v>487.62790697669999</v>
      </c>
      <c r="N70">
        <v>46</v>
      </c>
      <c r="O70">
        <v>452.78260869569999</v>
      </c>
    </row>
    <row r="71" spans="6:19" x14ac:dyDescent="0.2">
      <c r="F71" t="s">
        <v>379</v>
      </c>
      <c r="G71">
        <v>54740</v>
      </c>
      <c r="H71">
        <v>38692</v>
      </c>
      <c r="I71">
        <v>357.70717460970002</v>
      </c>
      <c r="J71">
        <v>3912</v>
      </c>
      <c r="K71">
        <v>553.00357873209998</v>
      </c>
      <c r="L71">
        <v>10407</v>
      </c>
      <c r="M71">
        <v>578.97424810220002</v>
      </c>
      <c r="N71">
        <v>5551</v>
      </c>
      <c r="O71">
        <v>546.30877319399997</v>
      </c>
      <c r="R71">
        <v>90</v>
      </c>
      <c r="S71">
        <v>410.06666666669997</v>
      </c>
    </row>
    <row r="72" spans="6:19" x14ac:dyDescent="0.2">
      <c r="F72" t="s">
        <v>708</v>
      </c>
      <c r="G72">
        <v>314717</v>
      </c>
      <c r="H72">
        <v>221766</v>
      </c>
      <c r="I72">
        <v>395.94107302290001</v>
      </c>
      <c r="J72">
        <v>18711</v>
      </c>
      <c r="K72">
        <v>544.41863075200001</v>
      </c>
      <c r="L72">
        <v>56253</v>
      </c>
      <c r="M72">
        <v>616.89504559759996</v>
      </c>
      <c r="N72">
        <v>23762</v>
      </c>
      <c r="O72">
        <v>522.42711051260005</v>
      </c>
      <c r="P72">
        <v>12511</v>
      </c>
      <c r="Q72">
        <v>185.9305411238</v>
      </c>
      <c r="R72">
        <v>425</v>
      </c>
      <c r="S72">
        <v>438.3811764706</v>
      </c>
    </row>
  </sheetData>
  <sheetProtection autoFilter="0"/>
  <pageMargins left="0.7" right="0.7" top="0.75" bottom="0.75" header="0.3" footer="0.3"/>
  <pageSetup orientation="portrait" r:id="rId1"/>
  <tableParts count="4">
    <tablePart r:id="rId2"/>
    <tablePart r:id="rId3"/>
    <tablePart r:id="rId4"/>
    <tablePart r:id="rId5"/>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R106"/>
  <sheetViews>
    <sheetView zoomScale="70" zoomScaleNormal="70" workbookViewId="0"/>
  </sheetViews>
  <sheetFormatPr defaultRowHeight="12.75" x14ac:dyDescent="0.2"/>
  <cols>
    <col min="1" max="1" width="10.140625" bestFit="1" customWidth="1"/>
    <col min="2" max="2" width="27.28515625" bestFit="1" customWidth="1"/>
    <col min="3" max="3" width="8.5703125" bestFit="1" customWidth="1"/>
    <col min="4" max="4" width="19.140625" bestFit="1" customWidth="1"/>
    <col min="5" max="5" width="10.28515625" bestFit="1" customWidth="1"/>
    <col min="6" max="6" width="34" bestFit="1" customWidth="1"/>
    <col min="7" max="7" width="11.5703125" bestFit="1" customWidth="1"/>
    <col min="8" max="8" width="14" bestFit="1" customWidth="1"/>
    <col min="9" max="9" width="14.42578125" bestFit="1" customWidth="1"/>
    <col min="10" max="10" width="10.28515625" bestFit="1" customWidth="1"/>
    <col min="11" max="11" width="13.140625" bestFit="1" customWidth="1"/>
    <col min="12" max="12" width="11.140625" bestFit="1" customWidth="1"/>
    <col min="13" max="13" width="12.5703125" bestFit="1" customWidth="1"/>
    <col min="14" max="14" width="18.7109375" bestFit="1" customWidth="1"/>
    <col min="15" max="15" width="10.5703125" bestFit="1" customWidth="1"/>
    <col min="16" max="16" width="12.42578125" bestFit="1" customWidth="1"/>
    <col min="17" max="17" width="10.140625" bestFit="1" customWidth="1"/>
    <col min="18" max="18" width="12.5703125" bestFit="1" customWidth="1"/>
  </cols>
  <sheetData>
    <row r="1" spans="1:18" x14ac:dyDescent="0.2">
      <c r="A1" t="s">
        <v>504</v>
      </c>
      <c r="B1" t="s">
        <v>376</v>
      </c>
      <c r="C1" t="s">
        <v>503</v>
      </c>
      <c r="D1" t="s">
        <v>505</v>
      </c>
      <c r="E1" t="s">
        <v>506</v>
      </c>
      <c r="F1" t="s">
        <v>507</v>
      </c>
      <c r="G1" t="s">
        <v>508</v>
      </c>
      <c r="H1" t="s">
        <v>509</v>
      </c>
      <c r="I1" t="s">
        <v>510</v>
      </c>
      <c r="J1" t="s">
        <v>511</v>
      </c>
      <c r="K1" t="s">
        <v>512</v>
      </c>
      <c r="L1" t="s">
        <v>377</v>
      </c>
      <c r="M1" t="s">
        <v>513</v>
      </c>
      <c r="N1" t="s">
        <v>514</v>
      </c>
      <c r="O1" t="s">
        <v>515</v>
      </c>
      <c r="P1" t="s">
        <v>516</v>
      </c>
      <c r="Q1" t="s">
        <v>517</v>
      </c>
      <c r="R1" t="s">
        <v>688</v>
      </c>
    </row>
    <row r="2" spans="1:18" x14ac:dyDescent="0.2">
      <c r="A2">
        <v>1</v>
      </c>
      <c r="B2">
        <v>-99</v>
      </c>
      <c r="C2" t="s">
        <v>447</v>
      </c>
      <c r="D2" t="s">
        <v>6</v>
      </c>
      <c r="E2" t="s">
        <v>447</v>
      </c>
      <c r="F2" t="s">
        <v>708</v>
      </c>
      <c r="G2" t="s">
        <v>447</v>
      </c>
      <c r="H2" t="s">
        <v>6</v>
      </c>
      <c r="I2">
        <v>-99</v>
      </c>
      <c r="J2">
        <v>1</v>
      </c>
      <c r="K2" t="s">
        <v>6</v>
      </c>
      <c r="L2">
        <v>-99</v>
      </c>
      <c r="M2" t="s">
        <v>664</v>
      </c>
      <c r="N2" t="s">
        <v>664</v>
      </c>
      <c r="O2">
        <v>-99</v>
      </c>
      <c r="P2">
        <v>-99</v>
      </c>
      <c r="Q2">
        <v>1</v>
      </c>
      <c r="R2" t="s">
        <v>664</v>
      </c>
    </row>
    <row r="3" spans="1:18" x14ac:dyDescent="0.2">
      <c r="A3">
        <v>2</v>
      </c>
      <c r="B3">
        <v>-99</v>
      </c>
      <c r="C3" t="s">
        <v>448</v>
      </c>
      <c r="D3" t="s">
        <v>6</v>
      </c>
      <c r="E3" t="s">
        <v>448</v>
      </c>
      <c r="F3" t="s">
        <v>1048</v>
      </c>
      <c r="G3" t="s">
        <v>447</v>
      </c>
      <c r="H3" t="s">
        <v>6</v>
      </c>
      <c r="I3">
        <v>-99</v>
      </c>
      <c r="J3">
        <v>1</v>
      </c>
      <c r="K3" t="s">
        <v>6</v>
      </c>
      <c r="L3">
        <v>-99</v>
      </c>
      <c r="M3" t="s">
        <v>664</v>
      </c>
      <c r="N3" t="s">
        <v>664</v>
      </c>
      <c r="O3">
        <v>-99</v>
      </c>
      <c r="P3">
        <v>-99</v>
      </c>
      <c r="Q3">
        <v>1</v>
      </c>
      <c r="R3" t="s">
        <v>664</v>
      </c>
    </row>
    <row r="4" spans="1:18" x14ac:dyDescent="0.2">
      <c r="A4">
        <v>3</v>
      </c>
      <c r="B4">
        <v>-99</v>
      </c>
      <c r="C4" t="s">
        <v>665</v>
      </c>
      <c r="D4" t="s">
        <v>6</v>
      </c>
      <c r="E4" t="s">
        <v>665</v>
      </c>
      <c r="F4" t="s">
        <v>1050</v>
      </c>
      <c r="G4" t="s">
        <v>447</v>
      </c>
      <c r="H4" t="s">
        <v>6</v>
      </c>
      <c r="I4">
        <v>-99</v>
      </c>
      <c r="J4">
        <v>1</v>
      </c>
      <c r="K4" t="s">
        <v>6</v>
      </c>
      <c r="L4">
        <v>-99</v>
      </c>
      <c r="M4" t="s">
        <v>664</v>
      </c>
      <c r="N4" t="s">
        <v>664</v>
      </c>
      <c r="O4">
        <v>-99</v>
      </c>
      <c r="P4">
        <v>-99</v>
      </c>
      <c r="Q4">
        <v>1</v>
      </c>
      <c r="R4" t="s">
        <v>216</v>
      </c>
    </row>
    <row r="5" spans="1:18" x14ac:dyDescent="0.2">
      <c r="A5">
        <v>4</v>
      </c>
      <c r="B5">
        <v>-99</v>
      </c>
      <c r="C5" t="s">
        <v>449</v>
      </c>
      <c r="D5" t="s">
        <v>6</v>
      </c>
      <c r="E5" t="s">
        <v>449</v>
      </c>
      <c r="F5" t="s">
        <v>1056</v>
      </c>
      <c r="G5" t="s">
        <v>447</v>
      </c>
      <c r="H5" t="s">
        <v>6</v>
      </c>
      <c r="I5">
        <v>-99</v>
      </c>
      <c r="J5">
        <v>1</v>
      </c>
      <c r="K5" t="s">
        <v>6</v>
      </c>
      <c r="L5">
        <v>-99</v>
      </c>
      <c r="M5" t="s">
        <v>664</v>
      </c>
      <c r="N5" t="s">
        <v>664</v>
      </c>
      <c r="O5">
        <v>-99</v>
      </c>
      <c r="P5">
        <v>-99</v>
      </c>
      <c r="Q5">
        <v>1</v>
      </c>
      <c r="R5" t="s">
        <v>693</v>
      </c>
    </row>
    <row r="6" spans="1:18" x14ac:dyDescent="0.2">
      <c r="A6">
        <v>5</v>
      </c>
      <c r="B6">
        <v>-99</v>
      </c>
      <c r="C6" t="s">
        <v>450</v>
      </c>
      <c r="D6" t="s">
        <v>6</v>
      </c>
      <c r="E6" t="s">
        <v>450</v>
      </c>
      <c r="F6" t="s">
        <v>705</v>
      </c>
      <c r="G6" t="s">
        <v>447</v>
      </c>
      <c r="H6" t="s">
        <v>6</v>
      </c>
      <c r="I6">
        <v>-99</v>
      </c>
      <c r="J6">
        <v>1</v>
      </c>
      <c r="K6" t="s">
        <v>6</v>
      </c>
      <c r="L6">
        <v>-99</v>
      </c>
      <c r="M6" t="s">
        <v>664</v>
      </c>
      <c r="N6" t="s">
        <v>664</v>
      </c>
      <c r="O6">
        <v>-99</v>
      </c>
      <c r="P6">
        <v>-99</v>
      </c>
      <c r="Q6">
        <v>1</v>
      </c>
      <c r="R6" t="s">
        <v>689</v>
      </c>
    </row>
    <row r="7" spans="1:18" x14ac:dyDescent="0.2">
      <c r="A7">
        <v>6</v>
      </c>
      <c r="B7">
        <v>-99</v>
      </c>
      <c r="C7" t="s">
        <v>451</v>
      </c>
      <c r="D7" t="s">
        <v>6</v>
      </c>
      <c r="E7" t="s">
        <v>451</v>
      </c>
      <c r="F7" t="s">
        <v>1051</v>
      </c>
      <c r="G7" t="s">
        <v>447</v>
      </c>
      <c r="H7" t="s">
        <v>6</v>
      </c>
      <c r="I7">
        <v>-99</v>
      </c>
      <c r="J7">
        <v>1</v>
      </c>
      <c r="K7" t="s">
        <v>6</v>
      </c>
      <c r="L7">
        <v>-99</v>
      </c>
      <c r="M7" t="s">
        <v>664</v>
      </c>
      <c r="N7" t="s">
        <v>664</v>
      </c>
      <c r="O7">
        <v>-99</v>
      </c>
      <c r="P7">
        <v>-99</v>
      </c>
      <c r="Q7">
        <v>1</v>
      </c>
      <c r="R7" t="s">
        <v>690</v>
      </c>
    </row>
    <row r="8" spans="1:18" x14ac:dyDescent="0.2">
      <c r="A8">
        <v>7</v>
      </c>
      <c r="B8">
        <v>-99</v>
      </c>
      <c r="C8" t="s">
        <v>452</v>
      </c>
      <c r="D8" t="s">
        <v>6</v>
      </c>
      <c r="E8" t="s">
        <v>452</v>
      </c>
      <c r="F8" t="s">
        <v>1057</v>
      </c>
      <c r="G8" t="s">
        <v>447</v>
      </c>
      <c r="H8" t="s">
        <v>6</v>
      </c>
      <c r="I8">
        <v>-99</v>
      </c>
      <c r="J8">
        <v>1</v>
      </c>
      <c r="K8" t="s">
        <v>6</v>
      </c>
      <c r="L8">
        <v>-99</v>
      </c>
      <c r="M8" t="s">
        <v>664</v>
      </c>
      <c r="N8" t="s">
        <v>664</v>
      </c>
      <c r="O8">
        <v>-99</v>
      </c>
      <c r="P8">
        <v>-99</v>
      </c>
      <c r="Q8">
        <v>1</v>
      </c>
      <c r="R8" t="s">
        <v>691</v>
      </c>
    </row>
    <row r="9" spans="1:18" x14ac:dyDescent="0.2">
      <c r="A9">
        <v>8</v>
      </c>
      <c r="B9">
        <v>-99</v>
      </c>
      <c r="C9" t="s">
        <v>453</v>
      </c>
      <c r="D9" t="s">
        <v>6</v>
      </c>
      <c r="E9" t="s">
        <v>453</v>
      </c>
      <c r="F9" t="s">
        <v>1058</v>
      </c>
      <c r="G9" t="s">
        <v>447</v>
      </c>
      <c r="H9" t="s">
        <v>6</v>
      </c>
      <c r="I9">
        <v>-99</v>
      </c>
      <c r="J9">
        <v>1</v>
      </c>
      <c r="K9" t="s">
        <v>6</v>
      </c>
      <c r="L9">
        <v>-99</v>
      </c>
      <c r="M9" t="s">
        <v>664</v>
      </c>
      <c r="N9" t="s">
        <v>664</v>
      </c>
      <c r="O9">
        <v>-99</v>
      </c>
      <c r="P9">
        <v>-99</v>
      </c>
      <c r="Q9">
        <v>1</v>
      </c>
      <c r="R9" t="s">
        <v>408</v>
      </c>
    </row>
    <row r="10" spans="1:18" x14ac:dyDescent="0.2">
      <c r="A10">
        <v>9</v>
      </c>
      <c r="B10">
        <v>-99</v>
      </c>
      <c r="C10" t="s">
        <v>454</v>
      </c>
      <c r="D10" t="s">
        <v>6</v>
      </c>
      <c r="E10" t="s">
        <v>454</v>
      </c>
      <c r="F10" t="s">
        <v>1059</v>
      </c>
      <c r="G10" t="s">
        <v>447</v>
      </c>
      <c r="H10" t="s">
        <v>6</v>
      </c>
      <c r="I10">
        <v>-99</v>
      </c>
      <c r="J10">
        <v>1</v>
      </c>
      <c r="K10" t="s">
        <v>6</v>
      </c>
      <c r="L10">
        <v>-99</v>
      </c>
      <c r="M10" t="s">
        <v>664</v>
      </c>
      <c r="N10" t="s">
        <v>664</v>
      </c>
      <c r="O10">
        <v>-99</v>
      </c>
      <c r="P10">
        <v>-99</v>
      </c>
      <c r="Q10">
        <v>1</v>
      </c>
      <c r="R10" t="s">
        <v>694</v>
      </c>
    </row>
    <row r="11" spans="1:18" x14ac:dyDescent="0.2">
      <c r="A11">
        <v>10</v>
      </c>
      <c r="B11">
        <v>-99</v>
      </c>
      <c r="C11" t="s">
        <v>455</v>
      </c>
      <c r="D11" t="s">
        <v>6</v>
      </c>
      <c r="E11" t="s">
        <v>455</v>
      </c>
      <c r="F11" t="s">
        <v>1060</v>
      </c>
      <c r="G11" t="s">
        <v>447</v>
      </c>
      <c r="H11" t="s">
        <v>6</v>
      </c>
      <c r="I11">
        <v>-99</v>
      </c>
      <c r="J11">
        <v>1</v>
      </c>
      <c r="K11" t="s">
        <v>6</v>
      </c>
      <c r="L11">
        <v>-99</v>
      </c>
      <c r="M11" t="s">
        <v>664</v>
      </c>
      <c r="N11" t="s">
        <v>664</v>
      </c>
      <c r="O11">
        <v>-99</v>
      </c>
      <c r="P11">
        <v>-99</v>
      </c>
      <c r="Q11">
        <v>1</v>
      </c>
      <c r="R11" t="s">
        <v>664</v>
      </c>
    </row>
    <row r="12" spans="1:18" x14ac:dyDescent="0.2">
      <c r="A12">
        <v>11</v>
      </c>
      <c r="B12">
        <v>-99</v>
      </c>
      <c r="C12" t="s">
        <v>457</v>
      </c>
      <c r="D12" t="s">
        <v>518</v>
      </c>
      <c r="E12" t="s">
        <v>666</v>
      </c>
      <c r="F12" t="s">
        <v>135</v>
      </c>
      <c r="G12" t="s">
        <v>666</v>
      </c>
      <c r="H12" t="s">
        <v>380</v>
      </c>
      <c r="I12">
        <v>-99</v>
      </c>
      <c r="J12">
        <v>-99</v>
      </c>
      <c r="K12" t="s">
        <v>664</v>
      </c>
      <c r="L12">
        <v>-99</v>
      </c>
      <c r="M12" t="s">
        <v>664</v>
      </c>
      <c r="N12" t="s">
        <v>664</v>
      </c>
      <c r="O12">
        <v>-99</v>
      </c>
      <c r="P12">
        <v>-99</v>
      </c>
      <c r="Q12">
        <v>2</v>
      </c>
      <c r="R12" t="s">
        <v>664</v>
      </c>
    </row>
    <row r="13" spans="1:18" x14ac:dyDescent="0.2">
      <c r="A13">
        <v>12</v>
      </c>
      <c r="B13">
        <v>-99</v>
      </c>
      <c r="C13" t="s">
        <v>459</v>
      </c>
      <c r="D13" t="s">
        <v>518</v>
      </c>
      <c r="E13" t="s">
        <v>667</v>
      </c>
      <c r="F13" t="s">
        <v>136</v>
      </c>
      <c r="G13" t="s">
        <v>667</v>
      </c>
      <c r="H13" t="s">
        <v>387</v>
      </c>
      <c r="I13">
        <v>-99</v>
      </c>
      <c r="J13">
        <v>-99</v>
      </c>
      <c r="K13" t="s">
        <v>664</v>
      </c>
      <c r="L13">
        <v>-99</v>
      </c>
      <c r="M13" t="s">
        <v>664</v>
      </c>
      <c r="N13" t="s">
        <v>664</v>
      </c>
      <c r="O13">
        <v>-99</v>
      </c>
      <c r="P13">
        <v>-99</v>
      </c>
      <c r="Q13">
        <v>2</v>
      </c>
      <c r="R13" t="s">
        <v>664</v>
      </c>
    </row>
    <row r="14" spans="1:18" x14ac:dyDescent="0.2">
      <c r="A14">
        <v>13</v>
      </c>
      <c r="B14">
        <v>-99</v>
      </c>
      <c r="C14" t="s">
        <v>462</v>
      </c>
      <c r="D14" t="s">
        <v>518</v>
      </c>
      <c r="E14" t="s">
        <v>668</v>
      </c>
      <c r="F14" t="s">
        <v>137</v>
      </c>
      <c r="G14" t="s">
        <v>668</v>
      </c>
      <c r="H14" t="s">
        <v>396</v>
      </c>
      <c r="I14">
        <v>-99</v>
      </c>
      <c r="J14">
        <v>-99</v>
      </c>
      <c r="K14" t="s">
        <v>664</v>
      </c>
      <c r="L14">
        <v>-99</v>
      </c>
      <c r="M14" t="s">
        <v>664</v>
      </c>
      <c r="N14" t="s">
        <v>664</v>
      </c>
      <c r="O14">
        <v>-99</v>
      </c>
      <c r="P14">
        <v>-99</v>
      </c>
      <c r="Q14">
        <v>2</v>
      </c>
      <c r="R14" t="s">
        <v>664</v>
      </c>
    </row>
    <row r="15" spans="1:18" x14ac:dyDescent="0.2">
      <c r="A15">
        <v>14</v>
      </c>
      <c r="B15">
        <v>-99</v>
      </c>
      <c r="C15" t="s">
        <v>669</v>
      </c>
      <c r="D15" t="s">
        <v>518</v>
      </c>
      <c r="E15" t="s">
        <v>670</v>
      </c>
      <c r="F15" t="s">
        <v>138</v>
      </c>
      <c r="G15" t="s">
        <v>670</v>
      </c>
      <c r="H15" t="s">
        <v>412</v>
      </c>
      <c r="I15">
        <v>-99</v>
      </c>
      <c r="J15">
        <v>-99</v>
      </c>
      <c r="K15" t="s">
        <v>664</v>
      </c>
      <c r="L15">
        <v>-99</v>
      </c>
      <c r="M15" t="s">
        <v>664</v>
      </c>
      <c r="N15" t="s">
        <v>664</v>
      </c>
      <c r="O15">
        <v>-99</v>
      </c>
      <c r="P15">
        <v>-99</v>
      </c>
      <c r="Q15">
        <v>2</v>
      </c>
      <c r="R15" t="s">
        <v>664</v>
      </c>
    </row>
    <row r="16" spans="1:18" x14ac:dyDescent="0.2">
      <c r="A16">
        <v>15</v>
      </c>
      <c r="B16">
        <v>-99</v>
      </c>
      <c r="C16" t="s">
        <v>671</v>
      </c>
      <c r="D16" t="s">
        <v>446</v>
      </c>
      <c r="E16" t="s">
        <v>672</v>
      </c>
      <c r="F16" t="s">
        <v>439</v>
      </c>
      <c r="G16" t="s">
        <v>664</v>
      </c>
      <c r="H16" t="s">
        <v>664</v>
      </c>
      <c r="I16">
        <v>-99</v>
      </c>
      <c r="J16">
        <v>30</v>
      </c>
      <c r="K16" t="s">
        <v>379</v>
      </c>
      <c r="L16">
        <v>-99</v>
      </c>
      <c r="M16" t="s">
        <v>664</v>
      </c>
      <c r="N16" t="s">
        <v>664</v>
      </c>
      <c r="O16">
        <v>-99</v>
      </c>
      <c r="P16">
        <v>-99</v>
      </c>
      <c r="Q16">
        <v>3</v>
      </c>
      <c r="R16" t="s">
        <v>664</v>
      </c>
    </row>
    <row r="17" spans="1:18" x14ac:dyDescent="0.2">
      <c r="A17">
        <v>16</v>
      </c>
      <c r="B17">
        <v>-99</v>
      </c>
      <c r="C17" t="s">
        <v>673</v>
      </c>
      <c r="D17" t="s">
        <v>446</v>
      </c>
      <c r="E17" t="s">
        <v>671</v>
      </c>
      <c r="F17" t="s">
        <v>445</v>
      </c>
      <c r="G17" t="s">
        <v>664</v>
      </c>
      <c r="H17" t="s">
        <v>664</v>
      </c>
      <c r="I17">
        <v>-99</v>
      </c>
      <c r="J17">
        <v>31</v>
      </c>
      <c r="K17" t="s">
        <v>390</v>
      </c>
      <c r="L17">
        <v>-99</v>
      </c>
      <c r="M17" t="s">
        <v>664</v>
      </c>
      <c r="N17" t="s">
        <v>664</v>
      </c>
      <c r="O17">
        <v>-99</v>
      </c>
      <c r="P17">
        <v>-99</v>
      </c>
      <c r="Q17">
        <v>3</v>
      </c>
      <c r="R17" t="s">
        <v>664</v>
      </c>
    </row>
    <row r="18" spans="1:18" x14ac:dyDescent="0.2">
      <c r="A18">
        <v>17</v>
      </c>
      <c r="B18">
        <v>-99</v>
      </c>
      <c r="C18" t="s">
        <v>674</v>
      </c>
      <c r="D18" t="s">
        <v>446</v>
      </c>
      <c r="E18" t="s">
        <v>673</v>
      </c>
      <c r="F18" t="s">
        <v>443</v>
      </c>
      <c r="G18" t="s">
        <v>664</v>
      </c>
      <c r="H18" t="s">
        <v>664</v>
      </c>
      <c r="I18">
        <v>-99</v>
      </c>
      <c r="J18">
        <v>32</v>
      </c>
      <c r="K18" t="s">
        <v>400</v>
      </c>
      <c r="L18">
        <v>-99</v>
      </c>
      <c r="M18" t="s">
        <v>664</v>
      </c>
      <c r="N18" t="s">
        <v>664</v>
      </c>
      <c r="O18">
        <v>-99</v>
      </c>
      <c r="P18">
        <v>-99</v>
      </c>
      <c r="Q18">
        <v>3</v>
      </c>
      <c r="R18" t="s">
        <v>664</v>
      </c>
    </row>
    <row r="19" spans="1:18" x14ac:dyDescent="0.2">
      <c r="A19">
        <v>18</v>
      </c>
      <c r="B19">
        <v>-99</v>
      </c>
      <c r="C19" t="s">
        <v>675</v>
      </c>
      <c r="D19" t="s">
        <v>446</v>
      </c>
      <c r="E19" t="s">
        <v>674</v>
      </c>
      <c r="F19" t="s">
        <v>442</v>
      </c>
      <c r="G19" t="s">
        <v>664</v>
      </c>
      <c r="H19" t="s">
        <v>664</v>
      </c>
      <c r="I19">
        <v>-99</v>
      </c>
      <c r="J19">
        <v>33</v>
      </c>
      <c r="K19" t="s">
        <v>395</v>
      </c>
      <c r="L19">
        <v>-99</v>
      </c>
      <c r="M19" t="s">
        <v>664</v>
      </c>
      <c r="N19" t="s">
        <v>664</v>
      </c>
      <c r="O19">
        <v>-99</v>
      </c>
      <c r="P19">
        <v>-99</v>
      </c>
      <c r="Q19">
        <v>3</v>
      </c>
      <c r="R19" t="s">
        <v>664</v>
      </c>
    </row>
    <row r="20" spans="1:18" x14ac:dyDescent="0.2">
      <c r="A20">
        <v>19</v>
      </c>
      <c r="B20">
        <v>-99</v>
      </c>
      <c r="C20" t="s">
        <v>676</v>
      </c>
      <c r="D20" t="s">
        <v>446</v>
      </c>
      <c r="E20" t="s">
        <v>675</v>
      </c>
      <c r="F20" t="s">
        <v>444</v>
      </c>
      <c r="G20" t="s">
        <v>664</v>
      </c>
      <c r="H20" t="s">
        <v>664</v>
      </c>
      <c r="I20">
        <v>-99</v>
      </c>
      <c r="J20">
        <v>34</v>
      </c>
      <c r="K20" t="s">
        <v>414</v>
      </c>
      <c r="L20">
        <v>-99</v>
      </c>
      <c r="M20" t="s">
        <v>664</v>
      </c>
      <c r="N20" t="s">
        <v>664</v>
      </c>
      <c r="O20">
        <v>-99</v>
      </c>
      <c r="P20">
        <v>-99</v>
      </c>
      <c r="Q20">
        <v>3</v>
      </c>
      <c r="R20" t="s">
        <v>664</v>
      </c>
    </row>
    <row r="21" spans="1:18" x14ac:dyDescent="0.2">
      <c r="A21">
        <v>20</v>
      </c>
      <c r="B21">
        <v>1</v>
      </c>
      <c r="C21" t="s">
        <v>677</v>
      </c>
      <c r="D21" t="s">
        <v>378</v>
      </c>
      <c r="E21" t="s">
        <v>677</v>
      </c>
      <c r="F21" t="s">
        <v>519</v>
      </c>
      <c r="G21" t="s">
        <v>678</v>
      </c>
      <c r="H21" t="s">
        <v>8</v>
      </c>
      <c r="I21">
        <v>-99</v>
      </c>
      <c r="J21">
        <v>35</v>
      </c>
      <c r="K21" t="s">
        <v>8</v>
      </c>
      <c r="L21">
        <v>8240</v>
      </c>
      <c r="M21" t="s">
        <v>520</v>
      </c>
      <c r="N21" t="s">
        <v>664</v>
      </c>
      <c r="O21">
        <v>1</v>
      </c>
      <c r="P21">
        <v>2</v>
      </c>
      <c r="Q21">
        <v>-99</v>
      </c>
      <c r="R21" t="s">
        <v>664</v>
      </c>
    </row>
    <row r="22" spans="1:18" x14ac:dyDescent="0.2">
      <c r="A22">
        <v>21</v>
      </c>
      <c r="B22">
        <v>8</v>
      </c>
      <c r="C22" t="s">
        <v>142</v>
      </c>
      <c r="D22" t="s">
        <v>38</v>
      </c>
      <c r="E22" t="s">
        <v>521</v>
      </c>
      <c r="F22" t="s">
        <v>522</v>
      </c>
      <c r="G22" t="s">
        <v>666</v>
      </c>
      <c r="H22" t="s">
        <v>380</v>
      </c>
      <c r="I22">
        <v>380</v>
      </c>
      <c r="J22">
        <v>30</v>
      </c>
      <c r="K22" t="s">
        <v>379</v>
      </c>
      <c r="L22">
        <v>8233</v>
      </c>
      <c r="M22" t="s">
        <v>335</v>
      </c>
      <c r="N22" t="s">
        <v>381</v>
      </c>
      <c r="O22">
        <v>1</v>
      </c>
      <c r="P22">
        <v>2</v>
      </c>
      <c r="Q22">
        <v>-99</v>
      </c>
      <c r="R22" t="s">
        <v>692</v>
      </c>
    </row>
    <row r="23" spans="1:18" x14ac:dyDescent="0.2">
      <c r="A23">
        <v>22</v>
      </c>
      <c r="B23">
        <v>9</v>
      </c>
      <c r="C23" t="s">
        <v>143</v>
      </c>
      <c r="D23" t="s">
        <v>70</v>
      </c>
      <c r="E23" t="s">
        <v>523</v>
      </c>
      <c r="F23" t="s">
        <v>524</v>
      </c>
      <c r="G23" t="s">
        <v>666</v>
      </c>
      <c r="H23" t="s">
        <v>380</v>
      </c>
      <c r="I23">
        <v>380</v>
      </c>
      <c r="J23">
        <v>30</v>
      </c>
      <c r="K23" t="s">
        <v>379</v>
      </c>
      <c r="L23">
        <v>8235</v>
      </c>
      <c r="M23" t="s">
        <v>370</v>
      </c>
      <c r="N23" t="s">
        <v>382</v>
      </c>
      <c r="O23">
        <v>1</v>
      </c>
      <c r="P23">
        <v>1</v>
      </c>
      <c r="Q23">
        <v>-99</v>
      </c>
      <c r="R23" t="s">
        <v>692</v>
      </c>
    </row>
    <row r="24" spans="1:18" x14ac:dyDescent="0.2">
      <c r="A24">
        <v>23</v>
      </c>
      <c r="B24">
        <v>-99</v>
      </c>
      <c r="C24" t="s">
        <v>143</v>
      </c>
      <c r="D24" t="s">
        <v>70</v>
      </c>
      <c r="E24" t="s">
        <v>525</v>
      </c>
      <c r="F24" t="s">
        <v>526</v>
      </c>
      <c r="G24" t="s">
        <v>666</v>
      </c>
      <c r="H24" t="s">
        <v>380</v>
      </c>
      <c r="I24">
        <v>380</v>
      </c>
      <c r="J24">
        <v>30</v>
      </c>
      <c r="K24" t="s">
        <v>379</v>
      </c>
      <c r="L24">
        <v>8235</v>
      </c>
      <c r="M24" t="s">
        <v>370</v>
      </c>
      <c r="N24" t="s">
        <v>382</v>
      </c>
      <c r="O24">
        <v>-99</v>
      </c>
      <c r="P24">
        <v>1</v>
      </c>
      <c r="Q24">
        <v>-99</v>
      </c>
      <c r="R24" t="s">
        <v>408</v>
      </c>
    </row>
    <row r="25" spans="1:18" x14ac:dyDescent="0.2">
      <c r="A25">
        <v>24</v>
      </c>
      <c r="B25">
        <v>10</v>
      </c>
      <c r="C25" t="s">
        <v>144</v>
      </c>
      <c r="D25" t="s">
        <v>63</v>
      </c>
      <c r="E25" t="s">
        <v>527</v>
      </c>
      <c r="F25" t="s">
        <v>528</v>
      </c>
      <c r="G25" t="s">
        <v>666</v>
      </c>
      <c r="H25" t="s">
        <v>380</v>
      </c>
      <c r="I25">
        <v>380</v>
      </c>
      <c r="J25">
        <v>30</v>
      </c>
      <c r="K25" t="s">
        <v>379</v>
      </c>
      <c r="L25">
        <v>8237</v>
      </c>
      <c r="M25" t="s">
        <v>345</v>
      </c>
      <c r="N25" t="s">
        <v>63</v>
      </c>
      <c r="O25">
        <v>1</v>
      </c>
      <c r="P25">
        <v>2</v>
      </c>
      <c r="Q25">
        <v>-99</v>
      </c>
      <c r="R25" t="s">
        <v>692</v>
      </c>
    </row>
    <row r="26" spans="1:18" x14ac:dyDescent="0.2">
      <c r="A26">
        <v>25</v>
      </c>
      <c r="B26">
        <v>11</v>
      </c>
      <c r="C26" t="s">
        <v>145</v>
      </c>
      <c r="D26" t="s">
        <v>24</v>
      </c>
      <c r="E26" t="s">
        <v>529</v>
      </c>
      <c r="F26" t="s">
        <v>530</v>
      </c>
      <c r="G26" t="s">
        <v>666</v>
      </c>
      <c r="H26" t="s">
        <v>380</v>
      </c>
      <c r="I26">
        <v>380</v>
      </c>
      <c r="J26">
        <v>30</v>
      </c>
      <c r="K26" t="s">
        <v>379</v>
      </c>
      <c r="L26">
        <v>8238</v>
      </c>
      <c r="M26" t="s">
        <v>345</v>
      </c>
      <c r="N26" t="s">
        <v>63</v>
      </c>
      <c r="O26">
        <v>1</v>
      </c>
      <c r="P26">
        <v>2</v>
      </c>
      <c r="Q26">
        <v>-99</v>
      </c>
      <c r="R26" t="s">
        <v>692</v>
      </c>
    </row>
    <row r="27" spans="1:18" x14ac:dyDescent="0.2">
      <c r="A27">
        <v>26</v>
      </c>
      <c r="B27">
        <v>12</v>
      </c>
      <c r="C27" t="s">
        <v>146</v>
      </c>
      <c r="D27" t="s">
        <v>47</v>
      </c>
      <c r="E27" t="s">
        <v>531</v>
      </c>
      <c r="F27" t="s">
        <v>532</v>
      </c>
      <c r="G27" t="s">
        <v>666</v>
      </c>
      <c r="H27" t="s">
        <v>380</v>
      </c>
      <c r="I27">
        <v>380</v>
      </c>
      <c r="J27">
        <v>30</v>
      </c>
      <c r="K27" t="s">
        <v>379</v>
      </c>
      <c r="L27">
        <v>8239</v>
      </c>
      <c r="M27" t="s">
        <v>363</v>
      </c>
      <c r="N27" t="s">
        <v>383</v>
      </c>
      <c r="O27">
        <v>1</v>
      </c>
      <c r="P27">
        <v>2</v>
      </c>
      <c r="Q27">
        <v>-99</v>
      </c>
      <c r="R27" t="s">
        <v>692</v>
      </c>
    </row>
    <row r="28" spans="1:18" x14ac:dyDescent="0.2">
      <c r="A28">
        <v>27</v>
      </c>
      <c r="B28">
        <v>13</v>
      </c>
      <c r="C28" t="s">
        <v>147</v>
      </c>
      <c r="D28" t="s">
        <v>64</v>
      </c>
      <c r="E28" t="s">
        <v>533</v>
      </c>
      <c r="F28" t="s">
        <v>534</v>
      </c>
      <c r="G28" t="s">
        <v>666</v>
      </c>
      <c r="H28" t="s">
        <v>380</v>
      </c>
      <c r="I28">
        <v>380</v>
      </c>
      <c r="J28">
        <v>30</v>
      </c>
      <c r="K28" t="s">
        <v>379</v>
      </c>
      <c r="L28">
        <v>8241</v>
      </c>
      <c r="M28" t="s">
        <v>367</v>
      </c>
      <c r="N28" t="s">
        <v>384</v>
      </c>
      <c r="O28">
        <v>1</v>
      </c>
      <c r="P28">
        <v>2</v>
      </c>
      <c r="Q28">
        <v>-99</v>
      </c>
      <c r="R28" t="s">
        <v>692</v>
      </c>
    </row>
    <row r="29" spans="1:18" x14ac:dyDescent="0.2">
      <c r="A29">
        <v>28</v>
      </c>
      <c r="B29">
        <v>14</v>
      </c>
      <c r="C29" t="s">
        <v>102</v>
      </c>
      <c r="D29" t="s">
        <v>66</v>
      </c>
      <c r="E29" t="s">
        <v>535</v>
      </c>
      <c r="F29" t="s">
        <v>536</v>
      </c>
      <c r="G29" t="s">
        <v>666</v>
      </c>
      <c r="H29" t="s">
        <v>380</v>
      </c>
      <c r="I29">
        <v>380</v>
      </c>
      <c r="J29">
        <v>30</v>
      </c>
      <c r="K29" t="s">
        <v>379</v>
      </c>
      <c r="L29">
        <v>8242</v>
      </c>
      <c r="M29" t="s">
        <v>357</v>
      </c>
      <c r="N29" t="s">
        <v>385</v>
      </c>
      <c r="O29">
        <v>1</v>
      </c>
      <c r="P29">
        <v>1</v>
      </c>
      <c r="Q29">
        <v>-99</v>
      </c>
      <c r="R29" t="s">
        <v>692</v>
      </c>
    </row>
    <row r="30" spans="1:18" x14ac:dyDescent="0.2">
      <c r="A30">
        <v>29</v>
      </c>
      <c r="B30">
        <v>-99</v>
      </c>
      <c r="C30" t="s">
        <v>102</v>
      </c>
      <c r="D30" t="s">
        <v>66</v>
      </c>
      <c r="E30" t="s">
        <v>537</v>
      </c>
      <c r="F30" t="s">
        <v>218</v>
      </c>
      <c r="G30" t="s">
        <v>666</v>
      </c>
      <c r="H30" t="s">
        <v>380</v>
      </c>
      <c r="I30">
        <v>380</v>
      </c>
      <c r="J30">
        <v>30</v>
      </c>
      <c r="K30" t="s">
        <v>379</v>
      </c>
      <c r="L30">
        <v>8242</v>
      </c>
      <c r="M30" t="s">
        <v>357</v>
      </c>
      <c r="N30" t="s">
        <v>385</v>
      </c>
      <c r="O30">
        <v>-99</v>
      </c>
      <c r="P30">
        <v>1</v>
      </c>
      <c r="Q30">
        <v>-99</v>
      </c>
      <c r="R30" t="s">
        <v>216</v>
      </c>
    </row>
    <row r="31" spans="1:18" x14ac:dyDescent="0.2">
      <c r="A31">
        <v>30</v>
      </c>
      <c r="B31">
        <v>15</v>
      </c>
      <c r="C31" t="s">
        <v>148</v>
      </c>
      <c r="D31" t="s">
        <v>68</v>
      </c>
      <c r="E31" t="s">
        <v>538</v>
      </c>
      <c r="F31" t="s">
        <v>539</v>
      </c>
      <c r="G31" t="s">
        <v>666</v>
      </c>
      <c r="H31" t="s">
        <v>380</v>
      </c>
      <c r="I31">
        <v>380</v>
      </c>
      <c r="J31">
        <v>30</v>
      </c>
      <c r="K31" t="s">
        <v>379</v>
      </c>
      <c r="L31">
        <v>8243</v>
      </c>
      <c r="M31" t="s">
        <v>357</v>
      </c>
      <c r="N31" t="s">
        <v>385</v>
      </c>
      <c r="O31">
        <v>1</v>
      </c>
      <c r="P31">
        <v>1</v>
      </c>
      <c r="Q31">
        <v>-99</v>
      </c>
      <c r="R31" t="s">
        <v>692</v>
      </c>
    </row>
    <row r="32" spans="1:18" x14ac:dyDescent="0.2">
      <c r="A32">
        <v>31</v>
      </c>
      <c r="B32">
        <v>-99</v>
      </c>
      <c r="C32" t="s">
        <v>148</v>
      </c>
      <c r="D32" t="s">
        <v>68</v>
      </c>
      <c r="E32" t="s">
        <v>540</v>
      </c>
      <c r="F32" t="s">
        <v>541</v>
      </c>
      <c r="G32" t="s">
        <v>666</v>
      </c>
      <c r="H32" t="s">
        <v>380</v>
      </c>
      <c r="I32">
        <v>380</v>
      </c>
      <c r="J32">
        <v>30</v>
      </c>
      <c r="K32" t="s">
        <v>379</v>
      </c>
      <c r="L32">
        <v>8243</v>
      </c>
      <c r="M32" t="s">
        <v>357</v>
      </c>
      <c r="N32" t="s">
        <v>385</v>
      </c>
      <c r="O32">
        <v>-99</v>
      </c>
      <c r="P32">
        <v>1</v>
      </c>
      <c r="Q32">
        <v>-99</v>
      </c>
      <c r="R32" t="s">
        <v>691</v>
      </c>
    </row>
    <row r="33" spans="1:18" x14ac:dyDescent="0.2">
      <c r="A33">
        <v>32</v>
      </c>
      <c r="B33">
        <v>16</v>
      </c>
      <c r="C33" t="s">
        <v>149</v>
      </c>
      <c r="D33" t="s">
        <v>36</v>
      </c>
      <c r="E33" t="s">
        <v>542</v>
      </c>
      <c r="F33" t="s">
        <v>543</v>
      </c>
      <c r="G33" t="s">
        <v>666</v>
      </c>
      <c r="H33" t="s">
        <v>380</v>
      </c>
      <c r="I33">
        <v>380</v>
      </c>
      <c r="J33">
        <v>30</v>
      </c>
      <c r="K33" t="s">
        <v>379</v>
      </c>
      <c r="L33">
        <v>8244</v>
      </c>
      <c r="M33" t="s">
        <v>352</v>
      </c>
      <c r="N33" t="s">
        <v>386</v>
      </c>
      <c r="O33">
        <v>1</v>
      </c>
      <c r="P33">
        <v>2</v>
      </c>
      <c r="Q33">
        <v>-99</v>
      </c>
      <c r="R33" t="s">
        <v>692</v>
      </c>
    </row>
    <row r="34" spans="1:18" x14ac:dyDescent="0.2">
      <c r="A34">
        <v>33</v>
      </c>
      <c r="B34">
        <v>23</v>
      </c>
      <c r="C34" t="s">
        <v>108</v>
      </c>
      <c r="D34" t="s">
        <v>72</v>
      </c>
      <c r="E34" t="s">
        <v>544</v>
      </c>
      <c r="F34" t="s">
        <v>545</v>
      </c>
      <c r="G34" t="s">
        <v>667</v>
      </c>
      <c r="H34" t="s">
        <v>387</v>
      </c>
      <c r="I34">
        <v>381</v>
      </c>
      <c r="J34">
        <v>30</v>
      </c>
      <c r="K34" t="s">
        <v>379</v>
      </c>
      <c r="L34">
        <v>8245</v>
      </c>
      <c r="M34" t="s">
        <v>331</v>
      </c>
      <c r="N34" t="s">
        <v>388</v>
      </c>
      <c r="O34">
        <v>1</v>
      </c>
      <c r="P34">
        <v>2</v>
      </c>
      <c r="Q34">
        <v>-99</v>
      </c>
      <c r="R34" t="s">
        <v>692</v>
      </c>
    </row>
    <row r="35" spans="1:18" x14ac:dyDescent="0.2">
      <c r="A35">
        <v>34</v>
      </c>
      <c r="B35">
        <v>24</v>
      </c>
      <c r="C35" t="s">
        <v>150</v>
      </c>
      <c r="D35" t="s">
        <v>50</v>
      </c>
      <c r="E35" t="s">
        <v>546</v>
      </c>
      <c r="F35" t="s">
        <v>547</v>
      </c>
      <c r="G35" t="s">
        <v>667</v>
      </c>
      <c r="H35" t="s">
        <v>387</v>
      </c>
      <c r="I35">
        <v>381</v>
      </c>
      <c r="J35">
        <v>30</v>
      </c>
      <c r="K35" t="s">
        <v>379</v>
      </c>
      <c r="L35">
        <v>8246</v>
      </c>
      <c r="M35" t="s">
        <v>347</v>
      </c>
      <c r="N35" t="s">
        <v>389</v>
      </c>
      <c r="O35">
        <v>1</v>
      </c>
      <c r="P35">
        <v>2</v>
      </c>
      <c r="Q35">
        <v>-99</v>
      </c>
      <c r="R35" t="s">
        <v>692</v>
      </c>
    </row>
    <row r="36" spans="1:18" x14ac:dyDescent="0.2">
      <c r="A36">
        <v>35</v>
      </c>
      <c r="B36">
        <v>30</v>
      </c>
      <c r="C36" t="s">
        <v>151</v>
      </c>
      <c r="D36" t="s">
        <v>25</v>
      </c>
      <c r="E36" t="s">
        <v>548</v>
      </c>
      <c r="F36" t="s">
        <v>549</v>
      </c>
      <c r="G36" t="s">
        <v>667</v>
      </c>
      <c r="H36" t="s">
        <v>387</v>
      </c>
      <c r="I36">
        <v>381</v>
      </c>
      <c r="J36">
        <v>31</v>
      </c>
      <c r="K36" t="s">
        <v>390</v>
      </c>
      <c r="L36">
        <v>8247</v>
      </c>
      <c r="M36" t="s">
        <v>372</v>
      </c>
      <c r="N36" t="s">
        <v>391</v>
      </c>
      <c r="O36">
        <v>1</v>
      </c>
      <c r="P36">
        <v>2</v>
      </c>
      <c r="Q36">
        <v>-99</v>
      </c>
      <c r="R36" t="s">
        <v>692</v>
      </c>
    </row>
    <row r="37" spans="1:18" x14ac:dyDescent="0.2">
      <c r="A37">
        <v>36</v>
      </c>
      <c r="B37">
        <v>194</v>
      </c>
      <c r="C37" t="s">
        <v>152</v>
      </c>
      <c r="D37" t="s">
        <v>80</v>
      </c>
      <c r="E37" t="s">
        <v>550</v>
      </c>
      <c r="F37" t="s">
        <v>551</v>
      </c>
      <c r="G37" t="s">
        <v>667</v>
      </c>
      <c r="H37" t="s">
        <v>387</v>
      </c>
      <c r="I37">
        <v>381</v>
      </c>
      <c r="J37">
        <v>31</v>
      </c>
      <c r="K37" t="s">
        <v>390</v>
      </c>
      <c r="L37">
        <v>8248</v>
      </c>
      <c r="M37" t="s">
        <v>327</v>
      </c>
      <c r="N37" t="s">
        <v>435</v>
      </c>
      <c r="O37">
        <v>1</v>
      </c>
      <c r="P37">
        <v>2</v>
      </c>
      <c r="Q37">
        <v>-99</v>
      </c>
      <c r="R37" t="s">
        <v>692</v>
      </c>
    </row>
    <row r="38" spans="1:18" x14ac:dyDescent="0.2">
      <c r="A38">
        <v>37</v>
      </c>
      <c r="B38">
        <v>34</v>
      </c>
      <c r="C38" t="s">
        <v>153</v>
      </c>
      <c r="D38" t="s">
        <v>86</v>
      </c>
      <c r="E38" t="s">
        <v>552</v>
      </c>
      <c r="F38" t="s">
        <v>553</v>
      </c>
      <c r="G38" t="s">
        <v>667</v>
      </c>
      <c r="H38" t="s">
        <v>387</v>
      </c>
      <c r="I38">
        <v>381</v>
      </c>
      <c r="J38">
        <v>30</v>
      </c>
      <c r="K38" t="s">
        <v>379</v>
      </c>
      <c r="L38">
        <v>8249</v>
      </c>
      <c r="M38" t="s">
        <v>358</v>
      </c>
      <c r="N38" t="s">
        <v>392</v>
      </c>
      <c r="O38">
        <v>1</v>
      </c>
      <c r="P38">
        <v>1</v>
      </c>
      <c r="Q38">
        <v>-99</v>
      </c>
      <c r="R38" t="s">
        <v>692</v>
      </c>
    </row>
    <row r="39" spans="1:18" x14ac:dyDescent="0.2">
      <c r="A39">
        <v>38</v>
      </c>
      <c r="B39">
        <v>-99</v>
      </c>
      <c r="C39" t="s">
        <v>153</v>
      </c>
      <c r="D39" t="s">
        <v>86</v>
      </c>
      <c r="E39" t="s">
        <v>554</v>
      </c>
      <c r="F39" t="s">
        <v>221</v>
      </c>
      <c r="G39" t="s">
        <v>667</v>
      </c>
      <c r="H39" t="s">
        <v>387</v>
      </c>
      <c r="I39">
        <v>381</v>
      </c>
      <c r="J39">
        <v>30</v>
      </c>
      <c r="K39" t="s">
        <v>379</v>
      </c>
      <c r="L39">
        <v>8249</v>
      </c>
      <c r="M39" t="s">
        <v>358</v>
      </c>
      <c r="N39" t="s">
        <v>392</v>
      </c>
      <c r="O39">
        <v>-99</v>
      </c>
      <c r="P39">
        <v>1</v>
      </c>
      <c r="Q39">
        <v>-99</v>
      </c>
      <c r="R39" t="s">
        <v>689</v>
      </c>
    </row>
    <row r="40" spans="1:18" x14ac:dyDescent="0.2">
      <c r="A40">
        <v>39</v>
      </c>
      <c r="B40">
        <v>-99</v>
      </c>
      <c r="C40" t="s">
        <v>153</v>
      </c>
      <c r="D40" t="s">
        <v>86</v>
      </c>
      <c r="E40" t="s">
        <v>555</v>
      </c>
      <c r="F40" t="s">
        <v>969</v>
      </c>
      <c r="G40" t="s">
        <v>667</v>
      </c>
      <c r="H40" t="s">
        <v>387</v>
      </c>
      <c r="I40">
        <v>381</v>
      </c>
      <c r="J40">
        <v>30</v>
      </c>
      <c r="K40" t="s">
        <v>379</v>
      </c>
      <c r="L40">
        <v>8249</v>
      </c>
      <c r="M40" t="s">
        <v>358</v>
      </c>
      <c r="N40" t="s">
        <v>392</v>
      </c>
      <c r="O40">
        <v>-99</v>
      </c>
      <c r="P40">
        <v>1</v>
      </c>
      <c r="Q40">
        <v>-99</v>
      </c>
      <c r="R40" t="s">
        <v>690</v>
      </c>
    </row>
    <row r="41" spans="1:18" x14ac:dyDescent="0.2">
      <c r="A41">
        <v>40</v>
      </c>
      <c r="B41">
        <v>35</v>
      </c>
      <c r="C41" t="s">
        <v>154</v>
      </c>
      <c r="D41" t="s">
        <v>42</v>
      </c>
      <c r="E41" t="s">
        <v>556</v>
      </c>
      <c r="F41" t="s">
        <v>557</v>
      </c>
      <c r="G41" t="s">
        <v>667</v>
      </c>
      <c r="H41" t="s">
        <v>387</v>
      </c>
      <c r="I41">
        <v>381</v>
      </c>
      <c r="J41">
        <v>31</v>
      </c>
      <c r="K41" t="s">
        <v>390</v>
      </c>
      <c r="L41">
        <v>8250</v>
      </c>
      <c r="M41" t="s">
        <v>350</v>
      </c>
      <c r="N41" t="s">
        <v>393</v>
      </c>
      <c r="O41">
        <v>1</v>
      </c>
      <c r="P41">
        <v>2</v>
      </c>
      <c r="Q41">
        <v>-99</v>
      </c>
      <c r="R41" t="s">
        <v>692</v>
      </c>
    </row>
    <row r="42" spans="1:18" x14ac:dyDescent="0.2">
      <c r="A42">
        <v>41</v>
      </c>
      <c r="B42">
        <v>36</v>
      </c>
      <c r="C42" t="s">
        <v>94</v>
      </c>
      <c r="D42" t="s">
        <v>61</v>
      </c>
      <c r="E42" t="s">
        <v>558</v>
      </c>
      <c r="F42" t="s">
        <v>559</v>
      </c>
      <c r="G42" t="s">
        <v>667</v>
      </c>
      <c r="H42" t="s">
        <v>387</v>
      </c>
      <c r="I42">
        <v>381</v>
      </c>
      <c r="J42">
        <v>31</v>
      </c>
      <c r="K42" t="s">
        <v>390</v>
      </c>
      <c r="L42">
        <v>8251</v>
      </c>
      <c r="M42" t="s">
        <v>353</v>
      </c>
      <c r="N42" t="s">
        <v>394</v>
      </c>
      <c r="O42">
        <v>1</v>
      </c>
      <c r="P42">
        <v>2</v>
      </c>
      <c r="Q42">
        <v>-99</v>
      </c>
      <c r="R42" t="s">
        <v>692</v>
      </c>
    </row>
    <row r="43" spans="1:18" x14ac:dyDescent="0.2">
      <c r="A43">
        <v>42</v>
      </c>
      <c r="B43">
        <v>37</v>
      </c>
      <c r="C43" t="s">
        <v>155</v>
      </c>
      <c r="D43" t="s">
        <v>62</v>
      </c>
      <c r="E43" t="s">
        <v>560</v>
      </c>
      <c r="F43" t="s">
        <v>561</v>
      </c>
      <c r="G43" t="s">
        <v>668</v>
      </c>
      <c r="H43" t="s">
        <v>396</v>
      </c>
      <c r="I43">
        <v>382</v>
      </c>
      <c r="J43">
        <v>33</v>
      </c>
      <c r="K43" t="s">
        <v>395</v>
      </c>
      <c r="L43">
        <v>8252</v>
      </c>
      <c r="M43" t="s">
        <v>330</v>
      </c>
      <c r="N43" t="s">
        <v>397</v>
      </c>
      <c r="O43">
        <v>1</v>
      </c>
      <c r="P43">
        <v>2</v>
      </c>
      <c r="Q43">
        <v>-99</v>
      </c>
      <c r="R43" t="s">
        <v>692</v>
      </c>
    </row>
    <row r="44" spans="1:18" x14ac:dyDescent="0.2">
      <c r="A44">
        <v>43</v>
      </c>
      <c r="B44">
        <v>38</v>
      </c>
      <c r="C44" t="s">
        <v>156</v>
      </c>
      <c r="D44" t="s">
        <v>60</v>
      </c>
      <c r="E44" t="s">
        <v>562</v>
      </c>
      <c r="F44" t="s">
        <v>563</v>
      </c>
      <c r="G44" t="s">
        <v>667</v>
      </c>
      <c r="H44" t="s">
        <v>387</v>
      </c>
      <c r="I44">
        <v>381</v>
      </c>
      <c r="J44">
        <v>31</v>
      </c>
      <c r="K44" t="s">
        <v>390</v>
      </c>
      <c r="L44">
        <v>8253</v>
      </c>
      <c r="M44" t="s">
        <v>364</v>
      </c>
      <c r="N44" t="s">
        <v>398</v>
      </c>
      <c r="O44">
        <v>1</v>
      </c>
      <c r="P44">
        <v>2</v>
      </c>
      <c r="Q44">
        <v>-99</v>
      </c>
      <c r="R44" t="s">
        <v>692</v>
      </c>
    </row>
    <row r="45" spans="1:18" x14ac:dyDescent="0.2">
      <c r="A45">
        <v>44</v>
      </c>
      <c r="B45">
        <v>39</v>
      </c>
      <c r="C45" t="s">
        <v>157</v>
      </c>
      <c r="D45" t="s">
        <v>52</v>
      </c>
      <c r="E45" t="s">
        <v>564</v>
      </c>
      <c r="F45" t="s">
        <v>565</v>
      </c>
      <c r="G45" t="s">
        <v>667</v>
      </c>
      <c r="H45" t="s">
        <v>387</v>
      </c>
      <c r="I45">
        <v>381</v>
      </c>
      <c r="J45">
        <v>33</v>
      </c>
      <c r="K45" t="s">
        <v>395</v>
      </c>
      <c r="L45">
        <v>8254</v>
      </c>
      <c r="M45" t="s">
        <v>365</v>
      </c>
      <c r="N45" t="s">
        <v>399</v>
      </c>
      <c r="O45">
        <v>1</v>
      </c>
      <c r="P45">
        <v>1</v>
      </c>
      <c r="Q45">
        <v>-99</v>
      </c>
      <c r="R45" t="s">
        <v>692</v>
      </c>
    </row>
    <row r="46" spans="1:18" x14ac:dyDescent="0.2">
      <c r="A46">
        <v>45</v>
      </c>
      <c r="B46">
        <v>-99</v>
      </c>
      <c r="C46" t="s">
        <v>157</v>
      </c>
      <c r="D46" t="s">
        <v>52</v>
      </c>
      <c r="E46" t="s">
        <v>566</v>
      </c>
      <c r="F46" t="s">
        <v>567</v>
      </c>
      <c r="G46" t="s">
        <v>667</v>
      </c>
      <c r="H46" t="s">
        <v>387</v>
      </c>
      <c r="I46">
        <v>381</v>
      </c>
      <c r="J46">
        <v>33</v>
      </c>
      <c r="K46" t="s">
        <v>395</v>
      </c>
      <c r="L46">
        <v>8254</v>
      </c>
      <c r="M46" t="s">
        <v>365</v>
      </c>
      <c r="N46" t="s">
        <v>399</v>
      </c>
      <c r="O46">
        <v>-99</v>
      </c>
      <c r="P46">
        <v>1</v>
      </c>
      <c r="Q46">
        <v>-99</v>
      </c>
      <c r="R46" t="s">
        <v>693</v>
      </c>
    </row>
    <row r="47" spans="1:18" x14ac:dyDescent="0.2">
      <c r="A47">
        <v>46</v>
      </c>
      <c r="B47">
        <v>52</v>
      </c>
      <c r="C47" t="s">
        <v>158</v>
      </c>
      <c r="D47" t="s">
        <v>41</v>
      </c>
      <c r="E47" t="s">
        <v>568</v>
      </c>
      <c r="F47" t="s">
        <v>569</v>
      </c>
      <c r="G47" t="s">
        <v>666</v>
      </c>
      <c r="H47" t="s">
        <v>380</v>
      </c>
      <c r="I47">
        <v>380</v>
      </c>
      <c r="J47">
        <v>32</v>
      </c>
      <c r="K47" t="s">
        <v>400</v>
      </c>
      <c r="L47">
        <v>8255</v>
      </c>
      <c r="M47" t="s">
        <v>366</v>
      </c>
      <c r="N47" t="s">
        <v>401</v>
      </c>
      <c r="O47">
        <v>1</v>
      </c>
      <c r="P47">
        <v>2</v>
      </c>
      <c r="Q47">
        <v>-99</v>
      </c>
      <c r="R47" t="s">
        <v>692</v>
      </c>
    </row>
    <row r="48" spans="1:18" x14ac:dyDescent="0.2">
      <c r="A48">
        <v>47</v>
      </c>
      <c r="B48">
        <v>53</v>
      </c>
      <c r="C48" t="s">
        <v>159</v>
      </c>
      <c r="D48" t="s">
        <v>51</v>
      </c>
      <c r="E48" t="s">
        <v>570</v>
      </c>
      <c r="F48" t="s">
        <v>571</v>
      </c>
      <c r="G48" t="s">
        <v>666</v>
      </c>
      <c r="H48" t="s">
        <v>380</v>
      </c>
      <c r="I48">
        <v>380</v>
      </c>
      <c r="J48">
        <v>32</v>
      </c>
      <c r="K48" t="s">
        <v>400</v>
      </c>
      <c r="L48">
        <v>8256</v>
      </c>
      <c r="M48" t="s">
        <v>340</v>
      </c>
      <c r="N48" t="s">
        <v>402</v>
      </c>
      <c r="O48">
        <v>1</v>
      </c>
      <c r="P48">
        <v>2</v>
      </c>
      <c r="Q48">
        <v>-99</v>
      </c>
      <c r="R48" t="s">
        <v>692</v>
      </c>
    </row>
    <row r="49" spans="1:18" x14ac:dyDescent="0.2">
      <c r="A49">
        <v>48</v>
      </c>
      <c r="B49">
        <v>54</v>
      </c>
      <c r="C49" t="s">
        <v>160</v>
      </c>
      <c r="D49" t="s">
        <v>56</v>
      </c>
      <c r="E49" t="s">
        <v>572</v>
      </c>
      <c r="F49" t="s">
        <v>573</v>
      </c>
      <c r="G49" t="s">
        <v>667</v>
      </c>
      <c r="H49" t="s">
        <v>387</v>
      </c>
      <c r="I49">
        <v>381</v>
      </c>
      <c r="J49">
        <v>31</v>
      </c>
      <c r="K49" t="s">
        <v>390</v>
      </c>
      <c r="L49">
        <v>8257</v>
      </c>
      <c r="M49" t="s">
        <v>346</v>
      </c>
      <c r="N49" t="s">
        <v>403</v>
      </c>
      <c r="O49">
        <v>1</v>
      </c>
      <c r="P49">
        <v>1</v>
      </c>
      <c r="Q49">
        <v>-99</v>
      </c>
      <c r="R49" t="s">
        <v>692</v>
      </c>
    </row>
    <row r="50" spans="1:18" x14ac:dyDescent="0.2">
      <c r="A50">
        <v>49</v>
      </c>
      <c r="B50">
        <v>-99</v>
      </c>
      <c r="C50" t="s">
        <v>160</v>
      </c>
      <c r="D50" t="s">
        <v>56</v>
      </c>
      <c r="E50" t="s">
        <v>574</v>
      </c>
      <c r="F50" t="s">
        <v>575</v>
      </c>
      <c r="G50" t="s">
        <v>667</v>
      </c>
      <c r="H50" t="s">
        <v>387</v>
      </c>
      <c r="I50">
        <v>381</v>
      </c>
      <c r="J50">
        <v>31</v>
      </c>
      <c r="K50" t="s">
        <v>390</v>
      </c>
      <c r="L50">
        <v>8257</v>
      </c>
      <c r="M50" t="s">
        <v>346</v>
      </c>
      <c r="N50" t="s">
        <v>403</v>
      </c>
      <c r="O50">
        <v>-99</v>
      </c>
      <c r="P50">
        <v>1</v>
      </c>
      <c r="Q50">
        <v>-99</v>
      </c>
      <c r="R50" t="s">
        <v>694</v>
      </c>
    </row>
    <row r="51" spans="1:18" x14ac:dyDescent="0.2">
      <c r="A51">
        <v>50</v>
      </c>
      <c r="B51">
        <v>55</v>
      </c>
      <c r="C51" t="s">
        <v>161</v>
      </c>
      <c r="D51" t="s">
        <v>40</v>
      </c>
      <c r="E51" t="s">
        <v>576</v>
      </c>
      <c r="F51" t="s">
        <v>577</v>
      </c>
      <c r="G51" t="s">
        <v>668</v>
      </c>
      <c r="H51" t="s">
        <v>396</v>
      </c>
      <c r="I51">
        <v>382</v>
      </c>
      <c r="J51">
        <v>32</v>
      </c>
      <c r="K51" t="s">
        <v>400</v>
      </c>
      <c r="L51">
        <v>8258</v>
      </c>
      <c r="M51" t="s">
        <v>359</v>
      </c>
      <c r="N51" t="s">
        <v>404</v>
      </c>
      <c r="O51">
        <v>1</v>
      </c>
      <c r="P51">
        <v>2</v>
      </c>
      <c r="Q51">
        <v>-99</v>
      </c>
      <c r="R51" t="s">
        <v>692</v>
      </c>
    </row>
    <row r="52" spans="1:18" x14ac:dyDescent="0.2">
      <c r="A52">
        <v>51</v>
      </c>
      <c r="B52">
        <v>56</v>
      </c>
      <c r="C52" t="s">
        <v>162</v>
      </c>
      <c r="D52" t="s">
        <v>45</v>
      </c>
      <c r="E52" t="s">
        <v>578</v>
      </c>
      <c r="F52" t="s">
        <v>579</v>
      </c>
      <c r="G52" t="s">
        <v>666</v>
      </c>
      <c r="H52" t="s">
        <v>380</v>
      </c>
      <c r="I52">
        <v>380</v>
      </c>
      <c r="J52">
        <v>32</v>
      </c>
      <c r="K52" t="s">
        <v>400</v>
      </c>
      <c r="L52">
        <v>8259</v>
      </c>
      <c r="M52" t="s">
        <v>336</v>
      </c>
      <c r="N52" t="s">
        <v>405</v>
      </c>
      <c r="O52">
        <v>1</v>
      </c>
      <c r="P52">
        <v>2</v>
      </c>
      <c r="Q52">
        <v>-99</v>
      </c>
      <c r="R52" t="s">
        <v>692</v>
      </c>
    </row>
    <row r="53" spans="1:18" x14ac:dyDescent="0.2">
      <c r="A53">
        <v>52</v>
      </c>
      <c r="B53">
        <v>57</v>
      </c>
      <c r="C53" t="s">
        <v>163</v>
      </c>
      <c r="D53" t="s">
        <v>59</v>
      </c>
      <c r="E53" t="s">
        <v>580</v>
      </c>
      <c r="F53" t="s">
        <v>581</v>
      </c>
      <c r="G53" t="s">
        <v>668</v>
      </c>
      <c r="H53" t="s">
        <v>396</v>
      </c>
      <c r="I53">
        <v>382</v>
      </c>
      <c r="J53">
        <v>32</v>
      </c>
      <c r="K53" t="s">
        <v>400</v>
      </c>
      <c r="L53">
        <v>8260</v>
      </c>
      <c r="M53" t="s">
        <v>326</v>
      </c>
      <c r="N53" t="s">
        <v>406</v>
      </c>
      <c r="O53">
        <v>1</v>
      </c>
      <c r="P53">
        <v>1</v>
      </c>
      <c r="Q53">
        <v>-99</v>
      </c>
      <c r="R53" t="s">
        <v>692</v>
      </c>
    </row>
    <row r="54" spans="1:18" x14ac:dyDescent="0.2">
      <c r="A54">
        <v>53</v>
      </c>
      <c r="B54">
        <v>-99</v>
      </c>
      <c r="C54" t="s">
        <v>163</v>
      </c>
      <c r="D54" t="s">
        <v>59</v>
      </c>
      <c r="E54" t="s">
        <v>582</v>
      </c>
      <c r="F54" t="s">
        <v>217</v>
      </c>
      <c r="G54" t="s">
        <v>668</v>
      </c>
      <c r="H54" t="s">
        <v>396</v>
      </c>
      <c r="I54">
        <v>382</v>
      </c>
      <c r="J54">
        <v>32</v>
      </c>
      <c r="K54" t="s">
        <v>400</v>
      </c>
      <c r="L54">
        <v>8260</v>
      </c>
      <c r="M54" t="s">
        <v>326</v>
      </c>
      <c r="N54" t="s">
        <v>406</v>
      </c>
      <c r="O54">
        <v>-99</v>
      </c>
      <c r="P54">
        <v>1</v>
      </c>
      <c r="Q54">
        <v>-99</v>
      </c>
      <c r="R54" t="s">
        <v>216</v>
      </c>
    </row>
    <row r="55" spans="1:18" x14ac:dyDescent="0.2">
      <c r="A55">
        <v>54</v>
      </c>
      <c r="B55">
        <v>58</v>
      </c>
      <c r="C55" t="s">
        <v>164</v>
      </c>
      <c r="D55" t="s">
        <v>78</v>
      </c>
      <c r="E55" t="s">
        <v>583</v>
      </c>
      <c r="F55" t="s">
        <v>584</v>
      </c>
      <c r="G55" t="s">
        <v>668</v>
      </c>
      <c r="H55" t="s">
        <v>396</v>
      </c>
      <c r="I55">
        <v>382</v>
      </c>
      <c r="J55">
        <v>32</v>
      </c>
      <c r="K55" t="s">
        <v>400</v>
      </c>
      <c r="L55">
        <v>8261</v>
      </c>
      <c r="M55" t="s">
        <v>349</v>
      </c>
      <c r="N55" t="s">
        <v>407</v>
      </c>
      <c r="O55">
        <v>1</v>
      </c>
      <c r="P55">
        <v>2</v>
      </c>
      <c r="Q55">
        <v>-99</v>
      </c>
      <c r="R55" t="s">
        <v>692</v>
      </c>
    </row>
    <row r="56" spans="1:18" x14ac:dyDescent="0.2">
      <c r="A56">
        <v>55</v>
      </c>
      <c r="B56">
        <v>59</v>
      </c>
      <c r="C56" t="s">
        <v>165</v>
      </c>
      <c r="D56" t="s">
        <v>44</v>
      </c>
      <c r="E56" t="s">
        <v>585</v>
      </c>
      <c r="F56" t="s">
        <v>586</v>
      </c>
      <c r="G56" t="s">
        <v>668</v>
      </c>
      <c r="H56" t="s">
        <v>396</v>
      </c>
      <c r="I56">
        <v>382</v>
      </c>
      <c r="J56">
        <v>32</v>
      </c>
      <c r="K56" t="s">
        <v>400</v>
      </c>
      <c r="L56">
        <v>8262</v>
      </c>
      <c r="M56" t="s">
        <v>373</v>
      </c>
      <c r="N56" t="s">
        <v>409</v>
      </c>
      <c r="O56">
        <v>1</v>
      </c>
      <c r="P56">
        <v>2</v>
      </c>
      <c r="Q56">
        <v>-99</v>
      </c>
      <c r="R56" t="s">
        <v>692</v>
      </c>
    </row>
    <row r="57" spans="1:18" x14ac:dyDescent="0.2">
      <c r="A57">
        <v>56</v>
      </c>
      <c r="B57">
        <v>60</v>
      </c>
      <c r="C57" t="s">
        <v>166</v>
      </c>
      <c r="D57" t="s">
        <v>53</v>
      </c>
      <c r="E57" t="s">
        <v>587</v>
      </c>
      <c r="F57" t="s">
        <v>588</v>
      </c>
      <c r="G57" t="s">
        <v>668</v>
      </c>
      <c r="H57" t="s">
        <v>396</v>
      </c>
      <c r="I57">
        <v>382</v>
      </c>
      <c r="J57">
        <v>32</v>
      </c>
      <c r="K57" t="s">
        <v>400</v>
      </c>
      <c r="L57">
        <v>8263</v>
      </c>
      <c r="M57" t="s">
        <v>332</v>
      </c>
      <c r="N57" t="s">
        <v>410</v>
      </c>
      <c r="O57">
        <v>1</v>
      </c>
      <c r="P57">
        <v>2</v>
      </c>
      <c r="Q57">
        <v>-99</v>
      </c>
      <c r="R57" t="s">
        <v>692</v>
      </c>
    </row>
    <row r="58" spans="1:18" x14ac:dyDescent="0.2">
      <c r="A58">
        <v>57</v>
      </c>
      <c r="B58">
        <v>84</v>
      </c>
      <c r="C58" t="s">
        <v>167</v>
      </c>
      <c r="D58" t="s">
        <v>79</v>
      </c>
      <c r="E58" t="s">
        <v>589</v>
      </c>
      <c r="F58" t="s">
        <v>590</v>
      </c>
      <c r="G58" t="s">
        <v>668</v>
      </c>
      <c r="H58" t="s">
        <v>396</v>
      </c>
      <c r="I58">
        <v>382</v>
      </c>
      <c r="J58">
        <v>32</v>
      </c>
      <c r="K58" t="s">
        <v>400</v>
      </c>
      <c r="L58">
        <v>8264</v>
      </c>
      <c r="M58" t="s">
        <v>343</v>
      </c>
      <c r="N58" t="s">
        <v>411</v>
      </c>
      <c r="O58">
        <v>1</v>
      </c>
      <c r="P58">
        <v>1</v>
      </c>
      <c r="Q58">
        <v>-99</v>
      </c>
      <c r="R58" t="s">
        <v>692</v>
      </c>
    </row>
    <row r="59" spans="1:18" x14ac:dyDescent="0.2">
      <c r="A59">
        <v>58</v>
      </c>
      <c r="B59">
        <v>-99</v>
      </c>
      <c r="C59" t="s">
        <v>167</v>
      </c>
      <c r="D59" t="s">
        <v>79</v>
      </c>
      <c r="E59" t="s">
        <v>591</v>
      </c>
      <c r="F59" t="s">
        <v>501</v>
      </c>
      <c r="G59" t="s">
        <v>668</v>
      </c>
      <c r="H59" t="s">
        <v>396</v>
      </c>
      <c r="I59">
        <v>382</v>
      </c>
      <c r="J59">
        <v>32</v>
      </c>
      <c r="K59" t="s">
        <v>400</v>
      </c>
      <c r="L59">
        <v>8264</v>
      </c>
      <c r="M59" t="s">
        <v>343</v>
      </c>
      <c r="N59" t="s">
        <v>411</v>
      </c>
      <c r="O59">
        <v>-99</v>
      </c>
      <c r="P59">
        <v>1</v>
      </c>
      <c r="Q59">
        <v>-99</v>
      </c>
      <c r="R59" t="s">
        <v>664</v>
      </c>
    </row>
    <row r="60" spans="1:18" x14ac:dyDescent="0.2">
      <c r="A60">
        <v>59</v>
      </c>
      <c r="B60">
        <v>-99</v>
      </c>
      <c r="C60" t="s">
        <v>167</v>
      </c>
      <c r="D60" t="s">
        <v>79</v>
      </c>
      <c r="E60" t="s">
        <v>592</v>
      </c>
      <c r="F60" t="s">
        <v>220</v>
      </c>
      <c r="G60" t="s">
        <v>668</v>
      </c>
      <c r="H60" t="s">
        <v>396</v>
      </c>
      <c r="I60">
        <v>382</v>
      </c>
      <c r="J60">
        <v>32</v>
      </c>
      <c r="K60" t="s">
        <v>400</v>
      </c>
      <c r="L60">
        <v>8264</v>
      </c>
      <c r="M60" t="s">
        <v>343</v>
      </c>
      <c r="N60" t="s">
        <v>411</v>
      </c>
      <c r="O60">
        <v>-99</v>
      </c>
      <c r="P60">
        <v>1</v>
      </c>
      <c r="Q60">
        <v>-99</v>
      </c>
      <c r="R60" t="s">
        <v>216</v>
      </c>
    </row>
    <row r="61" spans="1:18" x14ac:dyDescent="0.2">
      <c r="A61">
        <v>60</v>
      </c>
      <c r="B61">
        <v>100</v>
      </c>
      <c r="C61" t="s">
        <v>168</v>
      </c>
      <c r="D61" t="s">
        <v>43</v>
      </c>
      <c r="E61" t="s">
        <v>593</v>
      </c>
      <c r="F61" t="s">
        <v>594</v>
      </c>
      <c r="G61" t="s">
        <v>670</v>
      </c>
      <c r="H61" t="s">
        <v>412</v>
      </c>
      <c r="I61">
        <v>383</v>
      </c>
      <c r="J61">
        <v>33</v>
      </c>
      <c r="K61" t="s">
        <v>395</v>
      </c>
      <c r="L61">
        <v>8268</v>
      </c>
      <c r="M61" t="s">
        <v>360</v>
      </c>
      <c r="N61" t="s">
        <v>413</v>
      </c>
      <c r="O61">
        <v>1</v>
      </c>
      <c r="P61">
        <v>2</v>
      </c>
      <c r="Q61">
        <v>-99</v>
      </c>
      <c r="R61" t="s">
        <v>692</v>
      </c>
    </row>
    <row r="62" spans="1:18" x14ac:dyDescent="0.2">
      <c r="A62">
        <v>61</v>
      </c>
      <c r="B62">
        <v>101</v>
      </c>
      <c r="C62" t="s">
        <v>169</v>
      </c>
      <c r="D62" t="s">
        <v>34</v>
      </c>
      <c r="E62" t="s">
        <v>595</v>
      </c>
      <c r="F62" t="s">
        <v>596</v>
      </c>
      <c r="G62" t="s">
        <v>670</v>
      </c>
      <c r="H62" t="s">
        <v>412</v>
      </c>
      <c r="I62">
        <v>383</v>
      </c>
      <c r="J62">
        <v>34</v>
      </c>
      <c r="K62" t="s">
        <v>414</v>
      </c>
      <c r="L62">
        <v>8269</v>
      </c>
      <c r="M62" t="s">
        <v>328</v>
      </c>
      <c r="N62" t="s">
        <v>415</v>
      </c>
      <c r="O62">
        <v>1</v>
      </c>
      <c r="P62">
        <v>2</v>
      </c>
      <c r="Q62">
        <v>-99</v>
      </c>
      <c r="R62" t="s">
        <v>692</v>
      </c>
    </row>
    <row r="63" spans="1:18" x14ac:dyDescent="0.2">
      <c r="A63">
        <v>62</v>
      </c>
      <c r="B63">
        <v>102</v>
      </c>
      <c r="C63" t="s">
        <v>170</v>
      </c>
      <c r="D63" t="s">
        <v>73</v>
      </c>
      <c r="E63" t="s">
        <v>597</v>
      </c>
      <c r="F63" t="s">
        <v>598</v>
      </c>
      <c r="G63" t="s">
        <v>670</v>
      </c>
      <c r="H63" t="s">
        <v>412</v>
      </c>
      <c r="I63">
        <v>383</v>
      </c>
      <c r="J63">
        <v>33</v>
      </c>
      <c r="K63" t="s">
        <v>395</v>
      </c>
      <c r="L63">
        <v>8270</v>
      </c>
      <c r="M63" t="s">
        <v>354</v>
      </c>
      <c r="N63" t="s">
        <v>416</v>
      </c>
      <c r="O63">
        <v>1</v>
      </c>
      <c r="P63">
        <v>1</v>
      </c>
      <c r="Q63">
        <v>-99</v>
      </c>
      <c r="R63" t="s">
        <v>692</v>
      </c>
    </row>
    <row r="64" spans="1:18" x14ac:dyDescent="0.2">
      <c r="A64">
        <v>63</v>
      </c>
      <c r="B64">
        <v>-99</v>
      </c>
      <c r="C64" t="s">
        <v>170</v>
      </c>
      <c r="D64" t="s">
        <v>73</v>
      </c>
      <c r="E64" t="s">
        <v>599</v>
      </c>
      <c r="F64" t="s">
        <v>219</v>
      </c>
      <c r="G64" t="s">
        <v>670</v>
      </c>
      <c r="H64" t="s">
        <v>412</v>
      </c>
      <c r="I64">
        <v>383</v>
      </c>
      <c r="J64">
        <v>33</v>
      </c>
      <c r="K64" t="s">
        <v>395</v>
      </c>
      <c r="L64">
        <v>8270</v>
      </c>
      <c r="M64" t="s">
        <v>354</v>
      </c>
      <c r="N64" t="s">
        <v>416</v>
      </c>
      <c r="O64">
        <v>-99</v>
      </c>
      <c r="P64">
        <v>1</v>
      </c>
      <c r="Q64">
        <v>-99</v>
      </c>
      <c r="R64" t="s">
        <v>689</v>
      </c>
    </row>
    <row r="65" spans="1:18" x14ac:dyDescent="0.2">
      <c r="A65">
        <v>64</v>
      </c>
      <c r="B65">
        <v>103</v>
      </c>
      <c r="C65" t="s">
        <v>171</v>
      </c>
      <c r="D65" t="s">
        <v>65</v>
      </c>
      <c r="E65" t="s">
        <v>600</v>
      </c>
      <c r="F65" t="s">
        <v>601</v>
      </c>
      <c r="G65" t="s">
        <v>670</v>
      </c>
      <c r="H65" t="s">
        <v>412</v>
      </c>
      <c r="I65">
        <v>383</v>
      </c>
      <c r="J65">
        <v>34</v>
      </c>
      <c r="K65" t="s">
        <v>414</v>
      </c>
      <c r="L65">
        <v>8272</v>
      </c>
      <c r="M65" t="s">
        <v>342</v>
      </c>
      <c r="N65" t="s">
        <v>417</v>
      </c>
      <c r="O65">
        <v>1</v>
      </c>
      <c r="P65">
        <v>2</v>
      </c>
      <c r="Q65">
        <v>-99</v>
      </c>
      <c r="R65" t="s">
        <v>692</v>
      </c>
    </row>
    <row r="66" spans="1:18" x14ac:dyDescent="0.2">
      <c r="A66">
        <v>65</v>
      </c>
      <c r="B66">
        <v>104</v>
      </c>
      <c r="C66" t="s">
        <v>172</v>
      </c>
      <c r="D66" t="s">
        <v>55</v>
      </c>
      <c r="E66" t="s">
        <v>602</v>
      </c>
      <c r="F66" t="s">
        <v>603</v>
      </c>
      <c r="G66" t="s">
        <v>670</v>
      </c>
      <c r="H66" t="s">
        <v>412</v>
      </c>
      <c r="I66">
        <v>383</v>
      </c>
      <c r="J66">
        <v>34</v>
      </c>
      <c r="K66" t="s">
        <v>414</v>
      </c>
      <c r="L66">
        <v>8221</v>
      </c>
      <c r="M66" t="s">
        <v>342</v>
      </c>
      <c r="N66" t="s">
        <v>417</v>
      </c>
      <c r="O66">
        <v>1</v>
      </c>
      <c r="P66">
        <v>2</v>
      </c>
      <c r="Q66">
        <v>-99</v>
      </c>
      <c r="R66" t="s">
        <v>692</v>
      </c>
    </row>
    <row r="67" spans="1:18" x14ac:dyDescent="0.2">
      <c r="A67">
        <v>66</v>
      </c>
      <c r="B67">
        <v>196</v>
      </c>
      <c r="C67" t="s">
        <v>173</v>
      </c>
      <c r="D67" t="s">
        <v>67</v>
      </c>
      <c r="E67" t="s">
        <v>604</v>
      </c>
      <c r="F67" t="s">
        <v>605</v>
      </c>
      <c r="G67" t="s">
        <v>670</v>
      </c>
      <c r="H67" t="s">
        <v>412</v>
      </c>
      <c r="I67">
        <v>383</v>
      </c>
      <c r="J67">
        <v>34</v>
      </c>
      <c r="K67" t="s">
        <v>414</v>
      </c>
      <c r="L67">
        <v>8202</v>
      </c>
      <c r="M67" t="s">
        <v>355</v>
      </c>
      <c r="N67" t="s">
        <v>436</v>
      </c>
      <c r="O67">
        <v>1</v>
      </c>
      <c r="P67">
        <v>2</v>
      </c>
      <c r="Q67">
        <v>-99</v>
      </c>
      <c r="R67" t="s">
        <v>692</v>
      </c>
    </row>
    <row r="68" spans="1:18" x14ac:dyDescent="0.2">
      <c r="A68">
        <v>67</v>
      </c>
      <c r="B68">
        <v>110</v>
      </c>
      <c r="C68" t="s">
        <v>174</v>
      </c>
      <c r="D68" t="s">
        <v>76</v>
      </c>
      <c r="E68" t="s">
        <v>606</v>
      </c>
      <c r="F68" t="s">
        <v>607</v>
      </c>
      <c r="G68" t="s">
        <v>670</v>
      </c>
      <c r="H68" t="s">
        <v>412</v>
      </c>
      <c r="I68">
        <v>383</v>
      </c>
      <c r="J68">
        <v>34</v>
      </c>
      <c r="K68" t="s">
        <v>414</v>
      </c>
      <c r="L68">
        <v>8203</v>
      </c>
      <c r="M68" t="s">
        <v>339</v>
      </c>
      <c r="N68" t="s">
        <v>83</v>
      </c>
      <c r="O68">
        <v>1</v>
      </c>
      <c r="P68">
        <v>1</v>
      </c>
      <c r="Q68">
        <v>-99</v>
      </c>
      <c r="R68" t="s">
        <v>692</v>
      </c>
    </row>
    <row r="69" spans="1:18" x14ac:dyDescent="0.2">
      <c r="A69">
        <v>68</v>
      </c>
      <c r="B69">
        <v>-99</v>
      </c>
      <c r="C69" t="s">
        <v>174</v>
      </c>
      <c r="D69" t="s">
        <v>76</v>
      </c>
      <c r="E69" t="s">
        <v>608</v>
      </c>
      <c r="F69" t="s">
        <v>609</v>
      </c>
      <c r="G69" t="s">
        <v>670</v>
      </c>
      <c r="H69" t="s">
        <v>412</v>
      </c>
      <c r="I69">
        <v>383</v>
      </c>
      <c r="J69">
        <v>34</v>
      </c>
      <c r="K69" t="s">
        <v>414</v>
      </c>
      <c r="L69">
        <v>8203</v>
      </c>
      <c r="M69" t="s">
        <v>339</v>
      </c>
      <c r="N69" t="s">
        <v>83</v>
      </c>
      <c r="O69">
        <v>-99</v>
      </c>
      <c r="P69">
        <v>1</v>
      </c>
      <c r="Q69">
        <v>-99</v>
      </c>
      <c r="R69" t="s">
        <v>408</v>
      </c>
    </row>
    <row r="70" spans="1:18" x14ac:dyDescent="0.2">
      <c r="A70">
        <v>69</v>
      </c>
      <c r="B70">
        <v>111</v>
      </c>
      <c r="C70" t="s">
        <v>175</v>
      </c>
      <c r="D70" t="s">
        <v>37</v>
      </c>
      <c r="E70" t="s">
        <v>610</v>
      </c>
      <c r="F70" t="s">
        <v>611</v>
      </c>
      <c r="G70" t="s">
        <v>670</v>
      </c>
      <c r="H70" t="s">
        <v>412</v>
      </c>
      <c r="I70">
        <v>383</v>
      </c>
      <c r="J70">
        <v>34</v>
      </c>
      <c r="K70" t="s">
        <v>414</v>
      </c>
      <c r="L70">
        <v>8204</v>
      </c>
      <c r="M70" t="s">
        <v>344</v>
      </c>
      <c r="N70" t="s">
        <v>418</v>
      </c>
      <c r="O70">
        <v>1</v>
      </c>
      <c r="P70">
        <v>2</v>
      </c>
      <c r="Q70">
        <v>-99</v>
      </c>
      <c r="R70" t="s">
        <v>692</v>
      </c>
    </row>
    <row r="71" spans="1:18" x14ac:dyDescent="0.2">
      <c r="A71">
        <v>70</v>
      </c>
      <c r="B71">
        <v>112</v>
      </c>
      <c r="C71" t="s">
        <v>176</v>
      </c>
      <c r="D71" t="s">
        <v>69</v>
      </c>
      <c r="E71" t="s">
        <v>612</v>
      </c>
      <c r="F71" t="s">
        <v>613</v>
      </c>
      <c r="G71" t="s">
        <v>670</v>
      </c>
      <c r="H71" t="s">
        <v>412</v>
      </c>
      <c r="I71">
        <v>383</v>
      </c>
      <c r="J71">
        <v>34</v>
      </c>
      <c r="K71" t="s">
        <v>414</v>
      </c>
      <c r="L71">
        <v>8205</v>
      </c>
      <c r="M71" t="s">
        <v>361</v>
      </c>
      <c r="N71" t="s">
        <v>419</v>
      </c>
      <c r="O71">
        <v>1</v>
      </c>
      <c r="P71">
        <v>2</v>
      </c>
      <c r="Q71">
        <v>-99</v>
      </c>
      <c r="R71" t="s">
        <v>692</v>
      </c>
    </row>
    <row r="72" spans="1:18" x14ac:dyDescent="0.2">
      <c r="A72">
        <v>71</v>
      </c>
      <c r="B72">
        <v>113</v>
      </c>
      <c r="C72" t="s">
        <v>177</v>
      </c>
      <c r="D72" t="s">
        <v>82</v>
      </c>
      <c r="E72" t="s">
        <v>614</v>
      </c>
      <c r="F72" t="s">
        <v>615</v>
      </c>
      <c r="G72" t="s">
        <v>668</v>
      </c>
      <c r="H72" t="s">
        <v>396</v>
      </c>
      <c r="I72">
        <v>382</v>
      </c>
      <c r="J72">
        <v>33</v>
      </c>
      <c r="K72" t="s">
        <v>395</v>
      </c>
      <c r="L72">
        <v>8206</v>
      </c>
      <c r="M72" t="s">
        <v>337</v>
      </c>
      <c r="N72" t="s">
        <v>420</v>
      </c>
      <c r="O72">
        <v>1</v>
      </c>
      <c r="P72">
        <v>2</v>
      </c>
      <c r="Q72">
        <v>-99</v>
      </c>
      <c r="R72" t="s">
        <v>692</v>
      </c>
    </row>
    <row r="73" spans="1:18" x14ac:dyDescent="0.2">
      <c r="A73">
        <v>72</v>
      </c>
      <c r="B73">
        <v>114</v>
      </c>
      <c r="C73" t="s">
        <v>178</v>
      </c>
      <c r="D73" t="s">
        <v>54</v>
      </c>
      <c r="E73" t="s">
        <v>616</v>
      </c>
      <c r="F73" t="s">
        <v>617</v>
      </c>
      <c r="G73" t="s">
        <v>668</v>
      </c>
      <c r="H73" t="s">
        <v>396</v>
      </c>
      <c r="I73">
        <v>382</v>
      </c>
      <c r="J73">
        <v>33</v>
      </c>
      <c r="K73" t="s">
        <v>395</v>
      </c>
      <c r="L73">
        <v>8207</v>
      </c>
      <c r="M73" t="s">
        <v>325</v>
      </c>
      <c r="N73" t="s">
        <v>421</v>
      </c>
      <c r="O73">
        <v>1</v>
      </c>
      <c r="P73">
        <v>2</v>
      </c>
      <c r="Q73">
        <v>-99</v>
      </c>
      <c r="R73" t="s">
        <v>692</v>
      </c>
    </row>
    <row r="74" spans="1:18" x14ac:dyDescent="0.2">
      <c r="A74">
        <v>73</v>
      </c>
      <c r="B74">
        <v>115</v>
      </c>
      <c r="C74" t="s">
        <v>179</v>
      </c>
      <c r="D74" t="s">
        <v>27</v>
      </c>
      <c r="E74" t="s">
        <v>618</v>
      </c>
      <c r="F74" t="s">
        <v>619</v>
      </c>
      <c r="G74" t="s">
        <v>668</v>
      </c>
      <c r="H74" t="s">
        <v>396</v>
      </c>
      <c r="I74">
        <v>382</v>
      </c>
      <c r="J74">
        <v>33</v>
      </c>
      <c r="K74" t="s">
        <v>395</v>
      </c>
      <c r="L74">
        <v>8208</v>
      </c>
      <c r="M74" t="s">
        <v>348</v>
      </c>
      <c r="N74" t="s">
        <v>422</v>
      </c>
      <c r="O74">
        <v>1</v>
      </c>
      <c r="P74">
        <v>2</v>
      </c>
      <c r="Q74">
        <v>-99</v>
      </c>
      <c r="R74" t="s">
        <v>692</v>
      </c>
    </row>
    <row r="75" spans="1:18" x14ac:dyDescent="0.2">
      <c r="A75">
        <v>74</v>
      </c>
      <c r="B75">
        <v>116</v>
      </c>
      <c r="C75" t="s">
        <v>180</v>
      </c>
      <c r="D75" t="s">
        <v>71</v>
      </c>
      <c r="E75" t="s">
        <v>620</v>
      </c>
      <c r="F75" t="s">
        <v>621</v>
      </c>
      <c r="G75" t="s">
        <v>670</v>
      </c>
      <c r="H75" t="s">
        <v>412</v>
      </c>
      <c r="I75">
        <v>383</v>
      </c>
      <c r="J75">
        <v>34</v>
      </c>
      <c r="K75" t="s">
        <v>414</v>
      </c>
      <c r="L75">
        <v>8210</v>
      </c>
      <c r="M75" t="s">
        <v>338</v>
      </c>
      <c r="N75" t="s">
        <v>423</v>
      </c>
      <c r="O75">
        <v>1</v>
      </c>
      <c r="P75">
        <v>2</v>
      </c>
      <c r="Q75">
        <v>-99</v>
      </c>
      <c r="R75" t="s">
        <v>692</v>
      </c>
    </row>
    <row r="76" spans="1:18" x14ac:dyDescent="0.2">
      <c r="A76">
        <v>75</v>
      </c>
      <c r="B76">
        <v>197</v>
      </c>
      <c r="C76" t="s">
        <v>181</v>
      </c>
      <c r="D76" t="s">
        <v>75</v>
      </c>
      <c r="E76" t="s">
        <v>622</v>
      </c>
      <c r="F76" t="s">
        <v>623</v>
      </c>
      <c r="G76" t="s">
        <v>667</v>
      </c>
      <c r="H76" t="s">
        <v>387</v>
      </c>
      <c r="I76">
        <v>381</v>
      </c>
      <c r="J76">
        <v>31</v>
      </c>
      <c r="K76" t="s">
        <v>390</v>
      </c>
      <c r="L76">
        <v>8211</v>
      </c>
      <c r="M76" t="s">
        <v>341</v>
      </c>
      <c r="N76" t="s">
        <v>437</v>
      </c>
      <c r="O76">
        <v>1</v>
      </c>
      <c r="P76">
        <v>2</v>
      </c>
      <c r="Q76">
        <v>-99</v>
      </c>
      <c r="R76" t="s">
        <v>692</v>
      </c>
    </row>
    <row r="77" spans="1:18" x14ac:dyDescent="0.2">
      <c r="A77">
        <v>76</v>
      </c>
      <c r="B77">
        <v>119</v>
      </c>
      <c r="C77" t="s">
        <v>182</v>
      </c>
      <c r="D77" t="s">
        <v>58</v>
      </c>
      <c r="E77" t="s">
        <v>624</v>
      </c>
      <c r="F77" t="s">
        <v>625</v>
      </c>
      <c r="G77" t="s">
        <v>670</v>
      </c>
      <c r="H77" t="s">
        <v>412</v>
      </c>
      <c r="I77">
        <v>383</v>
      </c>
      <c r="J77">
        <v>34</v>
      </c>
      <c r="K77" t="s">
        <v>414</v>
      </c>
      <c r="L77">
        <v>8223</v>
      </c>
      <c r="M77" t="s">
        <v>626</v>
      </c>
      <c r="N77" t="s">
        <v>627</v>
      </c>
      <c r="O77">
        <v>1</v>
      </c>
      <c r="P77">
        <v>2</v>
      </c>
      <c r="Q77">
        <v>-99</v>
      </c>
      <c r="R77" t="s">
        <v>692</v>
      </c>
    </row>
    <row r="78" spans="1:18" x14ac:dyDescent="0.2">
      <c r="A78">
        <v>77</v>
      </c>
      <c r="B78">
        <v>131</v>
      </c>
      <c r="C78" t="s">
        <v>183</v>
      </c>
      <c r="D78" t="s">
        <v>49</v>
      </c>
      <c r="E78" t="s">
        <v>628</v>
      </c>
      <c r="F78" t="s">
        <v>629</v>
      </c>
      <c r="G78" t="s">
        <v>668</v>
      </c>
      <c r="H78" t="s">
        <v>396</v>
      </c>
      <c r="I78">
        <v>382</v>
      </c>
      <c r="J78">
        <v>33</v>
      </c>
      <c r="K78" t="s">
        <v>395</v>
      </c>
      <c r="L78">
        <v>8226</v>
      </c>
      <c r="M78" t="s">
        <v>337</v>
      </c>
      <c r="N78" t="s">
        <v>420</v>
      </c>
      <c r="O78">
        <v>1</v>
      </c>
      <c r="P78">
        <v>2</v>
      </c>
      <c r="Q78">
        <v>-99</v>
      </c>
      <c r="R78" t="s">
        <v>692</v>
      </c>
    </row>
    <row r="79" spans="1:18" x14ac:dyDescent="0.2">
      <c r="A79">
        <v>78</v>
      </c>
      <c r="B79">
        <v>132</v>
      </c>
      <c r="C79" t="s">
        <v>679</v>
      </c>
      <c r="D79" t="s">
        <v>440</v>
      </c>
      <c r="E79" t="s">
        <v>630</v>
      </c>
      <c r="F79" t="s">
        <v>680</v>
      </c>
      <c r="G79" t="s">
        <v>667</v>
      </c>
      <c r="H79" t="s">
        <v>387</v>
      </c>
      <c r="I79">
        <v>381</v>
      </c>
      <c r="J79">
        <v>30</v>
      </c>
      <c r="K79" t="s">
        <v>379</v>
      </c>
      <c r="L79">
        <v>8229</v>
      </c>
      <c r="M79" t="s">
        <v>356</v>
      </c>
      <c r="N79" t="s">
        <v>424</v>
      </c>
      <c r="O79">
        <v>1</v>
      </c>
      <c r="P79">
        <v>2</v>
      </c>
      <c r="Q79">
        <v>-99</v>
      </c>
      <c r="R79" t="s">
        <v>692</v>
      </c>
    </row>
    <row r="80" spans="1:18" x14ac:dyDescent="0.2">
      <c r="A80">
        <v>79</v>
      </c>
      <c r="B80">
        <v>143</v>
      </c>
      <c r="C80" t="s">
        <v>184</v>
      </c>
      <c r="D80" t="s">
        <v>57</v>
      </c>
      <c r="E80" t="s">
        <v>631</v>
      </c>
      <c r="F80" t="s">
        <v>632</v>
      </c>
      <c r="G80" t="s">
        <v>666</v>
      </c>
      <c r="H80" t="s">
        <v>380</v>
      </c>
      <c r="I80">
        <v>380</v>
      </c>
      <c r="J80">
        <v>30</v>
      </c>
      <c r="K80" t="s">
        <v>379</v>
      </c>
      <c r="L80">
        <v>8230</v>
      </c>
      <c r="M80" t="s">
        <v>369</v>
      </c>
      <c r="N80" t="s">
        <v>425</v>
      </c>
      <c r="O80">
        <v>1</v>
      </c>
      <c r="P80">
        <v>2</v>
      </c>
      <c r="Q80">
        <v>-99</v>
      </c>
      <c r="R80" t="s">
        <v>692</v>
      </c>
    </row>
    <row r="81" spans="1:18" x14ac:dyDescent="0.2">
      <c r="A81">
        <v>80</v>
      </c>
      <c r="B81">
        <v>144</v>
      </c>
      <c r="C81" t="s">
        <v>681</v>
      </c>
      <c r="D81" t="s">
        <v>499</v>
      </c>
      <c r="E81" t="s">
        <v>681</v>
      </c>
      <c r="F81" t="s">
        <v>499</v>
      </c>
      <c r="G81" t="s">
        <v>678</v>
      </c>
      <c r="H81" t="s">
        <v>8</v>
      </c>
      <c r="I81">
        <v>-99</v>
      </c>
      <c r="J81">
        <v>35</v>
      </c>
      <c r="K81" t="s">
        <v>8</v>
      </c>
      <c r="L81">
        <v>8215</v>
      </c>
      <c r="M81" t="s">
        <v>349</v>
      </c>
      <c r="N81" t="s">
        <v>407</v>
      </c>
      <c r="O81">
        <v>1</v>
      </c>
      <c r="P81">
        <v>2</v>
      </c>
      <c r="Q81">
        <v>-99</v>
      </c>
      <c r="R81" t="s">
        <v>664</v>
      </c>
    </row>
    <row r="82" spans="1:18" x14ac:dyDescent="0.2">
      <c r="A82">
        <v>81</v>
      </c>
      <c r="B82">
        <v>145</v>
      </c>
      <c r="C82" t="s">
        <v>185</v>
      </c>
      <c r="D82" t="s">
        <v>74</v>
      </c>
      <c r="E82" t="s">
        <v>633</v>
      </c>
      <c r="F82" t="s">
        <v>634</v>
      </c>
      <c r="G82" t="s">
        <v>670</v>
      </c>
      <c r="H82" t="s">
        <v>412</v>
      </c>
      <c r="I82">
        <v>383</v>
      </c>
      <c r="J82">
        <v>34</v>
      </c>
      <c r="K82" t="s">
        <v>414</v>
      </c>
      <c r="L82">
        <v>8231</v>
      </c>
      <c r="M82" t="s">
        <v>342</v>
      </c>
      <c r="N82" t="s">
        <v>417</v>
      </c>
      <c r="O82">
        <v>1</v>
      </c>
      <c r="P82">
        <v>1</v>
      </c>
      <c r="Q82">
        <v>-99</v>
      </c>
      <c r="R82" t="s">
        <v>692</v>
      </c>
    </row>
    <row r="83" spans="1:18" x14ac:dyDescent="0.2">
      <c r="A83">
        <v>82</v>
      </c>
      <c r="B83">
        <v>-99</v>
      </c>
      <c r="C83" t="s">
        <v>185</v>
      </c>
      <c r="D83" t="s">
        <v>74</v>
      </c>
      <c r="E83" t="s">
        <v>635</v>
      </c>
      <c r="F83" t="s">
        <v>968</v>
      </c>
      <c r="G83" t="s">
        <v>670</v>
      </c>
      <c r="H83" t="s">
        <v>412</v>
      </c>
      <c r="I83">
        <v>383</v>
      </c>
      <c r="J83">
        <v>34</v>
      </c>
      <c r="K83" t="s">
        <v>414</v>
      </c>
      <c r="L83">
        <v>8231</v>
      </c>
      <c r="M83" t="s">
        <v>342</v>
      </c>
      <c r="N83" t="s">
        <v>417</v>
      </c>
      <c r="O83">
        <v>-99</v>
      </c>
      <c r="P83">
        <v>1</v>
      </c>
      <c r="Q83">
        <v>-99</v>
      </c>
      <c r="R83" t="s">
        <v>690</v>
      </c>
    </row>
    <row r="84" spans="1:18" x14ac:dyDescent="0.2">
      <c r="A84">
        <v>83</v>
      </c>
      <c r="B84">
        <v>151</v>
      </c>
      <c r="C84" t="s">
        <v>682</v>
      </c>
      <c r="D84" t="s">
        <v>8</v>
      </c>
      <c r="E84" t="s">
        <v>682</v>
      </c>
      <c r="F84" t="s">
        <v>500</v>
      </c>
      <c r="G84" t="s">
        <v>678</v>
      </c>
      <c r="H84" t="s">
        <v>8</v>
      </c>
      <c r="I84">
        <v>380</v>
      </c>
      <c r="J84">
        <v>35</v>
      </c>
      <c r="K84" t="s">
        <v>8</v>
      </c>
      <c r="L84">
        <v>3180155</v>
      </c>
      <c r="M84" t="s">
        <v>356</v>
      </c>
      <c r="N84" t="s">
        <v>424</v>
      </c>
      <c r="O84">
        <v>1</v>
      </c>
      <c r="P84">
        <v>2</v>
      </c>
      <c r="Q84">
        <v>-99</v>
      </c>
      <c r="R84" t="s">
        <v>664</v>
      </c>
    </row>
    <row r="85" spans="1:18" x14ac:dyDescent="0.2">
      <c r="A85">
        <v>84</v>
      </c>
      <c r="B85">
        <v>152</v>
      </c>
      <c r="C85" t="s">
        <v>186</v>
      </c>
      <c r="D85" t="s">
        <v>81</v>
      </c>
      <c r="E85" t="s">
        <v>636</v>
      </c>
      <c r="F85" t="s">
        <v>637</v>
      </c>
      <c r="G85" t="s">
        <v>666</v>
      </c>
      <c r="H85" t="s">
        <v>380</v>
      </c>
      <c r="I85">
        <v>380</v>
      </c>
      <c r="J85">
        <v>30</v>
      </c>
      <c r="K85" t="s">
        <v>379</v>
      </c>
      <c r="L85">
        <v>8234</v>
      </c>
      <c r="M85" t="s">
        <v>362</v>
      </c>
      <c r="N85" t="s">
        <v>426</v>
      </c>
      <c r="O85">
        <v>1</v>
      </c>
      <c r="P85">
        <v>2</v>
      </c>
      <c r="Q85">
        <v>-99</v>
      </c>
      <c r="R85" t="s">
        <v>692</v>
      </c>
    </row>
    <row r="86" spans="1:18" x14ac:dyDescent="0.2">
      <c r="A86">
        <v>85</v>
      </c>
      <c r="B86">
        <v>153</v>
      </c>
      <c r="C86" t="s">
        <v>92</v>
      </c>
      <c r="D86" t="s">
        <v>141</v>
      </c>
      <c r="E86" t="s">
        <v>638</v>
      </c>
      <c r="F86" t="s">
        <v>639</v>
      </c>
      <c r="G86" t="s">
        <v>666</v>
      </c>
      <c r="H86" t="s">
        <v>380</v>
      </c>
      <c r="I86">
        <v>380</v>
      </c>
      <c r="J86">
        <v>30</v>
      </c>
      <c r="K86" t="s">
        <v>379</v>
      </c>
      <c r="L86">
        <v>8236</v>
      </c>
      <c r="M86" t="s">
        <v>375</v>
      </c>
      <c r="N86" t="s">
        <v>427</v>
      </c>
      <c r="O86">
        <v>1</v>
      </c>
      <c r="P86">
        <v>2</v>
      </c>
      <c r="Q86">
        <v>-99</v>
      </c>
      <c r="R86" t="s">
        <v>692</v>
      </c>
    </row>
    <row r="87" spans="1:18" x14ac:dyDescent="0.2">
      <c r="A87">
        <v>86</v>
      </c>
      <c r="B87">
        <v>154</v>
      </c>
      <c r="C87" t="s">
        <v>188</v>
      </c>
      <c r="D87" t="s">
        <v>187</v>
      </c>
      <c r="E87" t="s">
        <v>640</v>
      </c>
      <c r="F87" t="s">
        <v>641</v>
      </c>
      <c r="G87" t="s">
        <v>670</v>
      </c>
      <c r="H87" t="s">
        <v>412</v>
      </c>
      <c r="I87">
        <v>383</v>
      </c>
      <c r="J87">
        <v>33</v>
      </c>
      <c r="K87" t="s">
        <v>395</v>
      </c>
      <c r="L87">
        <v>8265</v>
      </c>
      <c r="M87" t="s">
        <v>368</v>
      </c>
      <c r="N87" t="s">
        <v>428</v>
      </c>
      <c r="O87">
        <v>1</v>
      </c>
      <c r="P87">
        <v>2</v>
      </c>
      <c r="Q87">
        <v>-99</v>
      </c>
      <c r="R87" t="s">
        <v>692</v>
      </c>
    </row>
    <row r="88" spans="1:18" x14ac:dyDescent="0.2">
      <c r="A88">
        <v>87</v>
      </c>
      <c r="B88">
        <v>155</v>
      </c>
      <c r="C88" t="s">
        <v>189</v>
      </c>
      <c r="D88" t="s">
        <v>46</v>
      </c>
      <c r="E88" t="s">
        <v>642</v>
      </c>
      <c r="F88" t="s">
        <v>643</v>
      </c>
      <c r="G88" t="s">
        <v>668</v>
      </c>
      <c r="H88" t="s">
        <v>396</v>
      </c>
      <c r="I88">
        <v>382</v>
      </c>
      <c r="J88">
        <v>32</v>
      </c>
      <c r="K88" t="s">
        <v>400</v>
      </c>
      <c r="L88">
        <v>8266</v>
      </c>
      <c r="M88" t="s">
        <v>333</v>
      </c>
      <c r="N88" t="s">
        <v>429</v>
      </c>
      <c r="O88">
        <v>1</v>
      </c>
      <c r="P88">
        <v>2</v>
      </c>
      <c r="Q88">
        <v>-99</v>
      </c>
      <c r="R88" t="s">
        <v>692</v>
      </c>
    </row>
    <row r="89" spans="1:18" x14ac:dyDescent="0.2">
      <c r="A89">
        <v>88</v>
      </c>
      <c r="B89">
        <v>156</v>
      </c>
      <c r="C89" t="s">
        <v>190</v>
      </c>
      <c r="D89" t="s">
        <v>77</v>
      </c>
      <c r="E89" t="s">
        <v>644</v>
      </c>
      <c r="F89" t="s">
        <v>645</v>
      </c>
      <c r="G89" t="s">
        <v>668</v>
      </c>
      <c r="H89" t="s">
        <v>396</v>
      </c>
      <c r="I89">
        <v>382</v>
      </c>
      <c r="J89">
        <v>32</v>
      </c>
      <c r="K89" t="s">
        <v>400</v>
      </c>
      <c r="L89">
        <v>8267</v>
      </c>
      <c r="M89" t="s">
        <v>351</v>
      </c>
      <c r="N89" t="s">
        <v>430</v>
      </c>
      <c r="O89">
        <v>1</v>
      </c>
      <c r="P89">
        <v>2</v>
      </c>
      <c r="Q89">
        <v>-99</v>
      </c>
      <c r="R89" t="s">
        <v>692</v>
      </c>
    </row>
    <row r="90" spans="1:18" x14ac:dyDescent="0.2">
      <c r="A90">
        <v>89</v>
      </c>
      <c r="B90">
        <v>157</v>
      </c>
      <c r="C90" t="s">
        <v>683</v>
      </c>
      <c r="D90" t="s">
        <v>39</v>
      </c>
      <c r="E90" t="s">
        <v>646</v>
      </c>
      <c r="F90" t="s">
        <v>647</v>
      </c>
      <c r="G90" t="s">
        <v>670</v>
      </c>
      <c r="H90" t="s">
        <v>412</v>
      </c>
      <c r="I90">
        <v>383</v>
      </c>
      <c r="J90">
        <v>33</v>
      </c>
      <c r="K90" t="s">
        <v>395</v>
      </c>
      <c r="L90">
        <v>8271</v>
      </c>
      <c r="M90" t="s">
        <v>329</v>
      </c>
      <c r="N90" t="s">
        <v>431</v>
      </c>
      <c r="O90">
        <v>1</v>
      </c>
      <c r="P90">
        <v>2</v>
      </c>
      <c r="Q90">
        <v>-99</v>
      </c>
      <c r="R90" t="s">
        <v>692</v>
      </c>
    </row>
    <row r="91" spans="1:18" x14ac:dyDescent="0.2">
      <c r="A91">
        <v>90</v>
      </c>
      <c r="B91">
        <v>158</v>
      </c>
      <c r="C91" t="s">
        <v>191</v>
      </c>
      <c r="D91" t="s">
        <v>84</v>
      </c>
      <c r="E91" t="s">
        <v>648</v>
      </c>
      <c r="F91" t="s">
        <v>649</v>
      </c>
      <c r="G91" t="s">
        <v>668</v>
      </c>
      <c r="H91" t="s">
        <v>396</v>
      </c>
      <c r="I91">
        <v>382</v>
      </c>
      <c r="J91">
        <v>32</v>
      </c>
      <c r="K91" t="s">
        <v>400</v>
      </c>
      <c r="L91">
        <v>8209</v>
      </c>
      <c r="M91" t="s">
        <v>374</v>
      </c>
      <c r="N91" t="s">
        <v>432</v>
      </c>
      <c r="O91">
        <v>1</v>
      </c>
      <c r="P91">
        <v>2</v>
      </c>
      <c r="Q91">
        <v>-99</v>
      </c>
      <c r="R91" t="s">
        <v>692</v>
      </c>
    </row>
    <row r="92" spans="1:18" x14ac:dyDescent="0.2">
      <c r="A92">
        <v>91</v>
      </c>
      <c r="B92">
        <v>198</v>
      </c>
      <c r="C92" t="s">
        <v>192</v>
      </c>
      <c r="D92" t="s">
        <v>48</v>
      </c>
      <c r="E92" t="s">
        <v>650</v>
      </c>
      <c r="F92" t="s">
        <v>651</v>
      </c>
      <c r="G92" t="s">
        <v>670</v>
      </c>
      <c r="H92" t="s">
        <v>412</v>
      </c>
      <c r="I92">
        <v>383</v>
      </c>
      <c r="J92">
        <v>34</v>
      </c>
      <c r="K92" t="s">
        <v>414</v>
      </c>
      <c r="L92">
        <v>8224</v>
      </c>
      <c r="M92" t="s">
        <v>371</v>
      </c>
      <c r="N92" t="s">
        <v>438</v>
      </c>
      <c r="O92">
        <v>1</v>
      </c>
      <c r="P92">
        <v>2</v>
      </c>
      <c r="Q92">
        <v>-99</v>
      </c>
      <c r="R92" t="s">
        <v>692</v>
      </c>
    </row>
    <row r="93" spans="1:18" x14ac:dyDescent="0.2">
      <c r="A93">
        <v>92</v>
      </c>
      <c r="B93">
        <v>161</v>
      </c>
      <c r="C93" t="s">
        <v>193</v>
      </c>
      <c r="D93" t="s">
        <v>85</v>
      </c>
      <c r="E93" t="s">
        <v>652</v>
      </c>
      <c r="F93" t="s">
        <v>653</v>
      </c>
      <c r="G93" t="s">
        <v>666</v>
      </c>
      <c r="H93" t="s">
        <v>380</v>
      </c>
      <c r="I93">
        <v>380</v>
      </c>
      <c r="J93">
        <v>30</v>
      </c>
      <c r="K93" t="s">
        <v>379</v>
      </c>
      <c r="L93">
        <v>8225</v>
      </c>
      <c r="M93" t="s">
        <v>334</v>
      </c>
      <c r="N93" t="s">
        <v>433</v>
      </c>
      <c r="O93">
        <v>1</v>
      </c>
      <c r="P93">
        <v>2</v>
      </c>
      <c r="Q93">
        <v>-99</v>
      </c>
      <c r="R93" t="s">
        <v>692</v>
      </c>
    </row>
    <row r="94" spans="1:18" x14ac:dyDescent="0.2">
      <c r="A94">
        <v>93</v>
      </c>
      <c r="B94">
        <v>162</v>
      </c>
      <c r="C94" t="s">
        <v>194</v>
      </c>
      <c r="D94" t="s">
        <v>35</v>
      </c>
      <c r="E94" t="s">
        <v>654</v>
      </c>
      <c r="F94" t="s">
        <v>655</v>
      </c>
      <c r="G94" t="s">
        <v>670</v>
      </c>
      <c r="H94" t="s">
        <v>412</v>
      </c>
      <c r="I94">
        <v>383</v>
      </c>
      <c r="J94">
        <v>34</v>
      </c>
      <c r="K94" t="s">
        <v>414</v>
      </c>
      <c r="L94">
        <v>8227</v>
      </c>
      <c r="M94" t="s">
        <v>487</v>
      </c>
      <c r="N94" t="s">
        <v>434</v>
      </c>
      <c r="O94">
        <v>1</v>
      </c>
      <c r="P94">
        <v>2</v>
      </c>
      <c r="Q94">
        <v>-99</v>
      </c>
      <c r="R94" t="s">
        <v>692</v>
      </c>
    </row>
    <row r="95" spans="1:18" x14ac:dyDescent="0.2">
      <c r="A95">
        <v>94</v>
      </c>
      <c r="B95">
        <v>-99</v>
      </c>
      <c r="C95" t="s">
        <v>684</v>
      </c>
      <c r="D95" t="s">
        <v>8</v>
      </c>
      <c r="E95" t="s">
        <v>685</v>
      </c>
      <c r="F95" t="s">
        <v>232</v>
      </c>
      <c r="G95" t="s">
        <v>664</v>
      </c>
      <c r="H95" t="s">
        <v>8</v>
      </c>
      <c r="I95">
        <v>-99</v>
      </c>
      <c r="J95">
        <v>-99</v>
      </c>
      <c r="K95" t="s">
        <v>8</v>
      </c>
      <c r="L95">
        <v>-99</v>
      </c>
      <c r="M95" t="s">
        <v>664</v>
      </c>
      <c r="N95" t="s">
        <v>664</v>
      </c>
      <c r="O95">
        <v>-99</v>
      </c>
      <c r="P95">
        <v>-99</v>
      </c>
      <c r="Q95">
        <v>-99</v>
      </c>
      <c r="R95" t="s">
        <v>216</v>
      </c>
    </row>
    <row r="96" spans="1:18" x14ac:dyDescent="0.2">
      <c r="A96">
        <v>95</v>
      </c>
      <c r="B96">
        <v>-99</v>
      </c>
      <c r="C96" t="s">
        <v>684</v>
      </c>
      <c r="D96" t="s">
        <v>8</v>
      </c>
      <c r="E96" t="s">
        <v>686</v>
      </c>
      <c r="F96" t="s">
        <v>317</v>
      </c>
      <c r="G96" t="s">
        <v>664</v>
      </c>
      <c r="H96" t="s">
        <v>8</v>
      </c>
      <c r="I96">
        <v>-99</v>
      </c>
      <c r="J96">
        <v>-99</v>
      </c>
      <c r="K96" t="s">
        <v>8</v>
      </c>
      <c r="L96">
        <v>-99</v>
      </c>
      <c r="M96" t="s">
        <v>664</v>
      </c>
      <c r="N96" t="s">
        <v>664</v>
      </c>
      <c r="O96">
        <v>-99</v>
      </c>
      <c r="P96">
        <v>-99</v>
      </c>
      <c r="Q96">
        <v>-99</v>
      </c>
      <c r="R96" t="s">
        <v>689</v>
      </c>
    </row>
    <row r="97" spans="1:18" x14ac:dyDescent="0.2">
      <c r="A97">
        <v>96</v>
      </c>
      <c r="B97">
        <v>-99</v>
      </c>
      <c r="C97" t="s">
        <v>684</v>
      </c>
      <c r="D97" t="s">
        <v>8</v>
      </c>
      <c r="E97" t="s">
        <v>687</v>
      </c>
      <c r="F97" t="s">
        <v>316</v>
      </c>
      <c r="G97" t="s">
        <v>664</v>
      </c>
      <c r="H97" t="s">
        <v>8</v>
      </c>
      <c r="I97">
        <v>-99</v>
      </c>
      <c r="J97">
        <v>-99</v>
      </c>
      <c r="K97" t="s">
        <v>8</v>
      </c>
      <c r="L97">
        <v>-99</v>
      </c>
      <c r="M97" t="s">
        <v>664</v>
      </c>
      <c r="N97" t="s">
        <v>664</v>
      </c>
      <c r="O97">
        <v>-99</v>
      </c>
      <c r="P97">
        <v>-99</v>
      </c>
      <c r="Q97">
        <v>-99</v>
      </c>
      <c r="R97" t="s">
        <v>690</v>
      </c>
    </row>
    <row r="98" spans="1:18" x14ac:dyDescent="0.2">
      <c r="A98">
        <v>97</v>
      </c>
      <c r="B98">
        <v>-99</v>
      </c>
      <c r="C98" t="s">
        <v>684</v>
      </c>
      <c r="D98" t="s">
        <v>8</v>
      </c>
      <c r="E98" t="s">
        <v>684</v>
      </c>
      <c r="F98" t="s">
        <v>8</v>
      </c>
      <c r="G98" t="s">
        <v>664</v>
      </c>
      <c r="H98" t="s">
        <v>8</v>
      </c>
      <c r="I98">
        <v>-99</v>
      </c>
      <c r="J98">
        <v>-99</v>
      </c>
      <c r="K98" t="s">
        <v>8</v>
      </c>
      <c r="L98">
        <v>-99</v>
      </c>
      <c r="M98" t="s">
        <v>664</v>
      </c>
      <c r="N98" t="s">
        <v>664</v>
      </c>
      <c r="O98">
        <v>-99</v>
      </c>
      <c r="P98">
        <v>-99</v>
      </c>
      <c r="Q98">
        <v>-99</v>
      </c>
      <c r="R98" t="s">
        <v>664</v>
      </c>
    </row>
    <row r="99" spans="1:18" x14ac:dyDescent="0.2">
      <c r="A99">
        <v>98</v>
      </c>
      <c r="B99">
        <v>-99</v>
      </c>
      <c r="C99" t="s">
        <v>684</v>
      </c>
      <c r="D99" t="s">
        <v>8</v>
      </c>
      <c r="E99" t="s">
        <v>695</v>
      </c>
      <c r="F99" t="s">
        <v>696</v>
      </c>
      <c r="G99" t="s">
        <v>664</v>
      </c>
      <c r="H99" t="s">
        <v>8</v>
      </c>
      <c r="I99">
        <v>-99</v>
      </c>
      <c r="J99">
        <v>-99</v>
      </c>
      <c r="K99" t="s">
        <v>8</v>
      </c>
      <c r="L99">
        <v>-99</v>
      </c>
      <c r="M99" t="s">
        <v>664</v>
      </c>
      <c r="N99" t="s">
        <v>664</v>
      </c>
      <c r="O99">
        <v>-99</v>
      </c>
      <c r="P99">
        <v>-99</v>
      </c>
      <c r="Q99">
        <v>-99</v>
      </c>
      <c r="R99" t="s">
        <v>692</v>
      </c>
    </row>
    <row r="100" spans="1:18" x14ac:dyDescent="0.2">
      <c r="A100">
        <v>99</v>
      </c>
      <c r="B100">
        <v>250</v>
      </c>
      <c r="C100" t="s">
        <v>664</v>
      </c>
      <c r="D100" t="s">
        <v>35</v>
      </c>
      <c r="E100" t="s">
        <v>731</v>
      </c>
      <c r="F100" t="s">
        <v>697</v>
      </c>
      <c r="G100" t="s">
        <v>664</v>
      </c>
      <c r="H100" t="s">
        <v>412</v>
      </c>
      <c r="I100">
        <v>-99</v>
      </c>
      <c r="J100">
        <v>-99</v>
      </c>
      <c r="K100" t="s">
        <v>414</v>
      </c>
      <c r="L100">
        <v>-99</v>
      </c>
      <c r="M100" t="s">
        <v>664</v>
      </c>
      <c r="N100" t="s">
        <v>664</v>
      </c>
      <c r="O100">
        <v>-99</v>
      </c>
      <c r="P100">
        <v>-99</v>
      </c>
      <c r="Q100">
        <v>-99</v>
      </c>
      <c r="R100" t="s">
        <v>698</v>
      </c>
    </row>
    <row r="101" spans="1:18" x14ac:dyDescent="0.2">
      <c r="A101">
        <v>100</v>
      </c>
      <c r="B101">
        <v>256</v>
      </c>
      <c r="C101" t="s">
        <v>664</v>
      </c>
      <c r="D101" t="s">
        <v>220</v>
      </c>
      <c r="E101" t="s">
        <v>732</v>
      </c>
      <c r="F101" t="s">
        <v>699</v>
      </c>
      <c r="G101" t="s">
        <v>664</v>
      </c>
      <c r="H101" t="s">
        <v>396</v>
      </c>
      <c r="I101">
        <v>-99</v>
      </c>
      <c r="J101">
        <v>-99</v>
      </c>
      <c r="K101" t="s">
        <v>400</v>
      </c>
      <c r="L101">
        <v>-99</v>
      </c>
      <c r="M101" t="s">
        <v>664</v>
      </c>
      <c r="N101" t="s">
        <v>664</v>
      </c>
      <c r="O101">
        <v>-99</v>
      </c>
      <c r="P101">
        <v>-99</v>
      </c>
      <c r="Q101">
        <v>-99</v>
      </c>
      <c r="R101" t="s">
        <v>698</v>
      </c>
    </row>
    <row r="102" spans="1:18" x14ac:dyDescent="0.2">
      <c r="A102">
        <v>101</v>
      </c>
      <c r="B102">
        <v>257</v>
      </c>
      <c r="C102" t="s">
        <v>664</v>
      </c>
      <c r="D102" t="s">
        <v>217</v>
      </c>
      <c r="E102" t="s">
        <v>733</v>
      </c>
      <c r="F102" t="s">
        <v>700</v>
      </c>
      <c r="G102" t="s">
        <v>664</v>
      </c>
      <c r="H102" t="s">
        <v>396</v>
      </c>
      <c r="I102">
        <v>-99</v>
      </c>
      <c r="J102">
        <v>-99</v>
      </c>
      <c r="K102" t="s">
        <v>400</v>
      </c>
      <c r="L102">
        <v>-99</v>
      </c>
      <c r="M102" t="s">
        <v>664</v>
      </c>
      <c r="N102" t="s">
        <v>664</v>
      </c>
      <c r="O102">
        <v>-99</v>
      </c>
      <c r="P102">
        <v>-99</v>
      </c>
      <c r="Q102">
        <v>-99</v>
      </c>
      <c r="R102" t="s">
        <v>698</v>
      </c>
    </row>
    <row r="103" spans="1:18" x14ac:dyDescent="0.2">
      <c r="A103">
        <v>102</v>
      </c>
      <c r="B103">
        <v>258</v>
      </c>
      <c r="C103" t="s">
        <v>664</v>
      </c>
      <c r="D103" t="s">
        <v>218</v>
      </c>
      <c r="E103" t="s">
        <v>734</v>
      </c>
      <c r="F103" t="s">
        <v>701</v>
      </c>
      <c r="G103" t="s">
        <v>664</v>
      </c>
      <c r="H103" t="s">
        <v>380</v>
      </c>
      <c r="I103">
        <v>-99</v>
      </c>
      <c r="J103">
        <v>-99</v>
      </c>
      <c r="K103" t="s">
        <v>379</v>
      </c>
      <c r="L103">
        <v>-99</v>
      </c>
      <c r="M103" t="s">
        <v>664</v>
      </c>
      <c r="N103" t="s">
        <v>664</v>
      </c>
      <c r="O103">
        <v>-99</v>
      </c>
      <c r="P103">
        <v>-99</v>
      </c>
      <c r="Q103">
        <v>-99</v>
      </c>
      <c r="R103" t="s">
        <v>698</v>
      </c>
    </row>
    <row r="104" spans="1:18" x14ac:dyDescent="0.2">
      <c r="A104">
        <v>103</v>
      </c>
      <c r="B104">
        <v>259</v>
      </c>
      <c r="C104" t="s">
        <v>664</v>
      </c>
      <c r="D104" t="s">
        <v>141</v>
      </c>
      <c r="E104" t="s">
        <v>735</v>
      </c>
      <c r="F104" t="s">
        <v>702</v>
      </c>
      <c r="G104" t="s">
        <v>664</v>
      </c>
      <c r="H104" t="s">
        <v>380</v>
      </c>
      <c r="I104">
        <v>-99</v>
      </c>
      <c r="J104">
        <v>-99</v>
      </c>
      <c r="K104" t="s">
        <v>379</v>
      </c>
      <c r="L104">
        <v>-99</v>
      </c>
      <c r="M104" t="s">
        <v>664</v>
      </c>
      <c r="N104" t="s">
        <v>664</v>
      </c>
      <c r="O104">
        <v>-99</v>
      </c>
      <c r="P104">
        <v>-99</v>
      </c>
      <c r="Q104">
        <v>-99</v>
      </c>
      <c r="R104" t="s">
        <v>698</v>
      </c>
    </row>
    <row r="105" spans="1:18" x14ac:dyDescent="0.2">
      <c r="A105">
        <v>104</v>
      </c>
      <c r="B105">
        <v>260</v>
      </c>
      <c r="C105" t="s">
        <v>664</v>
      </c>
      <c r="D105" t="s">
        <v>49</v>
      </c>
      <c r="E105" t="s">
        <v>736</v>
      </c>
      <c r="F105" t="s">
        <v>703</v>
      </c>
      <c r="G105" t="s">
        <v>664</v>
      </c>
      <c r="H105" t="s">
        <v>396</v>
      </c>
      <c r="I105">
        <v>-99</v>
      </c>
      <c r="J105">
        <v>-99</v>
      </c>
      <c r="K105" t="s">
        <v>395</v>
      </c>
      <c r="L105">
        <v>-99</v>
      </c>
      <c r="M105" t="s">
        <v>664</v>
      </c>
      <c r="N105" t="s">
        <v>664</v>
      </c>
      <c r="O105">
        <v>-99</v>
      </c>
      <c r="P105">
        <v>-99</v>
      </c>
      <c r="Q105">
        <v>-99</v>
      </c>
      <c r="R105" t="s">
        <v>698</v>
      </c>
    </row>
    <row r="106" spans="1:18" x14ac:dyDescent="0.2">
      <c r="A106">
        <v>105</v>
      </c>
      <c r="B106">
        <v>261</v>
      </c>
      <c r="C106" t="s">
        <v>664</v>
      </c>
      <c r="D106" t="s">
        <v>68</v>
      </c>
      <c r="E106" t="s">
        <v>737</v>
      </c>
      <c r="F106" t="s">
        <v>704</v>
      </c>
      <c r="G106" t="s">
        <v>664</v>
      </c>
      <c r="H106" t="s">
        <v>380</v>
      </c>
      <c r="I106">
        <v>-99</v>
      </c>
      <c r="J106">
        <v>-99</v>
      </c>
      <c r="K106" t="s">
        <v>379</v>
      </c>
      <c r="L106">
        <v>-99</v>
      </c>
      <c r="M106" t="s">
        <v>664</v>
      </c>
      <c r="N106" t="s">
        <v>664</v>
      </c>
      <c r="O106">
        <v>-99</v>
      </c>
      <c r="P106">
        <v>-99</v>
      </c>
      <c r="Q106">
        <v>-99</v>
      </c>
      <c r="R106" t="s">
        <v>698</v>
      </c>
    </row>
  </sheetData>
  <sheetProtection autoFilter="0"/>
  <conditionalFormatting sqref="A2:A106">
    <cfRule type="duplicateValues" dxfId="3" priority="2"/>
  </conditionalFormatting>
  <conditionalFormatting sqref="B2:B106">
    <cfRule type="duplicateValues" dxfId="2" priority="1"/>
  </conditionalFormatting>
  <pageMargins left="0.7" right="0.7" top="0.75" bottom="0.75" header="0.3" footer="0.3"/>
  <pageSetup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sheetPr>
  <dimension ref="A1:E61"/>
  <sheetViews>
    <sheetView workbookViewId="0"/>
  </sheetViews>
  <sheetFormatPr defaultRowHeight="12.75" x14ac:dyDescent="0.2"/>
  <cols>
    <col min="1" max="1" width="4.140625" customWidth="1"/>
    <col min="2" max="2" width="27.42578125" bestFit="1" customWidth="1"/>
    <col min="3" max="3" width="17.42578125" bestFit="1" customWidth="1"/>
    <col min="4" max="4" width="8" bestFit="1" customWidth="1"/>
    <col min="5" max="5" width="12.28515625" bestFit="1" customWidth="1"/>
  </cols>
  <sheetData>
    <row r="1" spans="1:5" x14ac:dyDescent="0.2">
      <c r="A1" t="s">
        <v>473</v>
      </c>
      <c r="B1" t="s">
        <v>467</v>
      </c>
      <c r="C1" t="s">
        <v>474</v>
      </c>
      <c r="D1" t="s">
        <v>475</v>
      </c>
      <c r="E1" t="s">
        <v>502</v>
      </c>
    </row>
    <row r="2" spans="1:5" x14ac:dyDescent="0.2">
      <c r="A2" t="s">
        <v>335</v>
      </c>
      <c r="B2" t="s">
        <v>381</v>
      </c>
      <c r="C2" t="s">
        <v>381</v>
      </c>
      <c r="D2" t="s">
        <v>476</v>
      </c>
      <c r="E2" t="s">
        <v>379</v>
      </c>
    </row>
    <row r="3" spans="1:5" x14ac:dyDescent="0.2">
      <c r="A3" t="s">
        <v>367</v>
      </c>
      <c r="B3" t="s">
        <v>384</v>
      </c>
      <c r="C3" t="s">
        <v>384</v>
      </c>
      <c r="D3" t="s">
        <v>476</v>
      </c>
      <c r="E3" t="s">
        <v>379</v>
      </c>
    </row>
    <row r="4" spans="1:5" x14ac:dyDescent="0.2">
      <c r="A4" t="s">
        <v>362</v>
      </c>
      <c r="B4" t="s">
        <v>426</v>
      </c>
      <c r="C4" t="s">
        <v>426</v>
      </c>
      <c r="D4" t="s">
        <v>476</v>
      </c>
      <c r="E4" t="s">
        <v>379</v>
      </c>
    </row>
    <row r="5" spans="1:5" x14ac:dyDescent="0.2">
      <c r="A5" t="s">
        <v>341</v>
      </c>
      <c r="B5" t="s">
        <v>437</v>
      </c>
      <c r="C5" t="s">
        <v>437</v>
      </c>
      <c r="D5" t="s">
        <v>477</v>
      </c>
      <c r="E5" t="s">
        <v>390</v>
      </c>
    </row>
    <row r="6" spans="1:5" x14ac:dyDescent="0.2">
      <c r="A6" t="s">
        <v>365</v>
      </c>
      <c r="B6" t="s">
        <v>399</v>
      </c>
      <c r="C6" t="s">
        <v>399</v>
      </c>
      <c r="D6" t="s">
        <v>477</v>
      </c>
      <c r="E6" t="s">
        <v>395</v>
      </c>
    </row>
    <row r="7" spans="1:5" x14ac:dyDescent="0.2">
      <c r="A7" t="s">
        <v>368</v>
      </c>
      <c r="B7" t="s">
        <v>428</v>
      </c>
      <c r="C7" t="s">
        <v>428</v>
      </c>
      <c r="D7" t="s">
        <v>479</v>
      </c>
      <c r="E7" t="s">
        <v>395</v>
      </c>
    </row>
    <row r="8" spans="1:5" x14ac:dyDescent="0.2">
      <c r="A8" t="s">
        <v>343</v>
      </c>
      <c r="B8" t="s">
        <v>411</v>
      </c>
      <c r="C8" t="s">
        <v>411</v>
      </c>
      <c r="D8" t="s">
        <v>480</v>
      </c>
      <c r="E8" t="s">
        <v>400</v>
      </c>
    </row>
    <row r="9" spans="1:5" x14ac:dyDescent="0.2">
      <c r="A9" t="s">
        <v>360</v>
      </c>
      <c r="B9" t="s">
        <v>413</v>
      </c>
      <c r="C9" t="s">
        <v>413</v>
      </c>
      <c r="D9" t="s">
        <v>479</v>
      </c>
      <c r="E9" t="s">
        <v>395</v>
      </c>
    </row>
    <row r="10" spans="1:5" x14ac:dyDescent="0.2">
      <c r="A10" t="s">
        <v>488</v>
      </c>
      <c r="B10" t="s">
        <v>489</v>
      </c>
      <c r="C10" t="s">
        <v>318</v>
      </c>
      <c r="D10" t="s">
        <v>464</v>
      </c>
      <c r="E10" t="s">
        <v>8</v>
      </c>
    </row>
    <row r="11" spans="1:5" x14ac:dyDescent="0.2">
      <c r="A11" t="s">
        <v>369</v>
      </c>
      <c r="B11" t="s">
        <v>425</v>
      </c>
      <c r="C11" t="s">
        <v>425</v>
      </c>
      <c r="D11" t="s">
        <v>476</v>
      </c>
      <c r="E11" t="s">
        <v>379</v>
      </c>
    </row>
    <row r="12" spans="1:5" x14ac:dyDescent="0.2">
      <c r="A12" t="s">
        <v>347</v>
      </c>
      <c r="B12" t="s">
        <v>389</v>
      </c>
      <c r="C12" t="s">
        <v>389</v>
      </c>
      <c r="D12" t="s">
        <v>477</v>
      </c>
      <c r="E12" t="s">
        <v>379</v>
      </c>
    </row>
    <row r="13" spans="1:5" x14ac:dyDescent="0.2">
      <c r="A13" t="s">
        <v>352</v>
      </c>
      <c r="B13" t="s">
        <v>386</v>
      </c>
      <c r="C13" t="s">
        <v>386</v>
      </c>
      <c r="D13" t="s">
        <v>476</v>
      </c>
      <c r="E13" t="s">
        <v>379</v>
      </c>
    </row>
    <row r="14" spans="1:5" x14ac:dyDescent="0.2">
      <c r="A14" t="s">
        <v>350</v>
      </c>
      <c r="B14" t="s">
        <v>393</v>
      </c>
      <c r="C14" t="s">
        <v>393</v>
      </c>
      <c r="D14" t="s">
        <v>477</v>
      </c>
      <c r="E14" t="s">
        <v>390</v>
      </c>
    </row>
    <row r="15" spans="1:5" x14ac:dyDescent="0.2">
      <c r="A15" t="s">
        <v>340</v>
      </c>
      <c r="B15" t="s">
        <v>402</v>
      </c>
      <c r="C15" t="s">
        <v>402</v>
      </c>
      <c r="D15" t="s">
        <v>476</v>
      </c>
      <c r="E15" t="s">
        <v>400</v>
      </c>
    </row>
    <row r="16" spans="1:5" x14ac:dyDescent="0.2">
      <c r="A16" t="s">
        <v>354</v>
      </c>
      <c r="B16" t="s">
        <v>416</v>
      </c>
      <c r="C16" t="s">
        <v>416</v>
      </c>
      <c r="D16" t="s">
        <v>479</v>
      </c>
      <c r="E16" t="s">
        <v>395</v>
      </c>
    </row>
    <row r="17" spans="1:5" x14ac:dyDescent="0.2">
      <c r="A17" t="s">
        <v>490</v>
      </c>
      <c r="B17" t="s">
        <v>491</v>
      </c>
      <c r="C17" t="s">
        <v>318</v>
      </c>
      <c r="D17" t="s">
        <v>464</v>
      </c>
      <c r="E17" t="s">
        <v>8</v>
      </c>
    </row>
    <row r="18" spans="1:5" x14ac:dyDescent="0.2">
      <c r="A18" t="s">
        <v>366</v>
      </c>
      <c r="B18" t="s">
        <v>401</v>
      </c>
      <c r="C18" t="s">
        <v>401</v>
      </c>
      <c r="D18" t="s">
        <v>476</v>
      </c>
      <c r="E18" t="s">
        <v>400</v>
      </c>
    </row>
    <row r="19" spans="1:5" x14ac:dyDescent="0.2">
      <c r="A19" t="s">
        <v>359</v>
      </c>
      <c r="B19" t="s">
        <v>404</v>
      </c>
      <c r="C19" t="s">
        <v>404</v>
      </c>
      <c r="D19" t="s">
        <v>480</v>
      </c>
      <c r="E19" t="s">
        <v>400</v>
      </c>
    </row>
    <row r="20" spans="1:5" x14ac:dyDescent="0.2">
      <c r="A20" t="s">
        <v>349</v>
      </c>
      <c r="B20" t="s">
        <v>407</v>
      </c>
      <c r="C20" t="s">
        <v>407</v>
      </c>
      <c r="D20" t="s">
        <v>480</v>
      </c>
      <c r="E20" t="s">
        <v>400</v>
      </c>
    </row>
    <row r="21" spans="1:5" x14ac:dyDescent="0.2">
      <c r="A21" t="s">
        <v>374</v>
      </c>
      <c r="B21" t="s">
        <v>432</v>
      </c>
      <c r="C21" t="s">
        <v>432</v>
      </c>
      <c r="D21" t="s">
        <v>480</v>
      </c>
      <c r="E21" t="s">
        <v>400</v>
      </c>
    </row>
    <row r="22" spans="1:5" x14ac:dyDescent="0.2">
      <c r="A22" t="s">
        <v>345</v>
      </c>
      <c r="B22" t="s">
        <v>63</v>
      </c>
      <c r="C22" t="s">
        <v>63</v>
      </c>
      <c r="D22" t="s">
        <v>476</v>
      </c>
      <c r="E22" t="s">
        <v>379</v>
      </c>
    </row>
    <row r="23" spans="1:5" x14ac:dyDescent="0.2">
      <c r="A23" t="s">
        <v>358</v>
      </c>
      <c r="B23" t="s">
        <v>392</v>
      </c>
      <c r="C23" t="s">
        <v>392</v>
      </c>
      <c r="D23" t="s">
        <v>318</v>
      </c>
      <c r="E23" t="s">
        <v>379</v>
      </c>
    </row>
    <row r="24" spans="1:5" x14ac:dyDescent="0.2">
      <c r="A24" t="s">
        <v>353</v>
      </c>
      <c r="B24" t="s">
        <v>394</v>
      </c>
      <c r="C24" t="s">
        <v>394</v>
      </c>
      <c r="D24" t="s">
        <v>477</v>
      </c>
      <c r="E24" t="s">
        <v>390</v>
      </c>
    </row>
    <row r="25" spans="1:5" x14ac:dyDescent="0.2">
      <c r="A25" t="s">
        <v>351</v>
      </c>
      <c r="B25" t="s">
        <v>430</v>
      </c>
      <c r="C25" t="s">
        <v>430</v>
      </c>
      <c r="D25" t="s">
        <v>480</v>
      </c>
      <c r="E25" t="s">
        <v>400</v>
      </c>
    </row>
    <row r="26" spans="1:5" x14ac:dyDescent="0.2">
      <c r="A26" t="s">
        <v>328</v>
      </c>
      <c r="B26" t="s">
        <v>415</v>
      </c>
      <c r="C26" t="s">
        <v>415</v>
      </c>
      <c r="D26" t="s">
        <v>479</v>
      </c>
      <c r="E26" t="s">
        <v>414</v>
      </c>
    </row>
    <row r="27" spans="1:5" x14ac:dyDescent="0.2">
      <c r="A27" t="s">
        <v>329</v>
      </c>
      <c r="B27" t="s">
        <v>431</v>
      </c>
      <c r="C27" t="s">
        <v>431</v>
      </c>
      <c r="D27" t="s">
        <v>479</v>
      </c>
      <c r="E27" t="s">
        <v>395</v>
      </c>
    </row>
    <row r="28" spans="1:5" x14ac:dyDescent="0.2">
      <c r="A28" t="s">
        <v>363</v>
      </c>
      <c r="B28" t="s">
        <v>383</v>
      </c>
      <c r="C28" t="s">
        <v>383</v>
      </c>
      <c r="D28" t="s">
        <v>476</v>
      </c>
      <c r="E28" t="s">
        <v>379</v>
      </c>
    </row>
    <row r="29" spans="1:5" x14ac:dyDescent="0.2">
      <c r="A29" t="s">
        <v>478</v>
      </c>
      <c r="B29" t="s">
        <v>464</v>
      </c>
      <c r="C29" t="s">
        <v>318</v>
      </c>
      <c r="D29" t="s">
        <v>464</v>
      </c>
      <c r="E29" t="s">
        <v>8</v>
      </c>
    </row>
    <row r="30" spans="1:5" x14ac:dyDescent="0.2">
      <c r="A30" t="s">
        <v>375</v>
      </c>
      <c r="B30" t="s">
        <v>427</v>
      </c>
      <c r="C30" t="s">
        <v>427</v>
      </c>
      <c r="D30" t="s">
        <v>476</v>
      </c>
      <c r="E30" t="s">
        <v>379</v>
      </c>
    </row>
    <row r="31" spans="1:5" x14ac:dyDescent="0.2">
      <c r="A31" t="s">
        <v>356</v>
      </c>
      <c r="B31" t="s">
        <v>424</v>
      </c>
      <c r="C31" t="s">
        <v>424</v>
      </c>
      <c r="D31" t="s">
        <v>318</v>
      </c>
      <c r="E31" t="s">
        <v>379</v>
      </c>
    </row>
    <row r="32" spans="1:5" x14ac:dyDescent="0.2">
      <c r="A32" t="s">
        <v>336</v>
      </c>
      <c r="B32" t="s">
        <v>405</v>
      </c>
      <c r="C32" t="s">
        <v>405</v>
      </c>
      <c r="D32" t="s">
        <v>476</v>
      </c>
      <c r="E32" t="s">
        <v>400</v>
      </c>
    </row>
    <row r="33" spans="1:5" x14ac:dyDescent="0.2">
      <c r="A33" t="s">
        <v>333</v>
      </c>
      <c r="B33" t="s">
        <v>429</v>
      </c>
      <c r="C33" t="s">
        <v>429</v>
      </c>
      <c r="D33" t="s">
        <v>480</v>
      </c>
      <c r="E33" t="s">
        <v>400</v>
      </c>
    </row>
    <row r="34" spans="1:5" x14ac:dyDescent="0.2">
      <c r="A34" t="s">
        <v>355</v>
      </c>
      <c r="B34" t="s">
        <v>436</v>
      </c>
      <c r="C34" t="s">
        <v>436</v>
      </c>
      <c r="D34" t="s">
        <v>479</v>
      </c>
      <c r="E34" t="s">
        <v>414</v>
      </c>
    </row>
    <row r="35" spans="1:5" x14ac:dyDescent="0.2">
      <c r="A35" t="s">
        <v>344</v>
      </c>
      <c r="B35" t="s">
        <v>418</v>
      </c>
      <c r="C35" t="s">
        <v>418</v>
      </c>
      <c r="D35" t="s">
        <v>479</v>
      </c>
      <c r="E35" t="s">
        <v>414</v>
      </c>
    </row>
    <row r="36" spans="1:5" x14ac:dyDescent="0.2">
      <c r="A36" t="s">
        <v>371</v>
      </c>
      <c r="B36" t="s">
        <v>438</v>
      </c>
      <c r="C36" t="s">
        <v>438</v>
      </c>
      <c r="D36" t="s">
        <v>479</v>
      </c>
      <c r="E36" t="s">
        <v>414</v>
      </c>
    </row>
    <row r="37" spans="1:5" x14ac:dyDescent="0.2">
      <c r="A37" t="s">
        <v>487</v>
      </c>
      <c r="B37" t="s">
        <v>434</v>
      </c>
      <c r="C37" t="s">
        <v>434</v>
      </c>
      <c r="D37" t="s">
        <v>479</v>
      </c>
      <c r="E37" t="s">
        <v>414</v>
      </c>
    </row>
    <row r="38" spans="1:5" x14ac:dyDescent="0.2">
      <c r="A38" t="s">
        <v>485</v>
      </c>
      <c r="B38" t="s">
        <v>486</v>
      </c>
      <c r="C38" t="s">
        <v>318</v>
      </c>
      <c r="D38" t="s">
        <v>464</v>
      </c>
      <c r="E38" t="s">
        <v>8</v>
      </c>
    </row>
    <row r="39" spans="1:5" x14ac:dyDescent="0.2">
      <c r="A39" t="s">
        <v>361</v>
      </c>
      <c r="B39" t="s">
        <v>419</v>
      </c>
      <c r="C39" t="s">
        <v>419</v>
      </c>
      <c r="D39" t="s">
        <v>479</v>
      </c>
      <c r="E39" t="s">
        <v>414</v>
      </c>
    </row>
    <row r="40" spans="1:5" x14ac:dyDescent="0.2">
      <c r="A40" t="s">
        <v>494</v>
      </c>
      <c r="B40" t="s">
        <v>495</v>
      </c>
      <c r="C40" t="s">
        <v>318</v>
      </c>
      <c r="D40" t="s">
        <v>464</v>
      </c>
      <c r="E40" t="s">
        <v>8</v>
      </c>
    </row>
    <row r="41" spans="1:5" x14ac:dyDescent="0.2">
      <c r="A41" t="s">
        <v>481</v>
      </c>
      <c r="B41" t="s">
        <v>482</v>
      </c>
      <c r="C41" t="s">
        <v>318</v>
      </c>
      <c r="D41" t="s">
        <v>464</v>
      </c>
      <c r="E41" t="s">
        <v>8</v>
      </c>
    </row>
    <row r="42" spans="1:5" x14ac:dyDescent="0.2">
      <c r="A42" t="s">
        <v>370</v>
      </c>
      <c r="B42" t="s">
        <v>382</v>
      </c>
      <c r="C42" t="s">
        <v>382</v>
      </c>
      <c r="D42" t="s">
        <v>476</v>
      </c>
      <c r="E42" t="s">
        <v>379</v>
      </c>
    </row>
    <row r="43" spans="1:5" x14ac:dyDescent="0.2">
      <c r="A43" t="s">
        <v>331</v>
      </c>
      <c r="B43" t="s">
        <v>388</v>
      </c>
      <c r="C43" t="s">
        <v>388</v>
      </c>
      <c r="D43" t="s">
        <v>477</v>
      </c>
      <c r="E43" t="s">
        <v>379</v>
      </c>
    </row>
    <row r="44" spans="1:5" x14ac:dyDescent="0.2">
      <c r="A44" t="s">
        <v>334</v>
      </c>
      <c r="B44" t="s">
        <v>433</v>
      </c>
      <c r="C44" t="s">
        <v>433</v>
      </c>
      <c r="D44" t="s">
        <v>476</v>
      </c>
      <c r="E44" t="s">
        <v>379</v>
      </c>
    </row>
    <row r="45" spans="1:5" x14ac:dyDescent="0.2">
      <c r="A45" t="s">
        <v>364</v>
      </c>
      <c r="B45" t="s">
        <v>398</v>
      </c>
      <c r="C45" t="s">
        <v>398</v>
      </c>
      <c r="D45" t="s">
        <v>477</v>
      </c>
      <c r="E45" t="s">
        <v>390</v>
      </c>
    </row>
    <row r="46" spans="1:5" x14ac:dyDescent="0.2">
      <c r="A46" t="s">
        <v>346</v>
      </c>
      <c r="B46" t="s">
        <v>403</v>
      </c>
      <c r="C46" t="s">
        <v>403</v>
      </c>
      <c r="D46" t="s">
        <v>477</v>
      </c>
      <c r="E46" t="s">
        <v>390</v>
      </c>
    </row>
    <row r="47" spans="1:5" x14ac:dyDescent="0.2">
      <c r="A47" t="s">
        <v>373</v>
      </c>
      <c r="B47" t="s">
        <v>409</v>
      </c>
      <c r="C47" t="s">
        <v>409</v>
      </c>
      <c r="D47" t="s">
        <v>480</v>
      </c>
      <c r="E47" t="s">
        <v>400</v>
      </c>
    </row>
    <row r="48" spans="1:5" x14ac:dyDescent="0.2">
      <c r="A48" t="s">
        <v>348</v>
      </c>
      <c r="B48" t="s">
        <v>422</v>
      </c>
      <c r="C48" t="s">
        <v>422</v>
      </c>
      <c r="D48" t="s">
        <v>480</v>
      </c>
      <c r="E48" t="s">
        <v>395</v>
      </c>
    </row>
    <row r="49" spans="1:5" x14ac:dyDescent="0.2">
      <c r="A49" t="s">
        <v>337</v>
      </c>
      <c r="B49" t="s">
        <v>420</v>
      </c>
      <c r="C49" t="s">
        <v>420</v>
      </c>
      <c r="D49" t="s">
        <v>480</v>
      </c>
      <c r="E49" t="s">
        <v>395</v>
      </c>
    </row>
    <row r="50" spans="1:5" x14ac:dyDescent="0.2">
      <c r="A50" t="s">
        <v>342</v>
      </c>
      <c r="B50" t="s">
        <v>417</v>
      </c>
      <c r="C50" t="s">
        <v>417</v>
      </c>
      <c r="D50" t="s">
        <v>479</v>
      </c>
      <c r="E50" t="s">
        <v>414</v>
      </c>
    </row>
    <row r="51" spans="1:5" x14ac:dyDescent="0.2">
      <c r="A51" t="s">
        <v>330</v>
      </c>
      <c r="B51" t="s">
        <v>397</v>
      </c>
      <c r="C51" t="s">
        <v>397</v>
      </c>
      <c r="D51" t="s">
        <v>480</v>
      </c>
      <c r="E51" t="s">
        <v>395</v>
      </c>
    </row>
    <row r="52" spans="1:5" x14ac:dyDescent="0.2">
      <c r="A52" t="s">
        <v>483</v>
      </c>
      <c r="B52" t="s">
        <v>484</v>
      </c>
      <c r="C52" t="s">
        <v>318</v>
      </c>
      <c r="D52" t="s">
        <v>464</v>
      </c>
      <c r="E52" t="s">
        <v>8</v>
      </c>
    </row>
    <row r="53" spans="1:5" x14ac:dyDescent="0.2">
      <c r="A53" t="s">
        <v>492</v>
      </c>
      <c r="B53" t="s">
        <v>493</v>
      </c>
      <c r="C53" t="s">
        <v>318</v>
      </c>
      <c r="D53" t="s">
        <v>464</v>
      </c>
      <c r="E53" t="s">
        <v>8</v>
      </c>
    </row>
    <row r="54" spans="1:5" x14ac:dyDescent="0.2">
      <c r="A54" t="s">
        <v>357</v>
      </c>
      <c r="B54" t="s">
        <v>385</v>
      </c>
      <c r="C54" t="s">
        <v>385</v>
      </c>
      <c r="D54" t="s">
        <v>476</v>
      </c>
      <c r="E54" t="s">
        <v>379</v>
      </c>
    </row>
    <row r="55" spans="1:5" x14ac:dyDescent="0.2">
      <c r="A55" t="s">
        <v>372</v>
      </c>
      <c r="B55" t="s">
        <v>391</v>
      </c>
      <c r="C55" t="s">
        <v>391</v>
      </c>
      <c r="D55" t="s">
        <v>477</v>
      </c>
      <c r="E55" t="s">
        <v>390</v>
      </c>
    </row>
    <row r="56" spans="1:5" x14ac:dyDescent="0.2">
      <c r="A56" t="s">
        <v>327</v>
      </c>
      <c r="B56" t="s">
        <v>435</v>
      </c>
      <c r="C56" t="s">
        <v>435</v>
      </c>
      <c r="D56" t="s">
        <v>477</v>
      </c>
      <c r="E56" t="s">
        <v>390</v>
      </c>
    </row>
    <row r="57" spans="1:5" x14ac:dyDescent="0.2">
      <c r="A57" t="s">
        <v>326</v>
      </c>
      <c r="B57" t="s">
        <v>406</v>
      </c>
      <c r="C57" t="s">
        <v>406</v>
      </c>
      <c r="D57" t="s">
        <v>480</v>
      </c>
      <c r="E57" t="s">
        <v>400</v>
      </c>
    </row>
    <row r="58" spans="1:5" x14ac:dyDescent="0.2">
      <c r="A58" t="s">
        <v>332</v>
      </c>
      <c r="B58" t="s">
        <v>410</v>
      </c>
      <c r="C58" t="s">
        <v>410</v>
      </c>
      <c r="D58" t="s">
        <v>480</v>
      </c>
      <c r="E58" t="s">
        <v>400</v>
      </c>
    </row>
    <row r="59" spans="1:5" x14ac:dyDescent="0.2">
      <c r="A59" t="s">
        <v>338</v>
      </c>
      <c r="B59" t="s">
        <v>423</v>
      </c>
      <c r="C59" t="s">
        <v>423</v>
      </c>
      <c r="D59" t="s">
        <v>479</v>
      </c>
      <c r="E59" t="s">
        <v>414</v>
      </c>
    </row>
    <row r="60" spans="1:5" x14ac:dyDescent="0.2">
      <c r="A60" t="s">
        <v>325</v>
      </c>
      <c r="B60" t="s">
        <v>421</v>
      </c>
      <c r="C60" t="s">
        <v>421</v>
      </c>
      <c r="D60" t="s">
        <v>480</v>
      </c>
      <c r="E60" t="s">
        <v>395</v>
      </c>
    </row>
    <row r="61" spans="1:5" x14ac:dyDescent="0.2">
      <c r="A61" t="s">
        <v>339</v>
      </c>
      <c r="B61" t="s">
        <v>83</v>
      </c>
      <c r="C61" t="s">
        <v>83</v>
      </c>
      <c r="D61" t="s">
        <v>479</v>
      </c>
      <c r="E61" t="s">
        <v>414</v>
      </c>
    </row>
  </sheetData>
  <sheetProtection autoFilter="0"/>
  <conditionalFormatting sqref="A2:A61">
    <cfRule type="duplicateValues" dxfId="1" priority="1"/>
  </conditionalFormatting>
  <pageMargins left="0.7" right="0.7" top="0.75" bottom="0.75" header="0.3" footer="0.3"/>
  <pageSetup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sheetPr>
  <dimension ref="B2:AG20"/>
  <sheetViews>
    <sheetView zoomScaleNormal="100" workbookViewId="0"/>
  </sheetViews>
  <sheetFormatPr defaultRowHeight="12.75" x14ac:dyDescent="0.2"/>
  <cols>
    <col min="2" max="2" width="14.5703125" customWidth="1"/>
    <col min="3" max="3" width="13.140625" customWidth="1"/>
    <col min="4" max="4" width="15.140625" customWidth="1"/>
    <col min="5" max="5" width="16.28515625" bestFit="1" customWidth="1"/>
    <col min="6" max="6" width="16.85546875" bestFit="1" customWidth="1"/>
    <col min="7" max="7" width="16.42578125" bestFit="1" customWidth="1"/>
    <col min="8" max="8" width="16" bestFit="1" customWidth="1"/>
    <col min="9" max="9" width="18.140625" bestFit="1" customWidth="1"/>
    <col min="10" max="10" width="16.42578125" bestFit="1" customWidth="1"/>
    <col min="11" max="11" width="17.42578125" bestFit="1" customWidth="1"/>
    <col min="12" max="12" width="14.5703125" bestFit="1" customWidth="1"/>
    <col min="13" max="13" width="15.7109375" bestFit="1" customWidth="1"/>
    <col min="14" max="14" width="13.85546875" bestFit="1" customWidth="1"/>
    <col min="15" max="15" width="11.140625" bestFit="1" customWidth="1"/>
    <col min="16" max="16" width="23.5703125" bestFit="1" customWidth="1"/>
    <col min="17" max="17" width="15.28515625" bestFit="1" customWidth="1"/>
    <col min="18" max="18" width="18.85546875" bestFit="1" customWidth="1"/>
    <col min="19" max="19" width="29.5703125" bestFit="1" customWidth="1"/>
    <col min="20" max="20" width="19.28515625" bestFit="1" customWidth="1"/>
    <col min="21" max="21" width="16.28515625" bestFit="1" customWidth="1"/>
    <col min="22" max="22" width="18.7109375" bestFit="1" customWidth="1"/>
    <col min="23" max="23" width="18.5703125" bestFit="1" customWidth="1"/>
    <col min="24" max="24" width="19.28515625" bestFit="1" customWidth="1"/>
    <col min="25" max="25" width="15.85546875" bestFit="1" customWidth="1"/>
    <col min="26" max="26" width="14" bestFit="1" customWidth="1"/>
    <col min="27" max="27" width="17.7109375" bestFit="1" customWidth="1"/>
    <col min="28" max="28" width="16.85546875" bestFit="1" customWidth="1"/>
    <col min="29" max="29" width="11.7109375" bestFit="1" customWidth="1"/>
    <col min="30" max="30" width="13" bestFit="1" customWidth="1"/>
    <col min="31" max="31" width="16.7109375" bestFit="1" customWidth="1"/>
  </cols>
  <sheetData>
    <row r="2" spans="2:33" x14ac:dyDescent="0.2">
      <c r="B2" t="s">
        <v>1047</v>
      </c>
      <c r="C2" t="s">
        <v>447</v>
      </c>
      <c r="D2" t="s">
        <v>448</v>
      </c>
      <c r="E2" t="s">
        <v>449</v>
      </c>
      <c r="F2" t="s">
        <v>450</v>
      </c>
      <c r="G2" t="s">
        <v>451</v>
      </c>
      <c r="H2" t="s">
        <v>452</v>
      </c>
      <c r="I2" t="s">
        <v>453</v>
      </c>
      <c r="J2" t="s">
        <v>454</v>
      </c>
      <c r="K2" t="s">
        <v>455</v>
      </c>
      <c r="L2" t="s">
        <v>456</v>
      </c>
      <c r="M2" t="s">
        <v>457</v>
      </c>
      <c r="N2" t="s">
        <v>458</v>
      </c>
      <c r="O2" t="s">
        <v>459</v>
      </c>
      <c r="P2" t="s">
        <v>460</v>
      </c>
      <c r="Q2" t="s">
        <v>462</v>
      </c>
    </row>
    <row r="3" spans="2:33" x14ac:dyDescent="0.2">
      <c r="B3" t="s">
        <v>395</v>
      </c>
      <c r="C3" t="s">
        <v>421</v>
      </c>
      <c r="D3" t="s">
        <v>413</v>
      </c>
      <c r="E3" t="s">
        <v>397</v>
      </c>
      <c r="F3" t="s">
        <v>399</v>
      </c>
      <c r="G3" t="s">
        <v>428</v>
      </c>
      <c r="H3" t="s">
        <v>422</v>
      </c>
      <c r="I3" t="s">
        <v>420</v>
      </c>
      <c r="J3" t="s">
        <v>416</v>
      </c>
      <c r="K3" t="s">
        <v>431</v>
      </c>
      <c r="L3" t="s">
        <v>461</v>
      </c>
      <c r="M3" t="s">
        <v>461</v>
      </c>
      <c r="N3" t="s">
        <v>461</v>
      </c>
      <c r="O3" t="s">
        <v>461</v>
      </c>
      <c r="P3" t="s">
        <v>461</v>
      </c>
      <c r="Q3" t="s">
        <v>461</v>
      </c>
      <c r="S3" s="14" t="s">
        <v>421</v>
      </c>
      <c r="T3" s="14" t="s">
        <v>413</v>
      </c>
      <c r="U3" s="14" t="s">
        <v>397</v>
      </c>
      <c r="V3" s="14" t="s">
        <v>399</v>
      </c>
      <c r="W3" s="14" t="s">
        <v>428</v>
      </c>
      <c r="X3" s="14" t="s">
        <v>422</v>
      </c>
      <c r="Y3" s="14" t="s">
        <v>420</v>
      </c>
      <c r="Z3" s="14" t="s">
        <v>416</v>
      </c>
      <c r="AA3" s="14" t="s">
        <v>431</v>
      </c>
      <c r="AB3" s="14"/>
      <c r="AC3" s="14"/>
      <c r="AD3" s="14"/>
      <c r="AE3" s="14"/>
      <c r="AF3" s="15"/>
      <c r="AG3" s="15"/>
    </row>
    <row r="4" spans="2:33" x14ac:dyDescent="0.2">
      <c r="B4" t="s">
        <v>400</v>
      </c>
      <c r="C4" t="s">
        <v>404</v>
      </c>
      <c r="D4" t="s">
        <v>402</v>
      </c>
      <c r="E4" t="s">
        <v>409</v>
      </c>
      <c r="F4" t="s">
        <v>432</v>
      </c>
      <c r="G4" t="s">
        <v>405</v>
      </c>
      <c r="H4" t="s">
        <v>411</v>
      </c>
      <c r="I4" t="s">
        <v>407</v>
      </c>
      <c r="J4" t="s">
        <v>410</v>
      </c>
      <c r="K4" t="s">
        <v>429</v>
      </c>
      <c r="L4" t="s">
        <v>401</v>
      </c>
      <c r="M4" t="s">
        <v>430</v>
      </c>
      <c r="N4" t="s">
        <v>406</v>
      </c>
      <c r="O4" t="s">
        <v>461</v>
      </c>
      <c r="P4" t="s">
        <v>461</v>
      </c>
      <c r="Q4" t="s">
        <v>461</v>
      </c>
      <c r="S4" s="14" t="s">
        <v>404</v>
      </c>
      <c r="T4" s="14" t="s">
        <v>402</v>
      </c>
      <c r="U4" s="14" t="s">
        <v>409</v>
      </c>
      <c r="V4" s="14" t="s">
        <v>432</v>
      </c>
      <c r="W4" s="14" t="s">
        <v>405</v>
      </c>
      <c r="X4" s="14" t="s">
        <v>411</v>
      </c>
      <c r="Y4" s="14" t="s">
        <v>407</v>
      </c>
      <c r="Z4" s="14" t="s">
        <v>410</v>
      </c>
      <c r="AA4" s="14" t="s">
        <v>429</v>
      </c>
      <c r="AB4" s="14" t="s">
        <v>401</v>
      </c>
      <c r="AC4" s="14" t="s">
        <v>430</v>
      </c>
      <c r="AD4" s="14" t="s">
        <v>406</v>
      </c>
      <c r="AE4" s="14"/>
      <c r="AF4" s="15"/>
      <c r="AG4" s="15"/>
    </row>
    <row r="5" spans="2:33" x14ac:dyDescent="0.2">
      <c r="B5" t="s">
        <v>379</v>
      </c>
      <c r="C5" t="s">
        <v>383</v>
      </c>
      <c r="D5" t="s">
        <v>433</v>
      </c>
      <c r="E5" t="s">
        <v>424</v>
      </c>
      <c r="F5" t="s">
        <v>426</v>
      </c>
      <c r="G5" t="s">
        <v>386</v>
      </c>
      <c r="H5" t="s">
        <v>381</v>
      </c>
      <c r="I5" t="s">
        <v>425</v>
      </c>
      <c r="J5" t="s">
        <v>384</v>
      </c>
      <c r="K5" t="s">
        <v>63</v>
      </c>
      <c r="L5" t="s">
        <v>392</v>
      </c>
      <c r="M5" t="s">
        <v>385</v>
      </c>
      <c r="N5" t="s">
        <v>382</v>
      </c>
      <c r="O5" t="s">
        <v>427</v>
      </c>
      <c r="P5" t="s">
        <v>388</v>
      </c>
      <c r="Q5" t="s">
        <v>389</v>
      </c>
      <c r="S5" s="14" t="s">
        <v>383</v>
      </c>
      <c r="T5" s="14" t="s">
        <v>433</v>
      </c>
      <c r="U5" s="14" t="s">
        <v>424</v>
      </c>
      <c r="V5" s="14" t="s">
        <v>426</v>
      </c>
      <c r="W5" s="14" t="s">
        <v>386</v>
      </c>
      <c r="X5" s="14" t="s">
        <v>381</v>
      </c>
      <c r="Y5" s="14" t="s">
        <v>425</v>
      </c>
      <c r="Z5" s="14" t="s">
        <v>384</v>
      </c>
      <c r="AA5" s="14" t="s">
        <v>63</v>
      </c>
      <c r="AB5" s="14" t="s">
        <v>392</v>
      </c>
      <c r="AC5" s="14" t="s">
        <v>385</v>
      </c>
      <c r="AD5" s="14" t="s">
        <v>382</v>
      </c>
      <c r="AE5" s="14" t="s">
        <v>427</v>
      </c>
      <c r="AF5" s="15" t="s">
        <v>388</v>
      </c>
      <c r="AG5" s="15" t="s">
        <v>389</v>
      </c>
    </row>
    <row r="6" spans="2:33" x14ac:dyDescent="0.2">
      <c r="B6" t="s">
        <v>414</v>
      </c>
      <c r="C6" t="s">
        <v>434</v>
      </c>
      <c r="D6" t="s">
        <v>436</v>
      </c>
      <c r="E6" t="s">
        <v>417</v>
      </c>
      <c r="F6" t="s">
        <v>438</v>
      </c>
      <c r="G6" t="s">
        <v>418</v>
      </c>
      <c r="H6" t="s">
        <v>423</v>
      </c>
      <c r="I6" t="s">
        <v>415</v>
      </c>
      <c r="J6" t="s">
        <v>419</v>
      </c>
      <c r="K6" t="s">
        <v>83</v>
      </c>
      <c r="L6" t="s">
        <v>461</v>
      </c>
      <c r="M6" t="s">
        <v>461</v>
      </c>
      <c r="N6" t="s">
        <v>461</v>
      </c>
      <c r="O6" t="s">
        <v>461</v>
      </c>
      <c r="P6" t="s">
        <v>461</v>
      </c>
      <c r="Q6" t="s">
        <v>461</v>
      </c>
      <c r="S6" s="14" t="s">
        <v>434</v>
      </c>
      <c r="T6" s="14" t="s">
        <v>436</v>
      </c>
      <c r="U6" s="14" t="s">
        <v>417</v>
      </c>
      <c r="V6" s="14" t="s">
        <v>438</v>
      </c>
      <c r="W6" s="14" t="s">
        <v>418</v>
      </c>
      <c r="X6" s="14" t="s">
        <v>423</v>
      </c>
      <c r="Y6" s="14" t="s">
        <v>415</v>
      </c>
      <c r="Z6" s="14" t="s">
        <v>419</v>
      </c>
      <c r="AA6" s="14" t="s">
        <v>83</v>
      </c>
      <c r="AB6" s="14"/>
      <c r="AC6" s="14"/>
      <c r="AD6" s="14"/>
      <c r="AE6" s="14"/>
      <c r="AF6" s="15"/>
      <c r="AG6" s="15"/>
    </row>
    <row r="7" spans="2:33" x14ac:dyDescent="0.2">
      <c r="B7" t="s">
        <v>390</v>
      </c>
      <c r="C7" t="s">
        <v>398</v>
      </c>
      <c r="D7" t="s">
        <v>435</v>
      </c>
      <c r="E7" t="s">
        <v>391</v>
      </c>
      <c r="F7" t="s">
        <v>403</v>
      </c>
      <c r="G7" t="s">
        <v>437</v>
      </c>
      <c r="H7" t="s">
        <v>393</v>
      </c>
      <c r="I7" t="s">
        <v>394</v>
      </c>
      <c r="J7" t="s">
        <v>461</v>
      </c>
      <c r="K7" t="s">
        <v>461</v>
      </c>
      <c r="L7" t="s">
        <v>461</v>
      </c>
      <c r="M7" t="s">
        <v>461</v>
      </c>
      <c r="N7" t="s">
        <v>461</v>
      </c>
      <c r="O7" t="s">
        <v>461</v>
      </c>
      <c r="P7" t="s">
        <v>461</v>
      </c>
      <c r="Q7" t="s">
        <v>461</v>
      </c>
      <c r="S7" s="14" t="s">
        <v>398</v>
      </c>
      <c r="T7" s="14" t="s">
        <v>435</v>
      </c>
      <c r="U7" s="14" t="s">
        <v>391</v>
      </c>
      <c r="V7" s="14" t="s">
        <v>403</v>
      </c>
      <c r="W7" s="14" t="s">
        <v>437</v>
      </c>
      <c r="X7" s="14" t="s">
        <v>393</v>
      </c>
      <c r="Y7" s="14" t="s">
        <v>394</v>
      </c>
      <c r="Z7" s="14"/>
      <c r="AA7" s="14"/>
      <c r="AB7" s="14"/>
      <c r="AC7" s="14"/>
      <c r="AD7" s="14"/>
      <c r="AE7" s="14"/>
      <c r="AF7" s="15"/>
      <c r="AG7" s="15"/>
    </row>
    <row r="8" spans="2:33" x14ac:dyDescent="0.2">
      <c r="B8" t="s">
        <v>8</v>
      </c>
      <c r="C8" t="s">
        <v>8</v>
      </c>
      <c r="D8" t="s">
        <v>461</v>
      </c>
      <c r="E8" t="s">
        <v>461</v>
      </c>
      <c r="F8" t="s">
        <v>461</v>
      </c>
      <c r="G8" t="s">
        <v>461</v>
      </c>
      <c r="H8" t="s">
        <v>461</v>
      </c>
      <c r="I8" t="s">
        <v>461</v>
      </c>
      <c r="J8" t="s">
        <v>461</v>
      </c>
      <c r="K8" t="s">
        <v>461</v>
      </c>
      <c r="L8" t="s">
        <v>461</v>
      </c>
      <c r="M8" t="s">
        <v>461</v>
      </c>
      <c r="N8" t="s">
        <v>461</v>
      </c>
      <c r="O8" t="s">
        <v>461</v>
      </c>
      <c r="P8" t="s">
        <v>461</v>
      </c>
      <c r="Q8" t="s">
        <v>461</v>
      </c>
      <c r="S8" s="16" t="s">
        <v>8</v>
      </c>
      <c r="T8" s="16"/>
      <c r="U8" s="16"/>
      <c r="V8" s="16"/>
      <c r="W8" s="16"/>
      <c r="X8" s="16"/>
      <c r="Y8" s="16"/>
      <c r="Z8" s="16"/>
      <c r="AA8" s="16"/>
      <c r="AB8" s="16"/>
      <c r="AC8" s="16"/>
      <c r="AD8" s="16"/>
      <c r="AE8" s="16"/>
      <c r="AF8" s="17"/>
      <c r="AG8" s="17"/>
    </row>
    <row r="10" spans="2:33" x14ac:dyDescent="0.2">
      <c r="B10" t="s">
        <v>446</v>
      </c>
      <c r="C10" t="s">
        <v>447</v>
      </c>
      <c r="D10" t="s">
        <v>448</v>
      </c>
      <c r="E10" t="s">
        <v>449</v>
      </c>
      <c r="F10" t="s">
        <v>450</v>
      </c>
      <c r="G10" t="s">
        <v>451</v>
      </c>
      <c r="H10" t="s">
        <v>452</v>
      </c>
      <c r="I10" t="s">
        <v>453</v>
      </c>
      <c r="J10" t="s">
        <v>454</v>
      </c>
      <c r="K10" t="s">
        <v>455</v>
      </c>
      <c r="L10" t="s">
        <v>456</v>
      </c>
      <c r="M10" t="s">
        <v>457</v>
      </c>
      <c r="N10" t="s">
        <v>458</v>
      </c>
      <c r="O10" t="s">
        <v>459</v>
      </c>
      <c r="P10" t="s">
        <v>460</v>
      </c>
      <c r="Q10" t="s">
        <v>462</v>
      </c>
      <c r="R10" t="s">
        <v>463</v>
      </c>
    </row>
    <row r="11" spans="2:33" x14ac:dyDescent="0.2">
      <c r="B11" t="s">
        <v>395</v>
      </c>
      <c r="C11" t="s">
        <v>647</v>
      </c>
      <c r="D11" t="s">
        <v>594</v>
      </c>
      <c r="E11" t="s">
        <v>641</v>
      </c>
      <c r="F11" t="s">
        <v>629</v>
      </c>
      <c r="G11" t="s">
        <v>565</v>
      </c>
      <c r="H11" t="s">
        <v>617</v>
      </c>
      <c r="I11" t="s">
        <v>619</v>
      </c>
      <c r="J11" t="s">
        <v>561</v>
      </c>
      <c r="K11" t="s">
        <v>598</v>
      </c>
      <c r="L11" t="s">
        <v>615</v>
      </c>
      <c r="M11" t="s">
        <v>461</v>
      </c>
      <c r="N11" t="s">
        <v>461</v>
      </c>
      <c r="O11" t="s">
        <v>461</v>
      </c>
      <c r="P11" t="s">
        <v>461</v>
      </c>
      <c r="Q11" t="s">
        <v>461</v>
      </c>
      <c r="R11" t="s">
        <v>461</v>
      </c>
    </row>
    <row r="12" spans="2:33" x14ac:dyDescent="0.2">
      <c r="B12" t="s">
        <v>400</v>
      </c>
      <c r="C12" t="s">
        <v>577</v>
      </c>
      <c r="D12" t="s">
        <v>569</v>
      </c>
      <c r="E12" t="s">
        <v>586</v>
      </c>
      <c r="F12" t="s">
        <v>579</v>
      </c>
      <c r="G12" t="s">
        <v>643</v>
      </c>
      <c r="H12" t="s">
        <v>571</v>
      </c>
      <c r="I12" t="s">
        <v>588</v>
      </c>
      <c r="J12" t="s">
        <v>581</v>
      </c>
      <c r="K12" t="s">
        <v>645</v>
      </c>
      <c r="L12" t="s">
        <v>584</v>
      </c>
      <c r="M12" t="s">
        <v>590</v>
      </c>
      <c r="N12" t="s">
        <v>649</v>
      </c>
      <c r="O12" t="s">
        <v>461</v>
      </c>
      <c r="P12" t="s">
        <v>461</v>
      </c>
      <c r="Q12" t="s">
        <v>461</v>
      </c>
      <c r="R12" t="s">
        <v>461</v>
      </c>
    </row>
    <row r="13" spans="2:33" x14ac:dyDescent="0.2">
      <c r="B13" t="s">
        <v>379</v>
      </c>
      <c r="C13" t="s">
        <v>543</v>
      </c>
      <c r="D13" t="s">
        <v>522</v>
      </c>
      <c r="E13" t="s">
        <v>530</v>
      </c>
      <c r="F13" t="s">
        <v>532</v>
      </c>
      <c r="G13" t="s">
        <v>547</v>
      </c>
      <c r="H13" t="s">
        <v>632</v>
      </c>
      <c r="I13" t="s">
        <v>528</v>
      </c>
      <c r="J13" t="s">
        <v>534</v>
      </c>
      <c r="K13" t="s">
        <v>536</v>
      </c>
      <c r="L13" t="s">
        <v>539</v>
      </c>
      <c r="M13" t="s">
        <v>524</v>
      </c>
      <c r="N13" t="s">
        <v>545</v>
      </c>
      <c r="O13" t="s">
        <v>637</v>
      </c>
      <c r="P13" t="s">
        <v>639</v>
      </c>
      <c r="Q13" t="s">
        <v>653</v>
      </c>
      <c r="R13" t="s">
        <v>553</v>
      </c>
    </row>
    <row r="14" spans="2:33" x14ac:dyDescent="0.2">
      <c r="B14" t="s">
        <v>414</v>
      </c>
      <c r="C14" t="s">
        <v>596</v>
      </c>
      <c r="D14" t="s">
        <v>655</v>
      </c>
      <c r="E14" t="s">
        <v>611</v>
      </c>
      <c r="F14" t="s">
        <v>651</v>
      </c>
      <c r="G14" t="s">
        <v>603</v>
      </c>
      <c r="H14" t="s">
        <v>625</v>
      </c>
      <c r="I14" t="s">
        <v>601</v>
      </c>
      <c r="J14" t="s">
        <v>605</v>
      </c>
      <c r="K14" t="s">
        <v>613</v>
      </c>
      <c r="L14" t="s">
        <v>621</v>
      </c>
      <c r="M14" t="s">
        <v>634</v>
      </c>
      <c r="N14" t="s">
        <v>607</v>
      </c>
      <c r="O14" t="s">
        <v>461</v>
      </c>
      <c r="P14" t="s">
        <v>461</v>
      </c>
      <c r="Q14" t="s">
        <v>461</v>
      </c>
      <c r="R14" t="s">
        <v>461</v>
      </c>
    </row>
    <row r="15" spans="2:33" x14ac:dyDescent="0.2">
      <c r="B15" t="s">
        <v>390</v>
      </c>
      <c r="C15" t="s">
        <v>549</v>
      </c>
      <c r="D15" t="s">
        <v>557</v>
      </c>
      <c r="E15" t="s">
        <v>573</v>
      </c>
      <c r="F15" t="s">
        <v>563</v>
      </c>
      <c r="G15" t="s">
        <v>559</v>
      </c>
      <c r="H15" t="s">
        <v>623</v>
      </c>
      <c r="I15" t="s">
        <v>551</v>
      </c>
      <c r="J15" t="s">
        <v>461</v>
      </c>
      <c r="K15" t="s">
        <v>461</v>
      </c>
      <c r="L15" t="s">
        <v>461</v>
      </c>
      <c r="M15" t="s">
        <v>461</v>
      </c>
      <c r="N15" t="s">
        <v>461</v>
      </c>
      <c r="O15" t="s">
        <v>461</v>
      </c>
      <c r="P15" t="s">
        <v>461</v>
      </c>
      <c r="Q15" t="s">
        <v>461</v>
      </c>
      <c r="R15" t="s">
        <v>461</v>
      </c>
    </row>
    <row r="16" spans="2:33" x14ac:dyDescent="0.2">
      <c r="B16" t="s">
        <v>8</v>
      </c>
      <c r="C16" t="s">
        <v>461</v>
      </c>
      <c r="D16" t="s">
        <v>461</v>
      </c>
      <c r="E16" t="s">
        <v>461</v>
      </c>
      <c r="F16" t="s">
        <v>461</v>
      </c>
      <c r="G16" t="s">
        <v>461</v>
      </c>
      <c r="H16" t="s">
        <v>461</v>
      </c>
      <c r="I16" t="s">
        <v>461</v>
      </c>
      <c r="J16" t="s">
        <v>461</v>
      </c>
      <c r="K16" t="s">
        <v>461</v>
      </c>
      <c r="L16" t="s">
        <v>461</v>
      </c>
      <c r="M16" t="s">
        <v>461</v>
      </c>
      <c r="N16" t="s">
        <v>461</v>
      </c>
      <c r="O16" t="s">
        <v>461</v>
      </c>
      <c r="P16" t="s">
        <v>461</v>
      </c>
      <c r="Q16" t="s">
        <v>461</v>
      </c>
      <c r="R16" t="s">
        <v>461</v>
      </c>
    </row>
    <row r="19" spans="2:4" x14ac:dyDescent="0.2">
      <c r="B19" t="s">
        <v>985</v>
      </c>
      <c r="C19" t="s">
        <v>986</v>
      </c>
      <c r="D19" t="s">
        <v>987</v>
      </c>
    </row>
    <row r="20" spans="2:4" x14ac:dyDescent="0.2">
      <c r="B20" s="152">
        <v>42252</v>
      </c>
      <c r="C20">
        <v>23989</v>
      </c>
      <c r="D20">
        <v>9</v>
      </c>
    </row>
  </sheetData>
  <sheetProtection autoFilter="0"/>
  <pageMargins left="0.7" right="0.7" top="0.75" bottom="0.75" header="0.3" footer="0.3"/>
  <pageSetup orientation="portrait" r:id="rId1"/>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79"/>
  <sheetViews>
    <sheetView zoomScale="85" zoomScaleNormal="85" zoomScaleSheetLayoutView="75" workbookViewId="0"/>
  </sheetViews>
  <sheetFormatPr defaultColWidth="0" defaultRowHeight="12.75" zeroHeight="1" x14ac:dyDescent="0.2"/>
  <cols>
    <col min="1" max="1" width="2.85546875" style="24" customWidth="1"/>
    <col min="2" max="10" width="15" style="24" customWidth="1"/>
    <col min="11" max="11" width="2.85546875" style="24" customWidth="1"/>
    <col min="12" max="12" width="14.85546875" style="24" hidden="1" customWidth="1"/>
    <col min="13" max="22" width="0" style="24" hidden="1" customWidth="1"/>
    <col min="23" max="16384" width="9.140625" style="24" hidden="1"/>
  </cols>
  <sheetData>
    <row r="1" spans="1:11" ht="15" customHeight="1" thickBot="1" x14ac:dyDescent="0.25">
      <c r="A1" s="130"/>
      <c r="B1" s="131"/>
      <c r="C1" s="131"/>
      <c r="D1" s="131"/>
      <c r="E1" s="131"/>
      <c r="F1" s="131"/>
      <c r="G1" s="132"/>
      <c r="H1" s="133"/>
      <c r="I1" s="133"/>
      <c r="J1" s="133"/>
      <c r="K1" s="134"/>
    </row>
    <row r="2" spans="1:11" ht="39" customHeight="1" thickBot="1" x14ac:dyDescent="0.25">
      <c r="A2" s="130"/>
      <c r="B2" s="323" t="s">
        <v>991</v>
      </c>
      <c r="C2" s="324"/>
      <c r="D2" s="324"/>
      <c r="E2" s="324"/>
      <c r="F2" s="324"/>
      <c r="G2" s="325"/>
      <c r="H2" s="135" t="s">
        <v>5</v>
      </c>
      <c r="I2" s="136" t="s">
        <v>2</v>
      </c>
      <c r="J2" s="136" t="s">
        <v>236</v>
      </c>
      <c r="K2" s="134"/>
    </row>
    <row r="3" spans="1:11" ht="59.25" customHeight="1" x14ac:dyDescent="0.2">
      <c r="A3" s="130"/>
      <c r="B3" s="326"/>
      <c r="C3" s="327"/>
      <c r="D3" s="327"/>
      <c r="E3" s="327"/>
      <c r="F3" s="327"/>
      <c r="G3" s="327"/>
      <c r="H3" s="319">
        <f>SUM(H5,H10)</f>
        <v>366703</v>
      </c>
      <c r="I3" s="319">
        <f>SUM(I5,I10)</f>
        <v>91764</v>
      </c>
      <c r="J3" s="321">
        <f>ROUND(I3/H3,5)</f>
        <v>0.25024000000000002</v>
      </c>
      <c r="K3" s="134"/>
    </row>
    <row r="4" spans="1:11" ht="33" customHeight="1" thickBot="1" x14ac:dyDescent="0.25">
      <c r="A4" s="130"/>
      <c r="B4" s="328" t="str">
        <f>"As of: "&amp;TEXT(INDEX(MMWR_DATES[],1,1),"MMMM DD, YYYY")</f>
        <v>As of: September 05, 2015</v>
      </c>
      <c r="C4" s="329"/>
      <c r="D4" s="329"/>
      <c r="E4" s="329"/>
      <c r="F4" s="329"/>
      <c r="G4" s="330"/>
      <c r="H4" s="320"/>
      <c r="I4" s="320"/>
      <c r="J4" s="322"/>
      <c r="K4" s="137"/>
    </row>
    <row r="5" spans="1:11" ht="16.5" customHeight="1" thickBot="1" x14ac:dyDescent="0.25">
      <c r="A5" s="130"/>
      <c r="B5" s="317" t="s">
        <v>241</v>
      </c>
      <c r="C5" s="318"/>
      <c r="D5" s="318"/>
      <c r="E5" s="318"/>
      <c r="F5" s="318"/>
      <c r="G5" s="138" t="s">
        <v>252</v>
      </c>
      <c r="H5" s="161">
        <f>SUM(H6:H9)</f>
        <v>140842</v>
      </c>
      <c r="I5" s="161">
        <f>SUM(I6:I9)</f>
        <v>41857</v>
      </c>
      <c r="J5" s="162">
        <f t="shared" ref="J5:J15" si="0">IF(H5=0, 0,I5/H5)</f>
        <v>0.29719117876769713</v>
      </c>
      <c r="K5" s="134"/>
    </row>
    <row r="6" spans="1:11" ht="16.5" customHeight="1" x14ac:dyDescent="0.2">
      <c r="A6" s="130"/>
      <c r="B6" s="282" t="s">
        <v>16</v>
      </c>
      <c r="C6" s="283"/>
      <c r="D6" s="283"/>
      <c r="E6" s="283"/>
      <c r="F6" s="283"/>
      <c r="G6" s="139" t="s">
        <v>198</v>
      </c>
      <c r="H6" s="163">
        <f>IFERROR(VLOOKUP(MID($G6,4,3),MMWR_TRAD_AGG_NATIONAL[],2,0),0)</f>
        <v>41738</v>
      </c>
      <c r="I6" s="163">
        <f>IFERROR(VLOOKUP(MID($G6,4,3),MMWR_TRAD_AGG_NATIONAL[],3,0),0)</f>
        <v>13976</v>
      </c>
      <c r="J6" s="164">
        <f t="shared" si="0"/>
        <v>0.33485073554075423</v>
      </c>
      <c r="K6" s="134"/>
    </row>
    <row r="7" spans="1:11" ht="16.5" customHeight="1" x14ac:dyDescent="0.2">
      <c r="A7" s="130"/>
      <c r="B7" s="284" t="s">
        <v>0</v>
      </c>
      <c r="C7" s="285"/>
      <c r="D7" s="285"/>
      <c r="E7" s="285"/>
      <c r="F7" s="285"/>
      <c r="G7" s="140" t="s">
        <v>199</v>
      </c>
      <c r="H7" s="163">
        <f>IFERROR(VLOOKUP(MID($G7,4,3),MMWR_TRAD_AGG_NATIONAL[],2,0),0)</f>
        <v>86677</v>
      </c>
      <c r="I7" s="163">
        <f>IFERROR(VLOOKUP(MID($G7,4,3),MMWR_TRAD_AGG_NATIONAL[],3,0),0)</f>
        <v>26530</v>
      </c>
      <c r="J7" s="164">
        <f t="shared" si="0"/>
        <v>0.30607889059381382</v>
      </c>
      <c r="K7" s="134"/>
    </row>
    <row r="8" spans="1:11" ht="16.5" customHeight="1" x14ac:dyDescent="0.2">
      <c r="A8" s="130"/>
      <c r="B8" s="286" t="s">
        <v>242</v>
      </c>
      <c r="C8" s="287"/>
      <c r="D8" s="287"/>
      <c r="E8" s="287"/>
      <c r="F8" s="287"/>
      <c r="G8" s="141" t="s">
        <v>201</v>
      </c>
      <c r="H8" s="163">
        <f>IFERROR(VLOOKUP(MID($G8,4,3),MMWR_TRAD_AGG_NATIONAL[],2,0),0)</f>
        <v>5784</v>
      </c>
      <c r="I8" s="163">
        <f>IFERROR(VLOOKUP(MID($G8,4,3),MMWR_TRAD_AGG_NATIONAL[],3,0),0)</f>
        <v>289</v>
      </c>
      <c r="J8" s="164">
        <f t="shared" si="0"/>
        <v>4.9965421853388661E-2</v>
      </c>
      <c r="K8" s="134"/>
    </row>
    <row r="9" spans="1:11" ht="16.5" customHeight="1" thickBot="1" x14ac:dyDescent="0.25">
      <c r="A9" s="130"/>
      <c r="B9" s="291" t="s">
        <v>17</v>
      </c>
      <c r="C9" s="292"/>
      <c r="D9" s="292"/>
      <c r="E9" s="292"/>
      <c r="F9" s="292"/>
      <c r="G9" s="140" t="s">
        <v>203</v>
      </c>
      <c r="H9" s="163">
        <f>IFERROR(VLOOKUP(MID($G9,4,3),MMWR_TRAD_AGG_NATIONAL[],2,0),0)</f>
        <v>6643</v>
      </c>
      <c r="I9" s="163">
        <f>IFERROR(VLOOKUP(MID($G9,4,3),MMWR_TRAD_AGG_NATIONAL[],3,0),0)</f>
        <v>1062</v>
      </c>
      <c r="J9" s="164">
        <f t="shared" si="0"/>
        <v>0.15986752973054344</v>
      </c>
      <c r="K9" s="134"/>
    </row>
    <row r="10" spans="1:11" ht="17.25" thickBot="1" x14ac:dyDescent="0.25">
      <c r="A10" s="130"/>
      <c r="B10" s="317" t="s">
        <v>1</v>
      </c>
      <c r="C10" s="318"/>
      <c r="D10" s="318"/>
      <c r="E10" s="318"/>
      <c r="F10" s="318"/>
      <c r="G10" s="138" t="s">
        <v>252</v>
      </c>
      <c r="H10" s="161">
        <f>SUM(H11:H18)</f>
        <v>225861</v>
      </c>
      <c r="I10" s="161">
        <f>SUM(I11:I18)</f>
        <v>49907</v>
      </c>
      <c r="J10" s="162">
        <f t="shared" si="0"/>
        <v>0.22096333585700939</v>
      </c>
      <c r="K10" s="134"/>
    </row>
    <row r="11" spans="1:11" ht="16.5" customHeight="1" x14ac:dyDescent="0.2">
      <c r="A11" s="130"/>
      <c r="B11" s="282" t="s">
        <v>207</v>
      </c>
      <c r="C11" s="283"/>
      <c r="D11" s="283"/>
      <c r="E11" s="283"/>
      <c r="F11" s="283"/>
      <c r="G11" s="142" t="s">
        <v>202</v>
      </c>
      <c r="H11" s="165">
        <f>IFERROR(VLOOKUP(MID($G11,4,3),MMWR_TRAD_AGG_NATIONAL[],2,0),0)</f>
        <v>5921</v>
      </c>
      <c r="I11" s="163">
        <f>IFERROR(VLOOKUP(MID($G11,4,3),MMWR_TRAD_AGG_NATIONAL[],3,0),0)</f>
        <v>242</v>
      </c>
      <c r="J11" s="164">
        <f t="shared" si="0"/>
        <v>4.0871474413105895E-2</v>
      </c>
      <c r="K11" s="134"/>
    </row>
    <row r="12" spans="1:11" ht="16.5" customHeight="1" x14ac:dyDescent="0.2">
      <c r="A12" s="130"/>
      <c r="B12" s="284" t="s">
        <v>18</v>
      </c>
      <c r="C12" s="285"/>
      <c r="D12" s="285"/>
      <c r="E12" s="285"/>
      <c r="F12" s="285"/>
      <c r="G12" s="143" t="s">
        <v>200</v>
      </c>
      <c r="H12" s="166">
        <f>IFERROR(VLOOKUP(MID($G12,4,3),MMWR_TRAD_AGG_NATIONAL[],2,0),0)</f>
        <v>203883</v>
      </c>
      <c r="I12" s="163">
        <f>IFERROR(VLOOKUP(MID($G12,4,3),MMWR_TRAD_AGG_NATIONAL[],3,0),0)</f>
        <v>47502</v>
      </c>
      <c r="J12" s="164">
        <f t="shared" si="0"/>
        <v>0.23298656582451699</v>
      </c>
      <c r="K12" s="134"/>
    </row>
    <row r="13" spans="1:11" ht="16.5" customHeight="1" x14ac:dyDescent="0.2">
      <c r="A13" s="130"/>
      <c r="B13" s="284" t="s">
        <v>14</v>
      </c>
      <c r="C13" s="285"/>
      <c r="D13" s="285"/>
      <c r="E13" s="285"/>
      <c r="F13" s="285"/>
      <c r="G13" s="143" t="s">
        <v>204</v>
      </c>
      <c r="H13" s="166">
        <f>IFERROR(VLOOKUP(MID($G13,4,3),MMWR_TRAD_AGG_NATIONAL[],2,0),0)</f>
        <v>15792</v>
      </c>
      <c r="I13" s="163">
        <f>IFERROR(VLOOKUP(MID($G13,4,3),MMWR_TRAD_AGG_NATIONAL[],3,0),0)</f>
        <v>2122</v>
      </c>
      <c r="J13" s="164">
        <f t="shared" si="0"/>
        <v>0.13437183383991894</v>
      </c>
      <c r="K13" s="134"/>
    </row>
    <row r="14" spans="1:11" ht="16.5" customHeight="1" x14ac:dyDescent="0.2">
      <c r="A14" s="130"/>
      <c r="B14" s="286" t="s">
        <v>19</v>
      </c>
      <c r="C14" s="287"/>
      <c r="D14" s="287"/>
      <c r="E14" s="287"/>
      <c r="F14" s="287"/>
      <c r="G14" s="142" t="s">
        <v>205</v>
      </c>
      <c r="H14" s="166">
        <f>IFERROR(VLOOKUP(MID($G14,4,3),MMWR_TRAD_AGG_NATIONAL[],2,0),0)</f>
        <v>241</v>
      </c>
      <c r="I14" s="163">
        <f>IFERROR(VLOOKUP(MID($G14,4,3),MMWR_TRAD_AGG_NATIONAL[],3,0),0)</f>
        <v>36</v>
      </c>
      <c r="J14" s="164">
        <f t="shared" si="0"/>
        <v>0.14937759336099585</v>
      </c>
      <c r="K14" s="134"/>
    </row>
    <row r="15" spans="1:11" ht="16.5" customHeight="1" x14ac:dyDescent="0.2">
      <c r="A15" s="130"/>
      <c r="B15" s="286" t="s">
        <v>87</v>
      </c>
      <c r="C15" s="287"/>
      <c r="D15" s="287"/>
      <c r="E15" s="287"/>
      <c r="F15" s="287"/>
      <c r="G15" s="142" t="s">
        <v>208</v>
      </c>
      <c r="H15" s="166">
        <f>IFERROR(VLOOKUP(MID($G15,4,3),MMWR_TRAD_AGG_NATIONAL[],2,0),0)</f>
        <v>12</v>
      </c>
      <c r="I15" s="163">
        <f>IFERROR(VLOOKUP(MID($G15,4,3),MMWR_TRAD_AGG_NATIONAL[],3,0),0)</f>
        <v>4</v>
      </c>
      <c r="J15" s="164">
        <f t="shared" si="0"/>
        <v>0.33333333333333331</v>
      </c>
      <c r="K15" s="134"/>
    </row>
    <row r="16" spans="1:11" ht="15" x14ac:dyDescent="0.2">
      <c r="A16" s="130"/>
      <c r="B16" s="286" t="s">
        <v>88</v>
      </c>
      <c r="C16" s="287"/>
      <c r="D16" s="287"/>
      <c r="E16" s="287"/>
      <c r="F16" s="287"/>
      <c r="G16" s="142" t="s">
        <v>209</v>
      </c>
      <c r="H16" s="166">
        <f>IFERROR(VLOOKUP(MID($G16,4,3),MMWR_TRAD_AGG_NATIONAL[],2,0),0)</f>
        <v>1</v>
      </c>
      <c r="I16" s="163">
        <f>IFERROR(VLOOKUP(MID($G16,4,3),MMWR_TRAD_AGG_NATIONAL[],3,0),0)</f>
        <v>1</v>
      </c>
      <c r="J16" s="164">
        <f>IF(H16=0, 0,I16/H16)</f>
        <v>1</v>
      </c>
      <c r="K16" s="134"/>
    </row>
    <row r="17" spans="1:11" ht="16.5" customHeight="1" x14ac:dyDescent="0.2">
      <c r="A17" s="130"/>
      <c r="B17" s="286" t="s">
        <v>90</v>
      </c>
      <c r="C17" s="287"/>
      <c r="D17" s="287"/>
      <c r="E17" s="287"/>
      <c r="F17" s="287"/>
      <c r="G17" s="142" t="s">
        <v>210</v>
      </c>
      <c r="H17" s="166">
        <f>IFERROR(VLOOKUP(MID($G17,4,3),MMWR_TRAD_AGG_NATIONAL[],2,0),0)</f>
        <v>6</v>
      </c>
      <c r="I17" s="163">
        <f>IFERROR(VLOOKUP(MID($G17,4,3),MMWR_TRAD_AGG_NATIONAL[],3,0),0)</f>
        <v>0</v>
      </c>
      <c r="J17" s="164">
        <f>IF(H17=0, 0,I17/H17)</f>
        <v>0</v>
      </c>
      <c r="K17" s="134"/>
    </row>
    <row r="18" spans="1:11" ht="16.5" customHeight="1" thickBot="1" x14ac:dyDescent="0.25">
      <c r="A18" s="130"/>
      <c r="B18" s="291" t="s">
        <v>89</v>
      </c>
      <c r="C18" s="292"/>
      <c r="D18" s="292"/>
      <c r="E18" s="292"/>
      <c r="F18" s="292"/>
      <c r="G18" s="142" t="s">
        <v>211</v>
      </c>
      <c r="H18" s="167">
        <f>IFERROR(VLOOKUP(MID($G18,4,3),MMWR_TRAD_AGG_NATIONAL[],2,0),0)</f>
        <v>5</v>
      </c>
      <c r="I18" s="163">
        <f>IFERROR(VLOOKUP(MID($G18,4,3),MMWR_TRAD_AGG_NATIONAL[],3,0),0)</f>
        <v>0</v>
      </c>
      <c r="J18" s="168">
        <f>IF(H18=0, 0,I18/H18)</f>
        <v>0</v>
      </c>
      <c r="K18" s="134"/>
    </row>
    <row r="19" spans="1:11" ht="16.5" customHeight="1" x14ac:dyDescent="0.2">
      <c r="A19" s="130"/>
      <c r="B19" s="296" t="s">
        <v>981</v>
      </c>
      <c r="C19" s="297"/>
      <c r="D19" s="297"/>
      <c r="E19" s="297"/>
      <c r="F19" s="297"/>
      <c r="G19" s="297"/>
      <c r="H19" s="297"/>
      <c r="I19" s="297"/>
      <c r="J19" s="298"/>
      <c r="K19" s="134"/>
    </row>
    <row r="20" spans="1:11" ht="36" customHeight="1" thickBot="1" x14ac:dyDescent="0.25">
      <c r="A20" s="130"/>
      <c r="B20" s="299"/>
      <c r="C20" s="300"/>
      <c r="D20" s="300"/>
      <c r="E20" s="300"/>
      <c r="F20" s="300"/>
      <c r="G20" s="300"/>
      <c r="H20" s="300"/>
      <c r="I20" s="300"/>
      <c r="J20" s="301"/>
      <c r="K20" s="134"/>
    </row>
    <row r="21" spans="1:11" ht="36" customHeight="1" x14ac:dyDescent="0.2">
      <c r="A21" s="130"/>
      <c r="B21" s="311" t="s">
        <v>972</v>
      </c>
      <c r="C21" s="312"/>
      <c r="D21" s="313"/>
      <c r="E21" s="311" t="s">
        <v>973</v>
      </c>
      <c r="F21" s="312"/>
      <c r="G21" s="313"/>
      <c r="H21" s="311" t="s">
        <v>974</v>
      </c>
      <c r="I21" s="312"/>
      <c r="J21" s="313"/>
      <c r="K21" s="134"/>
    </row>
    <row r="22" spans="1:11" ht="29.25" customHeight="1" thickBot="1" x14ac:dyDescent="0.25">
      <c r="A22" s="130"/>
      <c r="B22" s="314"/>
      <c r="C22" s="315"/>
      <c r="D22" s="316"/>
      <c r="E22" s="314"/>
      <c r="F22" s="315"/>
      <c r="G22" s="316"/>
      <c r="H22" s="314"/>
      <c r="I22" s="315"/>
      <c r="J22" s="316"/>
      <c r="K22" s="134"/>
    </row>
    <row r="23" spans="1:11" ht="36" customHeight="1" x14ac:dyDescent="0.35">
      <c r="A23" s="130"/>
      <c r="B23" s="311" t="s">
        <v>966</v>
      </c>
      <c r="C23" s="312"/>
      <c r="D23" s="313"/>
      <c r="E23" s="311" t="s">
        <v>967</v>
      </c>
      <c r="F23" s="312"/>
      <c r="G23" s="313"/>
      <c r="H23" s="144"/>
      <c r="I23" s="144"/>
      <c r="J23" s="144"/>
      <c r="K23" s="134"/>
    </row>
    <row r="24" spans="1:11" ht="29.25" customHeight="1" thickBot="1" x14ac:dyDescent="0.4">
      <c r="A24" s="130"/>
      <c r="B24" s="314"/>
      <c r="C24" s="315"/>
      <c r="D24" s="316"/>
      <c r="E24" s="314"/>
      <c r="F24" s="315"/>
      <c r="G24" s="316"/>
      <c r="H24" s="144"/>
      <c r="I24" s="144"/>
      <c r="J24" s="144"/>
      <c r="K24" s="134"/>
    </row>
    <row r="25" spans="1:11" ht="29.25" customHeight="1" thickBot="1" x14ac:dyDescent="0.25">
      <c r="A25" s="130"/>
      <c r="B25" s="145"/>
      <c r="C25" s="146"/>
      <c r="D25" s="146"/>
      <c r="E25" s="146"/>
      <c r="F25" s="146"/>
      <c r="G25" s="146"/>
      <c r="H25" s="146"/>
      <c r="I25" s="146"/>
      <c r="J25" s="146"/>
      <c r="K25" s="147"/>
    </row>
    <row r="26" spans="1:11" ht="38.25" x14ac:dyDescent="0.2">
      <c r="A26" s="130"/>
      <c r="B26" s="148" t="s">
        <v>23</v>
      </c>
      <c r="C26" s="337"/>
      <c r="D26" s="337"/>
      <c r="E26" s="337"/>
      <c r="F26" s="338"/>
      <c r="G26" s="49" t="s">
        <v>28</v>
      </c>
      <c r="H26" s="49" t="s">
        <v>29</v>
      </c>
      <c r="I26" s="49" t="s">
        <v>30</v>
      </c>
      <c r="J26" s="149" t="s">
        <v>31</v>
      </c>
      <c r="K26" s="134"/>
    </row>
    <row r="27" spans="1:11" ht="16.5" x14ac:dyDescent="0.2">
      <c r="A27" s="130"/>
      <c r="B27" s="293" t="s">
        <v>975</v>
      </c>
      <c r="C27" s="294"/>
      <c r="D27" s="294"/>
      <c r="E27" s="294"/>
      <c r="F27" s="295"/>
      <c r="G27" s="259">
        <v>17553</v>
      </c>
      <c r="H27" s="259">
        <v>18259</v>
      </c>
      <c r="I27" s="259">
        <v>-706</v>
      </c>
      <c r="J27" s="263">
        <v>-3.9E-2</v>
      </c>
      <c r="K27" s="134"/>
    </row>
    <row r="28" spans="1:11" ht="15" x14ac:dyDescent="0.2">
      <c r="A28" s="130"/>
      <c r="B28" s="331" t="s">
        <v>24</v>
      </c>
      <c r="C28" s="332"/>
      <c r="D28" s="332"/>
      <c r="E28" s="332"/>
      <c r="F28" s="333"/>
      <c r="G28" s="260">
        <v>3405</v>
      </c>
      <c r="H28" s="260">
        <v>3380</v>
      </c>
      <c r="I28" s="260">
        <v>25</v>
      </c>
      <c r="J28" s="256">
        <v>7.0000000000000001E-3</v>
      </c>
      <c r="K28" s="134"/>
    </row>
    <row r="29" spans="1:11" ht="15" x14ac:dyDescent="0.2">
      <c r="A29" s="130"/>
      <c r="B29" s="302" t="s">
        <v>25</v>
      </c>
      <c r="C29" s="303"/>
      <c r="D29" s="303"/>
      <c r="E29" s="303"/>
      <c r="F29" s="304"/>
      <c r="G29" s="261">
        <v>1435</v>
      </c>
      <c r="H29" s="261">
        <v>1564</v>
      </c>
      <c r="I29" s="261">
        <v>-129</v>
      </c>
      <c r="J29" s="257">
        <v>-8.2000000000000003E-2</v>
      </c>
      <c r="K29" s="134"/>
    </row>
    <row r="30" spans="1:11" ht="15" x14ac:dyDescent="0.2">
      <c r="A30" s="130"/>
      <c r="B30" s="305" t="s">
        <v>26</v>
      </c>
      <c r="C30" s="306"/>
      <c r="D30" s="306"/>
      <c r="E30" s="306"/>
      <c r="F30" s="307"/>
      <c r="G30" s="261">
        <v>3410</v>
      </c>
      <c r="H30" s="261">
        <v>3860</v>
      </c>
      <c r="I30" s="261">
        <v>-450</v>
      </c>
      <c r="J30" s="257">
        <v>-0.11700000000000001</v>
      </c>
      <c r="K30" s="134"/>
    </row>
    <row r="31" spans="1:11" ht="15" x14ac:dyDescent="0.2">
      <c r="A31" s="130"/>
      <c r="B31" s="334" t="s">
        <v>27</v>
      </c>
      <c r="C31" s="335"/>
      <c r="D31" s="335"/>
      <c r="E31" s="335"/>
      <c r="F31" s="336"/>
      <c r="G31" s="262">
        <v>9303</v>
      </c>
      <c r="H31" s="262">
        <v>9455</v>
      </c>
      <c r="I31" s="262">
        <v>-152</v>
      </c>
      <c r="J31" s="258">
        <v>-1.6E-2</v>
      </c>
      <c r="K31" s="134"/>
    </row>
    <row r="32" spans="1:11" ht="16.5" x14ac:dyDescent="0.2">
      <c r="A32" s="130"/>
      <c r="B32" s="293" t="s">
        <v>243</v>
      </c>
      <c r="C32" s="294"/>
      <c r="D32" s="294"/>
      <c r="E32" s="294"/>
      <c r="F32" s="295"/>
      <c r="G32" s="259">
        <v>194472</v>
      </c>
      <c r="H32" s="259">
        <v>189371</v>
      </c>
      <c r="I32" s="259">
        <v>5101</v>
      </c>
      <c r="J32" s="263">
        <v>2.7E-2</v>
      </c>
      <c r="K32" s="134"/>
    </row>
    <row r="33" spans="1:11" ht="15" x14ac:dyDescent="0.2">
      <c r="A33" s="130"/>
      <c r="B33" s="331" t="s">
        <v>24</v>
      </c>
      <c r="C33" s="332"/>
      <c r="D33" s="332"/>
      <c r="E33" s="332"/>
      <c r="F33" s="333"/>
      <c r="G33" s="260">
        <v>36410</v>
      </c>
      <c r="H33" s="260">
        <v>32792</v>
      </c>
      <c r="I33" s="260">
        <v>3618</v>
      </c>
      <c r="J33" s="256">
        <v>0.11</v>
      </c>
      <c r="K33" s="134"/>
    </row>
    <row r="34" spans="1:11" ht="15" x14ac:dyDescent="0.2">
      <c r="A34" s="130"/>
      <c r="B34" s="302" t="s">
        <v>25</v>
      </c>
      <c r="C34" s="303"/>
      <c r="D34" s="303"/>
      <c r="E34" s="303"/>
      <c r="F34" s="304"/>
      <c r="G34" s="261">
        <v>13681</v>
      </c>
      <c r="H34" s="261">
        <v>13369</v>
      </c>
      <c r="I34" s="261">
        <v>312</v>
      </c>
      <c r="J34" s="257">
        <v>2.3E-2</v>
      </c>
      <c r="K34" s="134"/>
    </row>
    <row r="35" spans="1:11" ht="15" x14ac:dyDescent="0.2">
      <c r="A35" s="130"/>
      <c r="B35" s="305" t="s">
        <v>26</v>
      </c>
      <c r="C35" s="306"/>
      <c r="D35" s="306"/>
      <c r="E35" s="306"/>
      <c r="F35" s="307"/>
      <c r="G35" s="261">
        <v>61703</v>
      </c>
      <c r="H35" s="261">
        <v>56269</v>
      </c>
      <c r="I35" s="261">
        <v>5434</v>
      </c>
      <c r="J35" s="257">
        <v>9.7000000000000003E-2</v>
      </c>
      <c r="K35" s="134"/>
    </row>
    <row r="36" spans="1:11" ht="15.75" thickBot="1" x14ac:dyDescent="0.25">
      <c r="A36" s="130"/>
      <c r="B36" s="308" t="s">
        <v>27</v>
      </c>
      <c r="C36" s="309"/>
      <c r="D36" s="309"/>
      <c r="E36" s="309"/>
      <c r="F36" s="310"/>
      <c r="G36" s="261">
        <v>82678</v>
      </c>
      <c r="H36" s="261">
        <v>86941</v>
      </c>
      <c r="I36" s="261">
        <v>-4263</v>
      </c>
      <c r="J36" s="257">
        <v>-4.9000000000000002E-2</v>
      </c>
      <c r="K36" s="134"/>
    </row>
    <row r="37" spans="1:11" ht="15.75" customHeight="1" thickBot="1" x14ac:dyDescent="0.25">
      <c r="A37" s="130"/>
      <c r="B37" s="288" t="s">
        <v>980</v>
      </c>
      <c r="C37" s="289"/>
      <c r="D37" s="289"/>
      <c r="E37" s="289"/>
      <c r="F37" s="289"/>
      <c r="G37" s="289"/>
      <c r="H37" s="289"/>
      <c r="I37" s="289"/>
      <c r="J37" s="290"/>
      <c r="K37" s="134"/>
    </row>
    <row r="38" spans="1:11" ht="15" customHeight="1" x14ac:dyDescent="0.2">
      <c r="A38" s="150"/>
      <c r="B38" s="151"/>
      <c r="C38" s="151"/>
      <c r="D38" s="151"/>
      <c r="E38" s="151"/>
      <c r="F38" s="151"/>
      <c r="G38" s="151"/>
      <c r="H38" s="151"/>
      <c r="I38" s="151"/>
      <c r="J38" s="151"/>
      <c r="K38" s="147"/>
    </row>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sheetData>
  <sheetProtection password="BD20" sheet="1" autoFilter="0"/>
  <mergeCells count="37">
    <mergeCell ref="B21:D22"/>
    <mergeCell ref="E21:G22"/>
    <mergeCell ref="H21:J22"/>
    <mergeCell ref="B33:F33"/>
    <mergeCell ref="B28:F28"/>
    <mergeCell ref="B29:F29"/>
    <mergeCell ref="B30:F30"/>
    <mergeCell ref="B31:F31"/>
    <mergeCell ref="B32:F32"/>
    <mergeCell ref="C26:F26"/>
    <mergeCell ref="I3:I4"/>
    <mergeCell ref="J3:J4"/>
    <mergeCell ref="H3:H4"/>
    <mergeCell ref="B2:G3"/>
    <mergeCell ref="B5:F5"/>
    <mergeCell ref="B4:G4"/>
    <mergeCell ref="B6:F6"/>
    <mergeCell ref="B7:F7"/>
    <mergeCell ref="B8:F8"/>
    <mergeCell ref="B9:F9"/>
    <mergeCell ref="B10:F10"/>
    <mergeCell ref="B11:F11"/>
    <mergeCell ref="B12:F12"/>
    <mergeCell ref="B13:F13"/>
    <mergeCell ref="B14:F14"/>
    <mergeCell ref="B37:J37"/>
    <mergeCell ref="B15:F15"/>
    <mergeCell ref="B16:F16"/>
    <mergeCell ref="B17:F17"/>
    <mergeCell ref="B18:F18"/>
    <mergeCell ref="B27:F27"/>
    <mergeCell ref="B19:J20"/>
    <mergeCell ref="B34:F34"/>
    <mergeCell ref="B35:F35"/>
    <mergeCell ref="B36:F36"/>
    <mergeCell ref="B23:D24"/>
    <mergeCell ref="E23:G24"/>
  </mergeCells>
  <phoneticPr fontId="0" type="noConversion"/>
  <conditionalFormatting sqref="J6:J7 J9 J11:J18">
    <cfRule type="expression" dxfId="438" priority="26" stopIfTrue="1">
      <formula>ISERROR(J6)</formula>
    </cfRule>
  </conditionalFormatting>
  <conditionalFormatting sqref="J8">
    <cfRule type="expression" dxfId="437" priority="1" stopIfTrue="1">
      <formula>ISERROR(J8)</formula>
    </cfRule>
  </conditionalFormatting>
  <hyperlinks>
    <hyperlink ref="B23:D24" location="TRAD_AGG_NAT" tooltip="Displays national, district, and regional office or state level data for different groups of claims, including non-rating bundle, entitlement bundle, award adjustments bundle, program review bundle, other bundle, burial claims, accrued claims and appeals." display="Traditional Aggregate (National)"/>
    <hyperlink ref="E23:G24" location="TRAD_AGG_RO" tooltip="Displays national, district, and regional office or state level data for different groups of claims, including non-rating bundle, entitlement bundle, award adjustments bundle, program review bundle, other bundle, burial claims, accrued claims and appeals." display="Traditional Aggregate (Regional Office)"/>
    <hyperlink ref="B21:D22" location="RB_SOO" tooltip="Displays national, district, and regional office-level data for Rating Bundle claims by Station of Origination. The Station of Origination (SOO) primarily represents pending claims based on geographic boundaries;" display="RB_SOO"/>
    <hyperlink ref="E21:G22" location="RB_SOJ" tooltip="Displays national, district, and regional office-level data for Rating Bundle claims by Station of Jurisdiction. The Station of Jurisdiction represents pending claims at the regional office currently assigned to work the claim." display="RB_SOJ"/>
    <hyperlink ref="H21:J22" location="RB_STATE" tooltip="Displays national, district and state level data for Rating bundle claims by the claimant address directly associated with that claim." display="RB_STATE"/>
  </hyperlinks>
  <printOptions horizontalCentered="1" verticalCentered="1"/>
  <pageMargins left="0.25" right="0.25" top="0.75" bottom="0.75" header="0.3" footer="0.3"/>
  <pageSetup scale="97" fitToHeight="0" orientation="landscape" r:id="rId1"/>
  <headerFooter>
    <oddHeader>&amp;C&amp;14VBA Monday Morning Workload Report</oddHeader>
    <oddFooter>&amp;LPrepared by VBA Office of Performance Analysis &amp; Integrity&amp;R&amp;A
Page: &amp;P of &amp;N</oddFooter>
  </headerFooter>
  <rowBreaks count="2" manualBreakCount="2">
    <brk id="20" max="14" man="1"/>
    <brk id="38" max="14" man="1"/>
  </rowBreaks>
  <ignoredErrors>
    <ignoredError sqref="H10:I10"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Q52"/>
  <sheetViews>
    <sheetView zoomScale="70" zoomScaleNormal="70" zoomScaleSheetLayoutView="80" workbookViewId="0"/>
  </sheetViews>
  <sheetFormatPr defaultColWidth="0" defaultRowHeight="12.75" zeroHeight="1" x14ac:dyDescent="0.2"/>
  <cols>
    <col min="1" max="1" width="2.7109375" style="9" customWidth="1"/>
    <col min="2" max="2" width="32.5703125" style="10" customWidth="1"/>
    <col min="3" max="10" width="12.85546875" style="10" customWidth="1"/>
    <col min="11" max="15" width="12.85546875" style="20" customWidth="1"/>
    <col min="16" max="16" width="2.85546875" customWidth="1"/>
    <col min="17" max="17" width="0" hidden="1" customWidth="1"/>
    <col min="18" max="16384" width="9.140625" hidden="1"/>
  </cols>
  <sheetData>
    <row r="1" spans="1:16" ht="15" customHeight="1" thickBot="1" x14ac:dyDescent="0.25">
      <c r="A1" s="25"/>
      <c r="B1" s="26"/>
      <c r="C1" s="26"/>
      <c r="D1" s="26"/>
      <c r="E1" s="26"/>
      <c r="F1" s="26"/>
      <c r="G1" s="26"/>
      <c r="H1" s="26"/>
      <c r="I1" s="26"/>
      <c r="J1" s="26"/>
      <c r="K1" s="27"/>
      <c r="L1" s="27"/>
      <c r="M1" s="27"/>
      <c r="N1" s="27"/>
      <c r="O1" s="27"/>
      <c r="P1" s="28"/>
    </row>
    <row r="2" spans="1:16" ht="24" customHeight="1" x14ac:dyDescent="0.35">
      <c r="A2" s="25"/>
      <c r="B2" s="29"/>
      <c r="C2" s="352" t="s">
        <v>304</v>
      </c>
      <c r="D2" s="353"/>
      <c r="E2" s="353"/>
      <c r="F2" s="353"/>
      <c r="G2" s="353"/>
      <c r="H2" s="353"/>
      <c r="I2" s="353"/>
      <c r="J2" s="353"/>
      <c r="K2" s="354"/>
      <c r="L2" s="352" t="s">
        <v>309</v>
      </c>
      <c r="M2" s="353"/>
      <c r="N2" s="353"/>
      <c r="O2" s="354"/>
      <c r="P2" s="28"/>
    </row>
    <row r="3" spans="1:16" ht="24" customHeight="1" thickBot="1" x14ac:dyDescent="0.4">
      <c r="A3" s="25"/>
      <c r="B3" s="29"/>
      <c r="C3" s="355"/>
      <c r="D3" s="356"/>
      <c r="E3" s="356"/>
      <c r="F3" s="356"/>
      <c r="G3" s="356"/>
      <c r="H3" s="356"/>
      <c r="I3" s="356"/>
      <c r="J3" s="356"/>
      <c r="K3" s="357"/>
      <c r="L3" s="355" t="str">
        <f>Transformation!B4</f>
        <v>As of: September 05, 2015</v>
      </c>
      <c r="M3" s="356"/>
      <c r="N3" s="356"/>
      <c r="O3" s="357"/>
      <c r="P3" s="28"/>
    </row>
    <row r="4" spans="1:16" ht="51.75" customHeight="1" thickBot="1" x14ac:dyDescent="0.35">
      <c r="A4" s="30"/>
      <c r="B4" s="249" t="s">
        <v>465</v>
      </c>
      <c r="C4" s="358" t="s">
        <v>313</v>
      </c>
      <c r="D4" s="359"/>
      <c r="E4" s="359"/>
      <c r="F4" s="359"/>
      <c r="G4" s="359"/>
      <c r="H4" s="359"/>
      <c r="I4" s="359"/>
      <c r="J4" s="359"/>
      <c r="K4" s="359"/>
      <c r="L4" s="359"/>
      <c r="M4" s="359"/>
      <c r="N4" s="359"/>
      <c r="O4" s="360"/>
      <c r="P4" s="28"/>
    </row>
    <row r="5" spans="1:16" ht="27" customHeight="1" thickBot="1" x14ac:dyDescent="0.25">
      <c r="A5" s="30"/>
      <c r="B5" s="26"/>
      <c r="C5" s="361" t="s">
        <v>1054</v>
      </c>
      <c r="D5" s="362"/>
      <c r="E5" s="362"/>
      <c r="F5" s="362"/>
      <c r="G5" s="362"/>
      <c r="H5" s="362"/>
      <c r="I5" s="362"/>
      <c r="J5" s="362"/>
      <c r="K5" s="362"/>
      <c r="L5" s="362"/>
      <c r="M5" s="362"/>
      <c r="N5" s="362"/>
      <c r="O5" s="363"/>
      <c r="P5" s="28"/>
    </row>
    <row r="6" spans="1:16" ht="55.5" customHeight="1" x14ac:dyDescent="0.2">
      <c r="A6" s="30"/>
      <c r="B6" s="31"/>
      <c r="C6" s="32" t="s">
        <v>198</v>
      </c>
      <c r="D6" s="364" t="s">
        <v>16</v>
      </c>
      <c r="E6" s="365"/>
      <c r="F6" s="33" t="s">
        <v>201</v>
      </c>
      <c r="G6" s="364" t="s">
        <v>206</v>
      </c>
      <c r="H6" s="366"/>
      <c r="I6" s="33" t="s">
        <v>204</v>
      </c>
      <c r="J6" s="370" t="s">
        <v>14</v>
      </c>
      <c r="K6" s="371"/>
      <c r="L6" s="33" t="s">
        <v>209</v>
      </c>
      <c r="M6" s="367" t="s">
        <v>88</v>
      </c>
      <c r="N6" s="368"/>
      <c r="O6" s="369"/>
      <c r="P6" s="28"/>
    </row>
    <row r="7" spans="1:16" ht="51.75" customHeight="1" x14ac:dyDescent="0.2">
      <c r="A7" s="30"/>
      <c r="B7" s="34"/>
      <c r="C7" s="35" t="s">
        <v>199</v>
      </c>
      <c r="D7" s="374" t="s">
        <v>0</v>
      </c>
      <c r="E7" s="375"/>
      <c r="F7" s="36" t="s">
        <v>202</v>
      </c>
      <c r="G7" s="376" t="s">
        <v>207</v>
      </c>
      <c r="H7" s="376"/>
      <c r="I7" s="36" t="s">
        <v>205</v>
      </c>
      <c r="J7" s="339" t="s">
        <v>19</v>
      </c>
      <c r="K7" s="340"/>
      <c r="L7" s="36" t="s">
        <v>210</v>
      </c>
      <c r="M7" s="349" t="s">
        <v>90</v>
      </c>
      <c r="N7" s="350"/>
      <c r="O7" s="351"/>
      <c r="P7" s="28"/>
    </row>
    <row r="8" spans="1:16" ht="51.75" customHeight="1" thickBot="1" x14ac:dyDescent="0.25">
      <c r="A8" s="25"/>
      <c r="B8" s="28"/>
      <c r="C8" s="37" t="s">
        <v>200</v>
      </c>
      <c r="D8" s="377" t="s">
        <v>18</v>
      </c>
      <c r="E8" s="378"/>
      <c r="F8" s="38" t="s">
        <v>203</v>
      </c>
      <c r="G8" s="379" t="s">
        <v>17</v>
      </c>
      <c r="H8" s="379"/>
      <c r="I8" s="38" t="s">
        <v>208</v>
      </c>
      <c r="J8" s="341" t="s">
        <v>87</v>
      </c>
      <c r="K8" s="342"/>
      <c r="L8" s="38" t="s">
        <v>211</v>
      </c>
      <c r="M8" s="381" t="s">
        <v>89</v>
      </c>
      <c r="N8" s="382"/>
      <c r="O8" s="383"/>
      <c r="P8" s="28"/>
    </row>
    <row r="9" spans="1:16" x14ac:dyDescent="0.2">
      <c r="A9" s="28"/>
      <c r="B9" s="28"/>
      <c r="C9" s="39" t="s">
        <v>714</v>
      </c>
      <c r="D9" s="39" t="s">
        <v>716</v>
      </c>
      <c r="E9" s="39" t="s">
        <v>715</v>
      </c>
      <c r="F9" s="39" t="s">
        <v>718</v>
      </c>
      <c r="G9" s="39" t="s">
        <v>717</v>
      </c>
      <c r="H9" s="39" t="s">
        <v>720</v>
      </c>
      <c r="I9" s="39" t="s">
        <v>719</v>
      </c>
      <c r="J9" s="39" t="s">
        <v>930</v>
      </c>
      <c r="K9" s="39" t="s">
        <v>931</v>
      </c>
      <c r="L9" s="39" t="s">
        <v>933</v>
      </c>
      <c r="M9" s="39" t="s">
        <v>1055</v>
      </c>
      <c r="N9" s="39" t="s">
        <v>934</v>
      </c>
      <c r="O9" s="39" t="s">
        <v>935</v>
      </c>
      <c r="P9" s="28"/>
    </row>
    <row r="10" spans="1:16" ht="15.75" customHeight="1" x14ac:dyDescent="0.2">
      <c r="A10" s="25"/>
      <c r="B10" s="26"/>
      <c r="C10" s="380" t="s">
        <v>302</v>
      </c>
      <c r="D10" s="380"/>
      <c r="E10" s="380"/>
      <c r="F10" s="380"/>
      <c r="G10" s="380"/>
      <c r="H10" s="380"/>
      <c r="I10" s="380"/>
      <c r="J10" s="380"/>
      <c r="K10" s="380"/>
      <c r="L10" s="380"/>
      <c r="M10" s="380"/>
      <c r="N10" s="380"/>
      <c r="O10" s="380"/>
      <c r="P10" s="28"/>
    </row>
    <row r="11" spans="1:16" ht="32.25" customHeight="1" x14ac:dyDescent="0.2">
      <c r="A11" s="25"/>
      <c r="B11" s="26"/>
      <c r="C11" s="343" t="s">
        <v>234</v>
      </c>
      <c r="D11" s="343" t="s">
        <v>140</v>
      </c>
      <c r="E11" s="343" t="s">
        <v>235</v>
      </c>
      <c r="F11" s="343" t="s">
        <v>195</v>
      </c>
      <c r="G11" s="343" t="s">
        <v>212</v>
      </c>
      <c r="H11" s="343" t="s">
        <v>214</v>
      </c>
      <c r="I11" s="343" t="s">
        <v>215</v>
      </c>
      <c r="J11" s="347" t="s">
        <v>937</v>
      </c>
      <c r="K11" s="347" t="s">
        <v>938</v>
      </c>
      <c r="L11" s="345" t="s">
        <v>197</v>
      </c>
      <c r="M11" s="346"/>
      <c r="N11" s="345" t="s">
        <v>196</v>
      </c>
      <c r="O11" s="346"/>
      <c r="P11" s="28"/>
    </row>
    <row r="12" spans="1:16" ht="32.25" customHeight="1" x14ac:dyDescent="0.2">
      <c r="A12" s="25"/>
      <c r="B12" s="26"/>
      <c r="C12" s="344"/>
      <c r="D12" s="344"/>
      <c r="E12" s="344"/>
      <c r="F12" s="344"/>
      <c r="G12" s="344"/>
      <c r="H12" s="344"/>
      <c r="I12" s="344"/>
      <c r="J12" s="348"/>
      <c r="K12" s="348"/>
      <c r="L12" s="40" t="s">
        <v>936</v>
      </c>
      <c r="M12" s="40" t="s">
        <v>943</v>
      </c>
      <c r="N12" s="40" t="s">
        <v>936</v>
      </c>
      <c r="O12" s="40" t="s">
        <v>943</v>
      </c>
      <c r="P12" s="28"/>
    </row>
    <row r="13" spans="1:16" x14ac:dyDescent="0.2">
      <c r="A13" s="25"/>
      <c r="B13" s="41" t="s">
        <v>739</v>
      </c>
      <c r="C13" s="155">
        <f>IF($B13=" ","",IFERROR(INDEX(MMWR_RATING_RO_ROLLUP[],MATCH($B13,MMWR_RATING_RO_ROLLUP[MMWR_RATING_RO_ROLLUP],0),MATCH(C$9,MMWR_RATING_RO_ROLLUP[#Headers],0)),"ERROR"))</f>
        <v>366703</v>
      </c>
      <c r="D13" s="156">
        <f>IF($B13=" ","",IFERROR(INDEX(MMWR_RATING_RO_ROLLUP[],MATCH($B13,MMWR_RATING_RO_ROLLUP[MMWR_RATING_RO_ROLLUP],0),MATCH(D$9,MMWR_RATING_RO_ROLLUP[#Headers],0)),"ERROR"))</f>
        <v>99.672825147300003</v>
      </c>
      <c r="E13" s="157">
        <f>IF($B13=" ","",IFERROR(INDEX(MMWR_RATING_RO_ROLLUP[],MATCH($B13,MMWR_RATING_RO_ROLLUP[MMWR_RATING_RO_ROLLUP],0),MATCH(E$9,MMWR_RATING_RO_ROLLUP[#Headers],0))/$C13,"ERROR"))</f>
        <v>0.25024065797116468</v>
      </c>
      <c r="F13" s="155">
        <f>IF($B13=" ","",IFERROR(INDEX(MMWR_RATING_RO_ROLLUP[],MATCH($B13,MMWR_RATING_RO_ROLLUP[MMWR_RATING_RO_ROLLUP],0),MATCH(F$9,MMWR_RATING_RO_ROLLUP[#Headers],0)),"ERROR"))</f>
        <v>16052</v>
      </c>
      <c r="G13" s="155">
        <f>IF($B13=" ","",IFERROR(INDEX(MMWR_RATING_RO_ROLLUP[],MATCH($B13,MMWR_RATING_RO_ROLLUP[MMWR_RATING_RO_ROLLUP],0),MATCH(G$9,MMWR_RATING_RO_ROLLUP[#Headers],0)),"ERROR"))</f>
        <v>1296846</v>
      </c>
      <c r="H13" s="156">
        <f>IF($B13=" ","",IFERROR(INDEX(MMWR_RATING_RO_ROLLUP[],MATCH($B13,MMWR_RATING_RO_ROLLUP[MMWR_RATING_RO_ROLLUP],0),MATCH(H$9,MMWR_RATING_RO_ROLLUP[#Headers],0)),"ERROR"))</f>
        <v>143.27952903069999</v>
      </c>
      <c r="I13" s="156">
        <f>IF($B13=" ","",IFERROR(INDEX(MMWR_RATING_RO_ROLLUP[],MATCH($B13,MMWR_RATING_RO_ROLLUP[MMWR_RATING_RO_ROLLUP],0),MATCH(I$9,MMWR_RATING_RO_ROLLUP[#Headers],0)),"ERROR"))</f>
        <v>171.00234646210001</v>
      </c>
      <c r="J13" s="158">
        <f>VLOOKUP($B13,MMWR_ACCURACY_RO[],MATCH(J$9,MMWR_ACCURACY_RO[#Headers],0),0)</f>
        <v>0.95451048793219162</v>
      </c>
      <c r="K13" s="158">
        <f>VLOOKUP($B13,MMWR_ACCURACY_RO[],MATCH(K$9,MMWR_ACCURACY_RO[#Headers],0),0)</f>
        <v>0.88046570682525982</v>
      </c>
      <c r="L13" s="158">
        <f>VLOOKUP($B13,MMWR_ACCURACY_RO[],MATCH(L$9,MMWR_ACCURACY_RO[#Headers],0),0)</f>
        <v>0.90459023216668721</v>
      </c>
      <c r="M13" s="158">
        <f>VLOOKUP($B13,MMWR_ACCURACY_RO[],MATCH(M$9,MMWR_ACCURACY_RO[#Headers],0),0)</f>
        <v>7.1397644292206762E-3</v>
      </c>
      <c r="N13" s="158">
        <f>VLOOKUP($B13,MMWR_ACCURACY_RO[],MATCH(N$9,MMWR_ACCURACY_RO[#Headers],0),0)</f>
        <v>0.91036932806301474</v>
      </c>
      <c r="O13" s="158">
        <f>VLOOKUP($B13,MMWR_ACCURACY_RO[],MATCH(O$9,MMWR_ACCURACY_RO[#Headers],0),0)</f>
        <v>8.71643264680543E-3</v>
      </c>
      <c r="P13" s="28"/>
    </row>
    <row r="14" spans="1:16" x14ac:dyDescent="0.2">
      <c r="A14" s="25"/>
      <c r="B14" s="372" t="s">
        <v>742</v>
      </c>
      <c r="C14" s="373"/>
      <c r="D14" s="373"/>
      <c r="E14" s="373"/>
      <c r="F14" s="373"/>
      <c r="G14" s="373"/>
      <c r="H14" s="373"/>
      <c r="I14" s="373"/>
      <c r="J14" s="373"/>
      <c r="K14" s="373"/>
      <c r="L14" s="373"/>
      <c r="M14" s="373"/>
      <c r="N14" s="373"/>
      <c r="O14" s="373"/>
      <c r="P14" s="28"/>
    </row>
    <row r="15" spans="1:16" x14ac:dyDescent="0.2">
      <c r="A15" s="25"/>
      <c r="B15" s="41" t="s">
        <v>738</v>
      </c>
      <c r="C15" s="155">
        <f>IF($B15=" ","",IFERROR(INDEX(MMWR_RATING_RO_ROLLUP[],MATCH($B15,MMWR_RATING_RO_ROLLUP[MMWR_RATING_RO_ROLLUP],0),MATCH(C$9,MMWR_RATING_RO_ROLLUP[#Headers],0)),"ERROR"))</f>
        <v>327199</v>
      </c>
      <c r="D15" s="156">
        <f>IF($B15=" ","",IFERROR(INDEX(MMWR_RATING_RO_ROLLUP[],MATCH($B15,MMWR_RATING_RO_ROLLUP[MMWR_RATING_RO_ROLLUP],0),MATCH(D$9,MMWR_RATING_RO_ROLLUP[#Headers],0)),"ERROR"))</f>
        <v>104.34102488089999</v>
      </c>
      <c r="E15" s="157">
        <f>IF($B15=" ","",IFERROR(INDEX(MMWR_RATING_RO_ROLLUP[],MATCH($B15,MMWR_RATING_RO_ROLLUP[MMWR_RATING_RO_ROLLUP],0),MATCH(E$9,MMWR_RATING_RO_ROLLUP[#Headers],0))/$C15,"ERROR"))</f>
        <v>0.26715851821063025</v>
      </c>
      <c r="F15" s="155">
        <f>IF($B15=" ","",IFERROR(INDEX(MMWR_RATING_RO_ROLLUP[],MATCH($B15,MMWR_RATING_RO_ROLLUP[MMWR_RATING_RO_ROLLUP],0),MATCH(F$9,MMWR_RATING_RO_ROLLUP[#Headers],0)),"ERROR"))</f>
        <v>13294</v>
      </c>
      <c r="G15" s="155">
        <f>IF($B15=" ","",IFERROR(INDEX(MMWR_RATING_RO_ROLLUP[],MATCH($B15,MMWR_RATING_RO_ROLLUP[MMWR_RATING_RO_ROLLUP],0),MATCH(G$9,MMWR_RATING_RO_ROLLUP[#Headers],0)),"ERROR"))</f>
        <v>1106066</v>
      </c>
      <c r="H15" s="156">
        <f>IF($B15=" ","",IFERROR(INDEX(MMWR_RATING_RO_ROLLUP[],MATCH($B15,MMWR_RATING_RO_ROLLUP[MMWR_RATING_RO_ROLLUP],0),MATCH(H$9,MMWR_RATING_RO_ROLLUP[#Headers],0)),"ERROR"))</f>
        <v>157.22295772530001</v>
      </c>
      <c r="I15" s="156">
        <f>IF($B15=" ","",IFERROR(INDEX(MMWR_RATING_RO_ROLLUP[],MATCH($B15,MMWR_RATING_RO_ROLLUP[MMWR_RATING_RO_ROLLUP],0),MATCH(I$9,MMWR_RATING_RO_ROLLUP[#Headers],0)),"ERROR"))</f>
        <v>186.02883553059999</v>
      </c>
      <c r="J15" s="159"/>
      <c r="K15" s="159"/>
      <c r="L15" s="159"/>
      <c r="M15" s="159"/>
      <c r="N15" s="159"/>
      <c r="O15" s="159"/>
      <c r="P15" s="28"/>
    </row>
    <row r="16" spans="1:16" x14ac:dyDescent="0.2">
      <c r="A16" s="25"/>
      <c r="B16" s="250" t="s">
        <v>379</v>
      </c>
      <c r="C16" s="155">
        <f>IF($B16=" ","",IFERROR(INDEX(MMWR_RATING_RO_ROLLUP[],MATCH($B16,MMWR_RATING_RO_ROLLUP[MMWR_RATING_RO_ROLLUP],0),MATCH(C$9,MMWR_RATING_RO_ROLLUP[#Headers],0)),"ERROR"))</f>
        <v>71357</v>
      </c>
      <c r="D16" s="156">
        <f>IF($B16=" ","",IFERROR(INDEX(MMWR_RATING_RO_ROLLUP[],MATCH($B16,MMWR_RATING_RO_ROLLUP[MMWR_RATING_RO_ROLLUP],0),MATCH(D$9,MMWR_RATING_RO_ROLLUP[#Headers],0)),"ERROR"))</f>
        <v>103.5737068543</v>
      </c>
      <c r="E16" s="157">
        <f>IF($B16=" ","",IFERROR(INDEX(MMWR_RATING_RO_ROLLUP[],MATCH($B16,MMWR_RATING_RO_ROLLUP[MMWR_RATING_RO_ROLLUP],0),MATCH(E$9,MMWR_RATING_RO_ROLLUP[#Headers],0))/$C16,"ERROR"))</f>
        <v>0.26494947937833707</v>
      </c>
      <c r="F16" s="155">
        <f>IF($B16=" ","",IFERROR(INDEX(MMWR_RATING_RO_ROLLUP[],MATCH($B16,MMWR_RATING_RO_ROLLUP[MMWR_RATING_RO_ROLLUP],0),MATCH(F$9,MMWR_RATING_RO_ROLLUP[#Headers],0)),"ERROR"))</f>
        <v>2657</v>
      </c>
      <c r="G16" s="155">
        <f>IF($B16=" ","",IFERROR(INDEX(MMWR_RATING_RO_ROLLUP[],MATCH($B16,MMWR_RATING_RO_ROLLUP[MMWR_RATING_RO_ROLLUP],0),MATCH(G$9,MMWR_RATING_RO_ROLLUP[#Headers],0)),"ERROR"))</f>
        <v>240797</v>
      </c>
      <c r="H16" s="156">
        <f>IF($B16=" ","",IFERROR(INDEX(MMWR_RATING_RO_ROLLUP[],MATCH($B16,MMWR_RATING_RO_ROLLUP[MMWR_RATING_RO_ROLLUP],0),MATCH(H$9,MMWR_RATING_RO_ROLLUP[#Headers],0)),"ERROR"))</f>
        <v>154.7011667294</v>
      </c>
      <c r="I16" s="156">
        <f>IF($B16=" ","",IFERROR(INDEX(MMWR_RATING_RO_ROLLUP[],MATCH($B16,MMWR_RATING_RO_ROLLUP[MMWR_RATING_RO_ROLLUP],0),MATCH(I$9,MMWR_RATING_RO_ROLLUP[#Headers],0)),"ERROR"))</f>
        <v>188.37220563380001</v>
      </c>
      <c r="J16" s="160">
        <f>IF($B16=" ","",IFERROR(VLOOKUP($B16,MMWR_ACCURACY_RO[],MATCH(J$9,MMWR_ACCURACY_RO[#Headers],0),0),"ERROR"))</f>
        <v>0.94597826908231442</v>
      </c>
      <c r="K16" s="160">
        <f>IF($B16=" ","",IFERROR(VLOOKUP($B16,MMWR_ACCURACY_RO[],MATCH(K$9,MMWR_ACCURACY_RO[#Headers],0),0),"ERROR"))</f>
        <v>0.85144189919359403</v>
      </c>
      <c r="L16" s="160">
        <f>IF($B16=" ","",IFERROR(VLOOKUP($B16,MMWR_ACCURACY_RO[],MATCH(L$9,MMWR_ACCURACY_RO[#Headers],0),0),"ERROR"))</f>
        <v>0.87743686597802939</v>
      </c>
      <c r="M16" s="160">
        <f>IF($B16=" ","",IFERROR(VLOOKUP($B16,MMWR_ACCURACY_RO[],MATCH(M$9,MMWR_ACCURACY_RO[#Headers],0),0),"ERROR"))</f>
        <v>1.6154775009585832E-2</v>
      </c>
      <c r="N16" s="160">
        <f>IF($B16=" ","",IFERROR(VLOOKUP($B16,MMWR_ACCURACY_RO[],MATCH(N$9,MMWR_ACCURACY_RO[#Headers],0),0),"ERROR"))</f>
        <v>0.89301294319795976</v>
      </c>
      <c r="O16" s="160">
        <f>IF($B16=" ","",IFERROR(VLOOKUP($B16,MMWR_ACCURACY_RO[],MATCH(O$9,MMWR_ACCURACY_RO[#Headers],0),0),"ERROR"))</f>
        <v>1.635252208046559E-2</v>
      </c>
      <c r="P16" s="28"/>
    </row>
    <row r="17" spans="1:16" x14ac:dyDescent="0.2">
      <c r="A17" s="25"/>
      <c r="B17" s="8" t="str">
        <f>VLOOKUP($B$16,DISTRICT_RO[],2,0)</f>
        <v>Baltimore VSC</v>
      </c>
      <c r="C17" s="155">
        <f>IF($B17=" ","",IFERROR(INDEX(MMWR_RATING_RO_ROLLUP[],MATCH($B17,MMWR_RATING_RO_ROLLUP[MMWR_RATING_RO_ROLLUP],0),MATCH(C$9,MMWR_RATING_RO_ROLLUP[#Headers],0)),"ERROR"))</f>
        <v>3047</v>
      </c>
      <c r="D17" s="156">
        <f>IF($B17=" ","",IFERROR(INDEX(MMWR_RATING_RO_ROLLUP[],MATCH($B17,MMWR_RATING_RO_ROLLUP[MMWR_RATING_RO_ROLLUP],0),MATCH(D$9,MMWR_RATING_RO_ROLLUP[#Headers],0)),"ERROR"))</f>
        <v>77.492615687599994</v>
      </c>
      <c r="E17" s="157">
        <f>IF($B17=" ","",IFERROR(INDEX(MMWR_RATING_RO_ROLLUP[],MATCH($B17,MMWR_RATING_RO_ROLLUP[MMWR_RATING_RO_ROLLUP],0),MATCH(E$9,MMWR_RATING_RO_ROLLUP[#Headers],0))/$C17,"ERROR"))</f>
        <v>0.11814899901542501</v>
      </c>
      <c r="F17" s="155">
        <f>IF($B17=" ","",IFERROR(INDEX(MMWR_RATING_RO_ROLLUP[],MATCH($B17,MMWR_RATING_RO_ROLLUP[MMWR_RATING_RO_ROLLUP],0),MATCH(F$9,MMWR_RATING_RO_ROLLUP[#Headers],0)),"ERROR"))</f>
        <v>77</v>
      </c>
      <c r="G17" s="155">
        <f>IF($B17=" ","",IFERROR(INDEX(MMWR_RATING_RO_ROLLUP[],MATCH($B17,MMWR_RATING_RO_ROLLUP[MMWR_RATING_RO_ROLLUP],0),MATCH(G$9,MMWR_RATING_RO_ROLLUP[#Headers],0)),"ERROR"))</f>
        <v>5952</v>
      </c>
      <c r="H17" s="156">
        <f>IF($B17=" ","",IFERROR(INDEX(MMWR_RATING_RO_ROLLUP[],MATCH($B17,MMWR_RATING_RO_ROLLUP[MMWR_RATING_RO_ROLLUP],0),MATCH(H$9,MMWR_RATING_RO_ROLLUP[#Headers],0)),"ERROR"))</f>
        <v>160.38961038959999</v>
      </c>
      <c r="I17" s="156">
        <f>IF($B17=" ","",IFERROR(INDEX(MMWR_RATING_RO_ROLLUP[],MATCH($B17,MMWR_RATING_RO_ROLLUP[MMWR_RATING_RO_ROLLUP],0),MATCH(I$9,MMWR_RATING_RO_ROLLUP[#Headers],0)),"ERROR"))</f>
        <v>234.45631720430001</v>
      </c>
      <c r="J17" s="160">
        <f>IF($B17=" ","",IFERROR(VLOOKUP($B17,MMWR_ACCURACY_RO[],MATCH(J$9,MMWR_ACCURACY_RO[#Headers],0),0),"ERROR"))</f>
        <v>0.93458483652634283</v>
      </c>
      <c r="K17" s="160">
        <f>IF($B17=" ","",IFERROR(VLOOKUP($B17,MMWR_ACCURACY_RO[],MATCH(K$9,MMWR_ACCURACY_RO[#Headers],0),0),"ERROR"))</f>
        <v>0.86612899229415996</v>
      </c>
      <c r="L17" s="160">
        <f>IF($B17=" ","",IFERROR(VLOOKUP($B17,MMWR_ACCURACY_RO[],MATCH(L$9,MMWR_ACCURACY_RO[#Headers],0),0),"ERROR"))</f>
        <v>0.84835657905458473</v>
      </c>
      <c r="M17" s="160">
        <f>IF($B17=" ","",IFERROR(VLOOKUP($B17,MMWR_ACCURACY_RO[],MATCH(M$9,MMWR_ACCURACY_RO[#Headers],0),0),"ERROR"))</f>
        <v>4.6490202491033944E-2</v>
      </c>
      <c r="N17" s="160">
        <f>IF($B17=" ","",IFERROR(VLOOKUP($B17,MMWR_ACCURACY_RO[],MATCH(N$9,MMWR_ACCURACY_RO[#Headers],0),0),"ERROR"))</f>
        <v>0.84672428389324095</v>
      </c>
      <c r="O17" s="160">
        <f>IF($B17=" ","",IFERROR(VLOOKUP($B17,MMWR_ACCURACY_RO[],MATCH(O$9,MMWR_ACCURACY_RO[#Headers],0),0),"ERROR"))</f>
        <v>4.8553838218814892E-2</v>
      </c>
      <c r="P17" s="28"/>
    </row>
    <row r="18" spans="1:16" x14ac:dyDescent="0.2">
      <c r="A18" s="25"/>
      <c r="B18" s="8" t="str">
        <f>VLOOKUP($B$16,DISTRICT_RO[],3,0)</f>
        <v>Boston VSC</v>
      </c>
      <c r="C18" s="155">
        <f>IF($B18=" ","",IFERROR(INDEX(MMWR_RATING_RO_ROLLUP[],MATCH($B18,MMWR_RATING_RO_ROLLUP[MMWR_RATING_RO_ROLLUP],0),MATCH(C$9,MMWR_RATING_RO_ROLLUP[#Headers],0)),"ERROR"))</f>
        <v>3131</v>
      </c>
      <c r="D18" s="156">
        <f>IF($B18=" ","",IFERROR(INDEX(MMWR_RATING_RO_ROLLUP[],MATCH($B18,MMWR_RATING_RO_ROLLUP[MMWR_RATING_RO_ROLLUP],0),MATCH(D$9,MMWR_RATING_RO_ROLLUP[#Headers],0)),"ERROR"))</f>
        <v>95.099648674500003</v>
      </c>
      <c r="E18" s="157">
        <f>IF($B18=" ","",IFERROR(INDEX(MMWR_RATING_RO_ROLLUP[],MATCH($B18,MMWR_RATING_RO_ROLLUP[MMWR_RATING_RO_ROLLUP],0),MATCH(E$9,MMWR_RATING_RO_ROLLUP[#Headers],0))/$C18,"ERROR"))</f>
        <v>0.28489300542957524</v>
      </c>
      <c r="F18" s="155">
        <f>IF($B18=" ","",IFERROR(INDEX(MMWR_RATING_RO_ROLLUP[],MATCH($B18,MMWR_RATING_RO_ROLLUP[MMWR_RATING_RO_ROLLUP],0),MATCH(F$9,MMWR_RATING_RO_ROLLUP[#Headers],0)),"ERROR"))</f>
        <v>91</v>
      </c>
      <c r="G18" s="155">
        <f>IF($B18=" ","",IFERROR(INDEX(MMWR_RATING_RO_ROLLUP[],MATCH($B18,MMWR_RATING_RO_ROLLUP[MMWR_RATING_RO_ROLLUP],0),MATCH(G$9,MMWR_RATING_RO_ROLLUP[#Headers],0)),"ERROR"))</f>
        <v>9776</v>
      </c>
      <c r="H18" s="156">
        <f>IF($B18=" ","",IFERROR(INDEX(MMWR_RATING_RO_ROLLUP[],MATCH($B18,MMWR_RATING_RO_ROLLUP[MMWR_RATING_RO_ROLLUP],0),MATCH(H$9,MMWR_RATING_RO_ROLLUP[#Headers],0)),"ERROR"))</f>
        <v>156.86813186809999</v>
      </c>
      <c r="I18" s="156">
        <f>IF($B18=" ","",IFERROR(INDEX(MMWR_RATING_RO_ROLLUP[],MATCH($B18,MMWR_RATING_RO_ROLLUP[MMWR_RATING_RO_ROLLUP],0),MATCH(I$9,MMWR_RATING_RO_ROLLUP[#Headers],0)),"ERROR"))</f>
        <v>197.54173486089999</v>
      </c>
      <c r="J18" s="160">
        <f>IF($B18=" ","",IFERROR(VLOOKUP($B18,MMWR_ACCURACY_RO[],MATCH(J$9,MMWR_ACCURACY_RO[#Headers],0),0),"ERROR"))</f>
        <v>0.83258888854239843</v>
      </c>
      <c r="K18" s="160">
        <f>IF($B18=" ","",IFERROR(VLOOKUP($B18,MMWR_ACCURACY_RO[],MATCH(K$9,MMWR_ACCURACY_RO[#Headers],0),0),"ERROR"))</f>
        <v>0.72847704129111168</v>
      </c>
      <c r="L18" s="160">
        <f>IF($B18=" ","",IFERROR(VLOOKUP($B18,MMWR_ACCURACY_RO[],MATCH(L$9,MMWR_ACCURACY_RO[#Headers],0),0),"ERROR"))</f>
        <v>0.83333772256728789</v>
      </c>
      <c r="M18" s="160">
        <f>IF($B18=" ","",IFERROR(VLOOKUP($B18,MMWR_ACCURACY_RO[],MATCH(M$9,MMWR_ACCURACY_RO[#Headers],0),0),"ERROR"))</f>
        <v>5.6563560059354999E-2</v>
      </c>
      <c r="N18" s="160">
        <f>IF($B18=" ","",IFERROR(VLOOKUP($B18,MMWR_ACCURACY_RO[],MATCH(N$9,MMWR_ACCURACY_RO[#Headers],0),0),"ERROR"))</f>
        <v>0.89697203766859634</v>
      </c>
      <c r="O18" s="160">
        <f>IF($B18=" ","",IFERROR(VLOOKUP($B18,MMWR_ACCURACY_RO[],MATCH(O$9,MMWR_ACCURACY_RO[#Headers],0),0),"ERROR"))</f>
        <v>5.6536773506483159E-2</v>
      </c>
      <c r="P18" s="28"/>
    </row>
    <row r="19" spans="1:16" x14ac:dyDescent="0.2">
      <c r="A19" s="25"/>
      <c r="B19" s="8" t="str">
        <f>VLOOKUP($B$16,DISTRICT_RO[],4,0)</f>
        <v>Buffalo VSC</v>
      </c>
      <c r="C19" s="155">
        <f>IF($B19=" ","",IFERROR(INDEX(MMWR_RATING_RO_ROLLUP[],MATCH($B19,MMWR_RATING_RO_ROLLUP[MMWR_RATING_RO_ROLLUP],0),MATCH(C$9,MMWR_RATING_RO_ROLLUP[#Headers],0)),"ERROR"))</f>
        <v>3901</v>
      </c>
      <c r="D19" s="156">
        <f>IF($B19=" ","",IFERROR(INDEX(MMWR_RATING_RO_ROLLUP[],MATCH($B19,MMWR_RATING_RO_ROLLUP[MMWR_RATING_RO_ROLLUP],0),MATCH(D$9,MMWR_RATING_RO_ROLLUP[#Headers],0)),"ERROR"))</f>
        <v>90.953857985100001</v>
      </c>
      <c r="E19" s="157">
        <f>IF($B19=" ","",IFERROR(INDEX(MMWR_RATING_RO_ROLLUP[],MATCH($B19,MMWR_RATING_RO_ROLLUP[MMWR_RATING_RO_ROLLUP],0),MATCH(E$9,MMWR_RATING_RO_ROLLUP[#Headers],0))/$C19,"ERROR"))</f>
        <v>0.20687003332478851</v>
      </c>
      <c r="F19" s="155">
        <f>IF($B19=" ","",IFERROR(INDEX(MMWR_RATING_RO_ROLLUP[],MATCH($B19,MMWR_RATING_RO_ROLLUP[MMWR_RATING_RO_ROLLUP],0),MATCH(F$9,MMWR_RATING_RO_ROLLUP[#Headers],0)),"ERROR"))</f>
        <v>116</v>
      </c>
      <c r="G19" s="155">
        <f>IF($B19=" ","",IFERROR(INDEX(MMWR_RATING_RO_ROLLUP[],MATCH($B19,MMWR_RATING_RO_ROLLUP[MMWR_RATING_RO_ROLLUP],0),MATCH(G$9,MMWR_RATING_RO_ROLLUP[#Headers],0)),"ERROR"))</f>
        <v>10753</v>
      </c>
      <c r="H19" s="156">
        <f>IF($B19=" ","",IFERROR(INDEX(MMWR_RATING_RO_ROLLUP[],MATCH($B19,MMWR_RATING_RO_ROLLUP[MMWR_RATING_RO_ROLLUP],0),MATCH(H$9,MMWR_RATING_RO_ROLLUP[#Headers],0)),"ERROR"))</f>
        <v>158.0172413793</v>
      </c>
      <c r="I19" s="156">
        <f>IF($B19=" ","",IFERROR(INDEX(MMWR_RATING_RO_ROLLUP[],MATCH($B19,MMWR_RATING_RO_ROLLUP[MMWR_RATING_RO_ROLLUP],0),MATCH(I$9,MMWR_RATING_RO_ROLLUP[#Headers],0)),"ERROR"))</f>
        <v>206.3047521622</v>
      </c>
      <c r="J19" s="160">
        <f>IF($B19=" ","",IFERROR(VLOOKUP($B19,MMWR_ACCURACY_RO[],MATCH(J$9,MMWR_ACCURACY_RO[#Headers],0),0),"ERROR"))</f>
        <v>0.88777503867063057</v>
      </c>
      <c r="K19" s="160">
        <f>IF($B19=" ","",IFERROR(VLOOKUP($B19,MMWR_ACCURACY_RO[],MATCH(K$9,MMWR_ACCURACY_RO[#Headers],0),0),"ERROR"))</f>
        <v>0.77864214992927872</v>
      </c>
      <c r="L19" s="160">
        <f>IF($B19=" ","",IFERROR(VLOOKUP($B19,MMWR_ACCURACY_RO[],MATCH(L$9,MMWR_ACCURACY_RO[#Headers],0),0),"ERROR"))</f>
        <v>0.8838616785045289</v>
      </c>
      <c r="M19" s="160">
        <f>IF($B19=" ","",IFERROR(VLOOKUP($B19,MMWR_ACCURACY_RO[],MATCH(M$9,MMWR_ACCURACY_RO[#Headers],0),0),"ERROR"))</f>
        <v>4.7077772133462897E-2</v>
      </c>
      <c r="N19" s="160">
        <f>IF($B19=" ","",IFERROR(VLOOKUP($B19,MMWR_ACCURACY_RO[],MATCH(N$9,MMWR_ACCURACY_RO[#Headers],0),0),"ERROR"))</f>
        <v>0.86852391383655392</v>
      </c>
      <c r="O19" s="160">
        <f>IF($B19=" ","",IFERROR(VLOOKUP($B19,MMWR_ACCURACY_RO[],MATCH(O$9,MMWR_ACCURACY_RO[#Headers],0),0),"ERROR"))</f>
        <v>4.7183905315532827E-2</v>
      </c>
      <c r="P19" s="28"/>
    </row>
    <row r="20" spans="1:16" x14ac:dyDescent="0.2">
      <c r="A20" s="25"/>
      <c r="B20" s="8" t="str">
        <f>VLOOKUP($B$16,DISTRICT_RO[],5,0)</f>
        <v>Hartford VSC</v>
      </c>
      <c r="C20" s="155">
        <f>IF($B20=" ","",IFERROR(INDEX(MMWR_RATING_RO_ROLLUP[],MATCH($B20,MMWR_RATING_RO_ROLLUP[MMWR_RATING_RO_ROLLUP],0),MATCH(C$9,MMWR_RATING_RO_ROLLUP[#Headers],0)),"ERROR"))</f>
        <v>2233</v>
      </c>
      <c r="D20" s="156">
        <f>IF($B20=" ","",IFERROR(INDEX(MMWR_RATING_RO_ROLLUP[],MATCH($B20,MMWR_RATING_RO_ROLLUP[MMWR_RATING_RO_ROLLUP],0),MATCH(D$9,MMWR_RATING_RO_ROLLUP[#Headers],0)),"ERROR"))</f>
        <v>116.3139274519</v>
      </c>
      <c r="E20" s="157">
        <f>IF($B20=" ","",IFERROR(INDEX(MMWR_RATING_RO_ROLLUP[],MATCH($B20,MMWR_RATING_RO_ROLLUP[MMWR_RATING_RO_ROLLUP],0),MATCH(E$9,MMWR_RATING_RO_ROLLUP[#Headers],0))/$C20,"ERROR"))</f>
        <v>0.33497536945812806</v>
      </c>
      <c r="F20" s="155">
        <f>IF($B20=" ","",IFERROR(INDEX(MMWR_RATING_RO_ROLLUP[],MATCH($B20,MMWR_RATING_RO_ROLLUP[MMWR_RATING_RO_ROLLUP],0),MATCH(F$9,MMWR_RATING_RO_ROLLUP[#Headers],0)),"ERROR"))</f>
        <v>96</v>
      </c>
      <c r="G20" s="155">
        <f>IF($B20=" ","",IFERROR(INDEX(MMWR_RATING_RO_ROLLUP[],MATCH($B20,MMWR_RATING_RO_ROLLUP[MMWR_RATING_RO_ROLLUP],0),MATCH(G$9,MMWR_RATING_RO_ROLLUP[#Headers],0)),"ERROR"))</f>
        <v>9246</v>
      </c>
      <c r="H20" s="156">
        <f>IF($B20=" ","",IFERROR(INDEX(MMWR_RATING_RO_ROLLUP[],MATCH($B20,MMWR_RATING_RO_ROLLUP[MMWR_RATING_RO_ROLLUP],0),MATCH(H$9,MMWR_RATING_RO_ROLLUP[#Headers],0)),"ERROR"))</f>
        <v>168.15625</v>
      </c>
      <c r="I20" s="156">
        <f>IF($B20=" ","",IFERROR(INDEX(MMWR_RATING_RO_ROLLUP[],MATCH($B20,MMWR_RATING_RO_ROLLUP[MMWR_RATING_RO_ROLLUP],0),MATCH(I$9,MMWR_RATING_RO_ROLLUP[#Headers],0)),"ERROR"))</f>
        <v>174.626541207</v>
      </c>
      <c r="J20" s="160">
        <f>IF($B20=" ","",IFERROR(VLOOKUP($B20,MMWR_ACCURACY_RO[],MATCH(J$9,MMWR_ACCURACY_RO[#Headers],0),0),"ERROR"))</f>
        <v>0.93634586818856991</v>
      </c>
      <c r="K20" s="160">
        <f>IF($B20=" ","",IFERROR(VLOOKUP($B20,MMWR_ACCURACY_RO[],MATCH(K$9,MMWR_ACCURACY_RO[#Headers],0),0),"ERROR"))</f>
        <v>0.83326688815060923</v>
      </c>
      <c r="L20" s="160">
        <f>IF($B20=" ","",IFERROR(VLOOKUP($B20,MMWR_ACCURACY_RO[],MATCH(L$9,MMWR_ACCURACY_RO[#Headers],0),0),"ERROR"))</f>
        <v>0.92617741466470604</v>
      </c>
      <c r="M20" s="160">
        <f>IF($B20=" ","",IFERROR(VLOOKUP($B20,MMWR_ACCURACY_RO[],MATCH(M$9,MMWR_ACCURACY_RO[#Headers],0),0),"ERROR"))</f>
        <v>3.9299517285578532E-2</v>
      </c>
      <c r="N20" s="160">
        <f>IF($B20=" ","",IFERROR(VLOOKUP($B20,MMWR_ACCURACY_RO[],MATCH(N$9,MMWR_ACCURACY_RO[#Headers],0),0),"ERROR"))</f>
        <v>0.98116096259719621</v>
      </c>
      <c r="O20" s="160">
        <f>IF($B20=" ","",IFERROR(VLOOKUP($B20,MMWR_ACCURACY_RO[],MATCH(O$9,MMWR_ACCURACY_RO[#Headers],0),0),"ERROR"))</f>
        <v>2.181423874731479E-2</v>
      </c>
      <c r="P20" s="28"/>
    </row>
    <row r="21" spans="1:16" x14ac:dyDescent="0.2">
      <c r="A21" s="25"/>
      <c r="B21" s="8" t="str">
        <f>VLOOKUP($B$16,DISTRICT_RO[],6,0)</f>
        <v>Huntington VSC</v>
      </c>
      <c r="C21" s="155">
        <f>IF($B21=" ","",IFERROR(INDEX(MMWR_RATING_RO_ROLLUP[],MATCH($B21,MMWR_RATING_RO_ROLLUP[MMWR_RATING_RO_ROLLUP],0),MATCH(C$9,MMWR_RATING_RO_ROLLUP[#Headers],0)),"ERROR"))</f>
        <v>4176</v>
      </c>
      <c r="D21" s="156">
        <f>IF($B21=" ","",IFERROR(INDEX(MMWR_RATING_RO_ROLLUP[],MATCH($B21,MMWR_RATING_RO_ROLLUP[MMWR_RATING_RO_ROLLUP],0),MATCH(D$9,MMWR_RATING_RO_ROLLUP[#Headers],0)),"ERROR"))</f>
        <v>117.5917145594</v>
      </c>
      <c r="E21" s="157">
        <f>IF($B21=" ","",IFERROR(INDEX(MMWR_RATING_RO_ROLLUP[],MATCH($B21,MMWR_RATING_RO_ROLLUP[MMWR_RATING_RO_ROLLUP],0),MATCH(E$9,MMWR_RATING_RO_ROLLUP[#Headers],0))/$C21,"ERROR"))</f>
        <v>0.32471264367816094</v>
      </c>
      <c r="F21" s="155">
        <f>IF($B21=" ","",IFERROR(INDEX(MMWR_RATING_RO_ROLLUP[],MATCH($B21,MMWR_RATING_RO_ROLLUP[MMWR_RATING_RO_ROLLUP],0),MATCH(F$9,MMWR_RATING_RO_ROLLUP[#Headers],0)),"ERROR"))</f>
        <v>217</v>
      </c>
      <c r="G21" s="155">
        <f>IF($B21=" ","",IFERROR(INDEX(MMWR_RATING_RO_ROLLUP[],MATCH($B21,MMWR_RATING_RO_ROLLUP[MMWR_RATING_RO_ROLLUP],0),MATCH(G$9,MMWR_RATING_RO_ROLLUP[#Headers],0)),"ERROR"))</f>
        <v>17420</v>
      </c>
      <c r="H21" s="156">
        <f>IF($B21=" ","",IFERROR(INDEX(MMWR_RATING_RO_ROLLUP[],MATCH($B21,MMWR_RATING_RO_ROLLUP[MMWR_RATING_RO_ROLLUP],0),MATCH(H$9,MMWR_RATING_RO_ROLLUP[#Headers],0)),"ERROR"))</f>
        <v>171.69585253459999</v>
      </c>
      <c r="I21" s="156">
        <f>IF($B21=" ","",IFERROR(INDEX(MMWR_RATING_RO_ROLLUP[],MATCH($B21,MMWR_RATING_RO_ROLLUP[MMWR_RATING_RO_ROLLUP],0),MATCH(I$9,MMWR_RATING_RO_ROLLUP[#Headers],0)),"ERROR"))</f>
        <v>177.65619977040001</v>
      </c>
      <c r="J21" s="160">
        <f>IF($B21=" ","",IFERROR(VLOOKUP($B21,MMWR_ACCURACY_RO[],MATCH(J$9,MMWR_ACCURACY_RO[#Headers],0),0),"ERROR"))</f>
        <v>0.89772613887071928</v>
      </c>
      <c r="K21" s="160">
        <f>IF($B21=" ","",IFERROR(VLOOKUP($B21,MMWR_ACCURACY_RO[],MATCH(K$9,MMWR_ACCURACY_RO[#Headers],0),0),"ERROR"))</f>
        <v>0.83736235688762495</v>
      </c>
      <c r="L21" s="160">
        <f>IF($B21=" ","",IFERROR(VLOOKUP($B21,MMWR_ACCURACY_RO[],MATCH(L$9,MMWR_ACCURACY_RO[#Headers],0),0),"ERROR"))</f>
        <v>0.90065387479148451</v>
      </c>
      <c r="M21" s="160">
        <f>IF($B21=" ","",IFERROR(VLOOKUP($B21,MMWR_ACCURACY_RO[],MATCH(M$9,MMWR_ACCURACY_RO[#Headers],0),0),"ERROR"))</f>
        <v>4.2578938260772997E-2</v>
      </c>
      <c r="N21" s="160">
        <f>IF($B21=" ","",IFERROR(VLOOKUP($B21,MMWR_ACCURACY_RO[],MATCH(N$9,MMWR_ACCURACY_RO[#Headers],0),0),"ERROR"))</f>
        <v>0.9306136032499075</v>
      </c>
      <c r="O21" s="160">
        <f>IF($B21=" ","",IFERROR(VLOOKUP($B21,MMWR_ACCURACY_RO[],MATCH(O$9,MMWR_ACCURACY_RO[#Headers],0),0),"ERROR"))</f>
        <v>4.1368126299368486E-2</v>
      </c>
      <c r="P21" s="28"/>
    </row>
    <row r="22" spans="1:16" x14ac:dyDescent="0.2">
      <c r="A22" s="25"/>
      <c r="B22" s="8" t="str">
        <f>VLOOKUP($B$16,DISTRICT_RO[],7,0)</f>
        <v>Manchester VSC</v>
      </c>
      <c r="C22" s="155">
        <f>IF($B22=" ","",IFERROR(INDEX(MMWR_RATING_RO_ROLLUP[],MATCH($B22,MMWR_RATING_RO_ROLLUP[MMWR_RATING_RO_ROLLUP],0),MATCH(C$9,MMWR_RATING_RO_ROLLUP[#Headers],0)),"ERROR"))</f>
        <v>1356</v>
      </c>
      <c r="D22" s="156">
        <f>IF($B22=" ","",IFERROR(INDEX(MMWR_RATING_RO_ROLLUP[],MATCH($B22,MMWR_RATING_RO_ROLLUP[MMWR_RATING_RO_ROLLUP],0),MATCH(D$9,MMWR_RATING_RO_ROLLUP[#Headers],0)),"ERROR"))</f>
        <v>100.4808259587</v>
      </c>
      <c r="E22" s="157">
        <f>IF($B22=" ","",IFERROR(INDEX(MMWR_RATING_RO_ROLLUP[],MATCH($B22,MMWR_RATING_RO_ROLLUP[MMWR_RATING_RO_ROLLUP],0),MATCH(E$9,MMWR_RATING_RO_ROLLUP[#Headers],0))/$C22,"ERROR"))</f>
        <v>0.24115044247787609</v>
      </c>
      <c r="F22" s="155">
        <f>IF($B22=" ","",IFERROR(INDEX(MMWR_RATING_RO_ROLLUP[],MATCH($B22,MMWR_RATING_RO_ROLLUP[MMWR_RATING_RO_ROLLUP],0),MATCH(F$9,MMWR_RATING_RO_ROLLUP[#Headers],0)),"ERROR"))</f>
        <v>45</v>
      </c>
      <c r="G22" s="155">
        <f>IF($B22=" ","",IFERROR(INDEX(MMWR_RATING_RO_ROLLUP[],MATCH($B22,MMWR_RATING_RO_ROLLUP[MMWR_RATING_RO_ROLLUP],0),MATCH(G$9,MMWR_RATING_RO_ROLLUP[#Headers],0)),"ERROR"))</f>
        <v>4534</v>
      </c>
      <c r="H22" s="156">
        <f>IF($B22=" ","",IFERROR(INDEX(MMWR_RATING_RO_ROLLUP[],MATCH($B22,MMWR_RATING_RO_ROLLUP[MMWR_RATING_RO_ROLLUP],0),MATCH(H$9,MMWR_RATING_RO_ROLLUP[#Headers],0)),"ERROR"))</f>
        <v>162</v>
      </c>
      <c r="I22" s="156">
        <f>IF($B22=" ","",IFERROR(INDEX(MMWR_RATING_RO_ROLLUP[],MATCH($B22,MMWR_RATING_RO_ROLLUP[MMWR_RATING_RO_ROLLUP],0),MATCH(I$9,MMWR_RATING_RO_ROLLUP[#Headers],0)),"ERROR"))</f>
        <v>191.06837229819999</v>
      </c>
      <c r="J22" s="160">
        <f>IF($B22=" ","",IFERROR(VLOOKUP($B22,MMWR_ACCURACY_RO[],MATCH(J$9,MMWR_ACCURACY_RO[#Headers],0),0),"ERROR"))</f>
        <v>0.97038707409636038</v>
      </c>
      <c r="K22" s="160">
        <f>IF($B22=" ","",IFERROR(VLOOKUP($B22,MMWR_ACCURACY_RO[],MATCH(K$9,MMWR_ACCURACY_RO[#Headers],0),0),"ERROR"))</f>
        <v>0.95511337868480728</v>
      </c>
      <c r="L22" s="160">
        <f>IF($B22=" ","",IFERROR(VLOOKUP($B22,MMWR_ACCURACY_RO[],MATCH(L$9,MMWR_ACCURACY_RO[#Headers],0),0),"ERROR"))</f>
        <v>0.9113165818631912</v>
      </c>
      <c r="M22" s="160">
        <f>IF($B22=" ","",IFERROR(VLOOKUP($B22,MMWR_ACCURACY_RO[],MATCH(M$9,MMWR_ACCURACY_RO[#Headers],0),0),"ERROR"))</f>
        <v>4.0565564837001418E-2</v>
      </c>
      <c r="N22" s="160">
        <f>IF($B22=" ","",IFERROR(VLOOKUP($B22,MMWR_ACCURACY_RO[],MATCH(N$9,MMWR_ACCURACY_RO[#Headers],0),0),"ERROR"))</f>
        <v>0.92428788734355638</v>
      </c>
      <c r="O22" s="160">
        <f>IF($B22=" ","",IFERROR(VLOOKUP($B22,MMWR_ACCURACY_RO[],MATCH(O$9,MMWR_ACCURACY_RO[#Headers],0),0),"ERROR"))</f>
        <v>3.5225778992118109E-2</v>
      </c>
      <c r="P22" s="28"/>
    </row>
    <row r="23" spans="1:16" x14ac:dyDescent="0.2">
      <c r="A23" s="25"/>
      <c r="B23" s="8" t="str">
        <f>VLOOKUP($B$16,DISTRICT_RO[],8,0)</f>
        <v>New York VSC</v>
      </c>
      <c r="C23" s="155">
        <f>IF($B23=" ","",IFERROR(INDEX(MMWR_RATING_RO_ROLLUP[],MATCH($B23,MMWR_RATING_RO_ROLLUP[MMWR_RATING_RO_ROLLUP],0),MATCH(C$9,MMWR_RATING_RO_ROLLUP[#Headers],0)),"ERROR"))</f>
        <v>4446</v>
      </c>
      <c r="D23" s="156">
        <f>IF($B23=" ","",IFERROR(INDEX(MMWR_RATING_RO_ROLLUP[],MATCH($B23,MMWR_RATING_RO_ROLLUP[MMWR_RATING_RO_ROLLUP],0),MATCH(D$9,MMWR_RATING_RO_ROLLUP[#Headers],0)),"ERROR"))</f>
        <v>89.879217273999998</v>
      </c>
      <c r="E23" s="157">
        <f>IF($B23=" ","",IFERROR(INDEX(MMWR_RATING_RO_ROLLUP[],MATCH($B23,MMWR_RATING_RO_ROLLUP[MMWR_RATING_RO_ROLLUP],0),MATCH(E$9,MMWR_RATING_RO_ROLLUP[#Headers],0))/$C23,"ERROR"))</f>
        <v>0.20490328385065226</v>
      </c>
      <c r="F23" s="155">
        <f>IF($B23=" ","",IFERROR(INDEX(MMWR_RATING_RO_ROLLUP[],MATCH($B23,MMWR_RATING_RO_ROLLUP[MMWR_RATING_RO_ROLLUP],0),MATCH(F$9,MMWR_RATING_RO_ROLLUP[#Headers],0)),"ERROR"))</f>
        <v>154</v>
      </c>
      <c r="G23" s="155">
        <f>IF($B23=" ","",IFERROR(INDEX(MMWR_RATING_RO_ROLLUP[],MATCH($B23,MMWR_RATING_RO_ROLLUP[MMWR_RATING_RO_ROLLUP],0),MATCH(G$9,MMWR_RATING_RO_ROLLUP[#Headers],0)),"ERROR"))</f>
        <v>13317</v>
      </c>
      <c r="H23" s="156">
        <f>IF($B23=" ","",IFERROR(INDEX(MMWR_RATING_RO_ROLLUP[],MATCH($B23,MMWR_RATING_RO_ROLLUP[MMWR_RATING_RO_ROLLUP],0),MATCH(H$9,MMWR_RATING_RO_ROLLUP[#Headers],0)),"ERROR"))</f>
        <v>161.98701298700001</v>
      </c>
      <c r="I23" s="156">
        <f>IF($B23=" ","",IFERROR(INDEX(MMWR_RATING_RO_ROLLUP[],MATCH($B23,MMWR_RATING_RO_ROLLUP[MMWR_RATING_RO_ROLLUP],0),MATCH(I$9,MMWR_RATING_RO_ROLLUP[#Headers],0)),"ERROR"))</f>
        <v>190.4615904483</v>
      </c>
      <c r="J23" s="160">
        <f>IF($B23=" ","",IFERROR(VLOOKUP($B23,MMWR_ACCURACY_RO[],MATCH(J$9,MMWR_ACCURACY_RO[#Headers],0),0),"ERROR"))</f>
        <v>0.93423904904388533</v>
      </c>
      <c r="K23" s="160">
        <f>IF($B23=" ","",IFERROR(VLOOKUP($B23,MMWR_ACCURACY_RO[],MATCH(K$9,MMWR_ACCURACY_RO[#Headers],0),0),"ERROR"))</f>
        <v>0.9006803425887554</v>
      </c>
      <c r="L23" s="160">
        <f>IF($B23=" ","",IFERROR(VLOOKUP($B23,MMWR_ACCURACY_RO[],MATCH(L$9,MMWR_ACCURACY_RO[#Headers],0),0),"ERROR"))</f>
        <v>0.91794230241321662</v>
      </c>
      <c r="M23" s="160">
        <f>IF($B23=" ","",IFERROR(VLOOKUP($B23,MMWR_ACCURACY_RO[],MATCH(M$9,MMWR_ACCURACY_RO[#Headers],0),0),"ERROR"))</f>
        <v>4.2144137791640689E-2</v>
      </c>
      <c r="N23" s="160">
        <f>IF($B23=" ","",IFERROR(VLOOKUP($B23,MMWR_ACCURACY_RO[],MATCH(N$9,MMWR_ACCURACY_RO[#Headers],0),0),"ERROR"))</f>
        <v>0.91954811804712078</v>
      </c>
      <c r="O23" s="160">
        <f>IF($B23=" ","",IFERROR(VLOOKUP($B23,MMWR_ACCURACY_RO[],MATCH(O$9,MMWR_ACCURACY_RO[#Headers],0),0),"ERROR"))</f>
        <v>4.1016390859065978E-2</v>
      </c>
      <c r="P23" s="28"/>
    </row>
    <row r="24" spans="1:16" x14ac:dyDescent="0.2">
      <c r="A24" s="25"/>
      <c r="B24" s="8" t="str">
        <f>VLOOKUP($B$16,DISTRICT_RO[],9,0)</f>
        <v>Newark VSC</v>
      </c>
      <c r="C24" s="155">
        <f>IF($B24=" ","",IFERROR(INDEX(MMWR_RATING_RO_ROLLUP[],MATCH($B24,MMWR_RATING_RO_ROLLUP[MMWR_RATING_RO_ROLLUP],0),MATCH(C$9,MMWR_RATING_RO_ROLLUP[#Headers],0)),"ERROR"))</f>
        <v>2608</v>
      </c>
      <c r="D24" s="156">
        <f>IF($B24=" ","",IFERROR(INDEX(MMWR_RATING_RO_ROLLUP[],MATCH($B24,MMWR_RATING_RO_ROLLUP[MMWR_RATING_RO_ROLLUP],0),MATCH(D$9,MMWR_RATING_RO_ROLLUP[#Headers],0)),"ERROR"))</f>
        <v>87.516871165599994</v>
      </c>
      <c r="E24" s="157">
        <f>IF($B24=" ","",IFERROR(INDEX(MMWR_RATING_RO_ROLLUP[],MATCH($B24,MMWR_RATING_RO_ROLLUP[MMWR_RATING_RO_ROLLUP],0),MATCH(E$9,MMWR_RATING_RO_ROLLUP[#Headers],0))/$C24,"ERROR"))</f>
        <v>0.2089723926380368</v>
      </c>
      <c r="F24" s="155">
        <f>IF($B24=" ","",IFERROR(INDEX(MMWR_RATING_RO_ROLLUP[],MATCH($B24,MMWR_RATING_RO_ROLLUP[MMWR_RATING_RO_ROLLUP],0),MATCH(F$9,MMWR_RATING_RO_ROLLUP[#Headers],0)),"ERROR"))</f>
        <v>70</v>
      </c>
      <c r="G24" s="155">
        <f>IF($B24=" ","",IFERROR(INDEX(MMWR_RATING_RO_ROLLUP[],MATCH($B24,MMWR_RATING_RO_ROLLUP[MMWR_RATING_RO_ROLLUP],0),MATCH(G$9,MMWR_RATING_RO_ROLLUP[#Headers],0)),"ERROR"))</f>
        <v>7075</v>
      </c>
      <c r="H24" s="156">
        <f>IF($B24=" ","",IFERROR(INDEX(MMWR_RATING_RO_ROLLUP[],MATCH($B24,MMWR_RATING_RO_ROLLUP[MMWR_RATING_RO_ROLLUP],0),MATCH(H$9,MMWR_RATING_RO_ROLLUP[#Headers],0)),"ERROR"))</f>
        <v>193.17142857140001</v>
      </c>
      <c r="I24" s="156">
        <f>IF($B24=" ","",IFERROR(INDEX(MMWR_RATING_RO_ROLLUP[],MATCH($B24,MMWR_RATING_RO_ROLLUP[MMWR_RATING_RO_ROLLUP],0),MATCH(I$9,MMWR_RATING_RO_ROLLUP[#Headers],0)),"ERROR"))</f>
        <v>167.9669257951</v>
      </c>
      <c r="J24" s="160">
        <f>IF($B24=" ","",IFERROR(VLOOKUP($B24,MMWR_ACCURACY_RO[],MATCH(J$9,MMWR_ACCURACY_RO[#Headers],0),0),"ERROR"))</f>
        <v>0.97154805988111059</v>
      </c>
      <c r="K24" s="160">
        <f>IF($B24=" ","",IFERROR(VLOOKUP($B24,MMWR_ACCURACY_RO[],MATCH(K$9,MMWR_ACCURACY_RO[#Headers],0),0),"ERROR"))</f>
        <v>0.94127507988894132</v>
      </c>
      <c r="L24" s="160">
        <f>IF($B24=" ","",IFERROR(VLOOKUP($B24,MMWR_ACCURACY_RO[],MATCH(L$9,MMWR_ACCURACY_RO[#Headers],0),0),"ERROR"))</f>
        <v>0.88824193018242081</v>
      </c>
      <c r="M24" s="160">
        <f>IF($B24=" ","",IFERROR(VLOOKUP($B24,MMWR_ACCURACY_RO[],MATCH(M$9,MMWR_ACCURACY_RO[#Headers],0),0),"ERROR"))</f>
        <v>4.1997036812878787E-2</v>
      </c>
      <c r="N24" s="160">
        <f>IF($B24=" ","",IFERROR(VLOOKUP($B24,MMWR_ACCURACY_RO[],MATCH(N$9,MMWR_ACCURACY_RO[#Headers],0),0),"ERROR"))</f>
        <v>0.86306732432248312</v>
      </c>
      <c r="O24" s="160">
        <f>IF($B24=" ","",IFERROR(VLOOKUP($B24,MMWR_ACCURACY_RO[],MATCH(O$9,MMWR_ACCURACY_RO[#Headers],0),0),"ERROR"))</f>
        <v>4.3553770663386046E-2</v>
      </c>
      <c r="P24" s="28"/>
    </row>
    <row r="25" spans="1:16" x14ac:dyDescent="0.2">
      <c r="A25" s="25"/>
      <c r="B25" s="8" t="str">
        <f>VLOOKUP($B$16,DISTRICT_RO[],10,0)</f>
        <v>Philadelphia VSC</v>
      </c>
      <c r="C25" s="155">
        <f>IF($B25=" ","",IFERROR(INDEX(MMWR_RATING_RO_ROLLUP[],MATCH($B25,MMWR_RATING_RO_ROLLUP[MMWR_RATING_RO_ROLLUP],0),MATCH(C$9,MMWR_RATING_RO_ROLLUP[#Headers],0)),"ERROR"))</f>
        <v>8057</v>
      </c>
      <c r="D25" s="156">
        <f>IF($B25=" ","",IFERROR(INDEX(MMWR_RATING_RO_ROLLUP[],MATCH($B25,MMWR_RATING_RO_ROLLUP[MMWR_RATING_RO_ROLLUP],0),MATCH(D$9,MMWR_RATING_RO_ROLLUP[#Headers],0)),"ERROR"))</f>
        <v>131.6203301477</v>
      </c>
      <c r="E25" s="157">
        <f>IF($B25=" ","",IFERROR(INDEX(MMWR_RATING_RO_ROLLUP[],MATCH($B25,MMWR_RATING_RO_ROLLUP[MMWR_RATING_RO_ROLLUP],0),MATCH(E$9,MMWR_RATING_RO_ROLLUP[#Headers],0))/$C25,"ERROR"))</f>
        <v>0.37607049770385997</v>
      </c>
      <c r="F25" s="155">
        <f>IF($B25=" ","",IFERROR(INDEX(MMWR_RATING_RO_ROLLUP[],MATCH($B25,MMWR_RATING_RO_ROLLUP[MMWR_RATING_RO_ROLLUP],0),MATCH(F$9,MMWR_RATING_RO_ROLLUP[#Headers],0)),"ERROR"))</f>
        <v>321</v>
      </c>
      <c r="G25" s="155">
        <f>IF($B25=" ","",IFERROR(INDEX(MMWR_RATING_RO_ROLLUP[],MATCH($B25,MMWR_RATING_RO_ROLLUP[MMWR_RATING_RO_ROLLUP],0),MATCH(G$9,MMWR_RATING_RO_ROLLUP[#Headers],0)),"ERROR"))</f>
        <v>27976</v>
      </c>
      <c r="H25" s="156">
        <f>IF($B25=" ","",IFERROR(INDEX(MMWR_RATING_RO_ROLLUP[],MATCH($B25,MMWR_RATING_RO_ROLLUP[MMWR_RATING_RO_ROLLUP],0),MATCH(H$9,MMWR_RATING_RO_ROLLUP[#Headers],0)),"ERROR"))</f>
        <v>169.52336448599999</v>
      </c>
      <c r="I25" s="156">
        <f>IF($B25=" ","",IFERROR(INDEX(MMWR_RATING_RO_ROLLUP[],MATCH($B25,MMWR_RATING_RO_ROLLUP[MMWR_RATING_RO_ROLLUP],0),MATCH(I$9,MMWR_RATING_RO_ROLLUP[#Headers],0)),"ERROR"))</f>
        <v>224.30433228480001</v>
      </c>
      <c r="J25" s="160">
        <f>IF($B25=" ","",IFERROR(VLOOKUP($B25,MMWR_ACCURACY_RO[],MATCH(J$9,MMWR_ACCURACY_RO[#Headers],0),0),"ERROR"))</f>
        <v>0.95339916421216919</v>
      </c>
      <c r="K25" s="160">
        <f>IF($B25=" ","",IFERROR(VLOOKUP($B25,MMWR_ACCURACY_RO[],MATCH(K$9,MMWR_ACCURACY_RO[#Headers],0),0),"ERROR"))</f>
        <v>0.91084966635223419</v>
      </c>
      <c r="L25" s="160">
        <f>IF($B25=" ","",IFERROR(VLOOKUP($B25,MMWR_ACCURACY_RO[],MATCH(L$9,MMWR_ACCURACY_RO[#Headers],0),0),"ERROR"))</f>
        <v>0.87681282287685147</v>
      </c>
      <c r="M25" s="160">
        <f>IF($B25=" ","",IFERROR(VLOOKUP($B25,MMWR_ACCURACY_RO[],MATCH(M$9,MMWR_ACCURACY_RO[#Headers],0),0),"ERROR"))</f>
        <v>4.7229135821489902E-2</v>
      </c>
      <c r="N25" s="160">
        <f>IF($B25=" ","",IFERROR(VLOOKUP($B25,MMWR_ACCURACY_RO[],MATCH(N$9,MMWR_ACCURACY_RO[#Headers],0),0),"ERROR"))</f>
        <v>0.9132764718463211</v>
      </c>
      <c r="O25" s="160">
        <f>IF($B25=" ","",IFERROR(VLOOKUP($B25,MMWR_ACCURACY_RO[],MATCH(O$9,MMWR_ACCURACY_RO[#Headers],0),0),"ERROR"))</f>
        <v>4.5010074060673588E-2</v>
      </c>
      <c r="P25" s="28"/>
    </row>
    <row r="26" spans="1:16" x14ac:dyDescent="0.2">
      <c r="A26" s="25"/>
      <c r="B26" s="8" t="str">
        <f>VLOOKUP($B$16,DISTRICT_RO[],11,0)</f>
        <v>Pittsburgh VSC</v>
      </c>
      <c r="C26" s="155">
        <f>IF($B26=" ","",IFERROR(INDEX(MMWR_RATING_RO_ROLLUP[],MATCH($B26,MMWR_RATING_RO_ROLLUP[MMWR_RATING_RO_ROLLUP],0),MATCH(C$9,MMWR_RATING_RO_ROLLUP[#Headers],0)),"ERROR"))</f>
        <v>4835</v>
      </c>
      <c r="D26" s="156">
        <f>IF($B26=" ","",IFERROR(INDEX(MMWR_RATING_RO_ROLLUP[],MATCH($B26,MMWR_RATING_RO_ROLLUP[MMWR_RATING_RO_ROLLUP],0),MATCH(D$9,MMWR_RATING_RO_ROLLUP[#Headers],0)),"ERROR"))</f>
        <v>130.09431230609999</v>
      </c>
      <c r="E26" s="157">
        <f>IF($B26=" ","",IFERROR(INDEX(MMWR_RATING_RO_ROLLUP[],MATCH($B26,MMWR_RATING_RO_ROLLUP[MMWR_RATING_RO_ROLLUP],0),MATCH(E$9,MMWR_RATING_RO_ROLLUP[#Headers],0))/$C26,"ERROR"))</f>
        <v>0.34601861427094105</v>
      </c>
      <c r="F26" s="155">
        <f>IF($B26=" ","",IFERROR(INDEX(MMWR_RATING_RO_ROLLUP[],MATCH($B26,MMWR_RATING_RO_ROLLUP[MMWR_RATING_RO_ROLLUP],0),MATCH(F$9,MMWR_RATING_RO_ROLLUP[#Headers],0)),"ERROR"))</f>
        <v>128</v>
      </c>
      <c r="G26" s="155">
        <f>IF($B26=" ","",IFERROR(INDEX(MMWR_RATING_RO_ROLLUP[],MATCH($B26,MMWR_RATING_RO_ROLLUP[MMWR_RATING_RO_ROLLUP],0),MATCH(G$9,MMWR_RATING_RO_ROLLUP[#Headers],0)),"ERROR"))</f>
        <v>11016</v>
      </c>
      <c r="H26" s="156">
        <f>IF($B26=" ","",IFERROR(INDEX(MMWR_RATING_RO_ROLLUP[],MATCH($B26,MMWR_RATING_RO_ROLLUP[MMWR_RATING_RO_ROLLUP],0),MATCH(H$9,MMWR_RATING_RO_ROLLUP[#Headers],0)),"ERROR"))</f>
        <v>237.8984375</v>
      </c>
      <c r="I26" s="156">
        <f>IF($B26=" ","",IFERROR(INDEX(MMWR_RATING_RO_ROLLUP[],MATCH($B26,MMWR_RATING_RO_ROLLUP[MMWR_RATING_RO_ROLLUP],0),MATCH(I$9,MMWR_RATING_RO_ROLLUP[#Headers],0)),"ERROR"))</f>
        <v>205.35884168480001</v>
      </c>
      <c r="J26" s="160">
        <f>IF($B26=" ","",IFERROR(VLOOKUP($B26,MMWR_ACCURACY_RO[],MATCH(J$9,MMWR_ACCURACY_RO[#Headers],0),0),"ERROR"))</f>
        <v>0.95914265536095789</v>
      </c>
      <c r="K26" s="160">
        <f>IF($B26=" ","",IFERROR(VLOOKUP($B26,MMWR_ACCURACY_RO[],MATCH(K$9,MMWR_ACCURACY_RO[#Headers],0),0),"ERROR"))</f>
        <v>0.90262857142857145</v>
      </c>
      <c r="L26" s="160">
        <f>IF($B26=" ","",IFERROR(VLOOKUP($B26,MMWR_ACCURACY_RO[],MATCH(L$9,MMWR_ACCURACY_RO[#Headers],0),0),"ERROR"))</f>
        <v>0.90275422375535852</v>
      </c>
      <c r="M26" s="160">
        <f>IF($B26=" ","",IFERROR(VLOOKUP($B26,MMWR_ACCURACY_RO[],MATCH(M$9,MMWR_ACCURACY_RO[#Headers],0),0),"ERROR"))</f>
        <v>4.4725363827753599E-2</v>
      </c>
      <c r="N26" s="160">
        <f>IF($B26=" ","",IFERROR(VLOOKUP($B26,MMWR_ACCURACY_RO[],MATCH(N$9,MMWR_ACCURACY_RO[#Headers],0),0),"ERROR"))</f>
        <v>0.93275407278698108</v>
      </c>
      <c r="O26" s="160">
        <f>IF($B26=" ","",IFERROR(VLOOKUP($B26,MMWR_ACCURACY_RO[],MATCH(O$9,MMWR_ACCURACY_RO[#Headers],0),0),"ERROR"))</f>
        <v>4.0793681728530796E-2</v>
      </c>
      <c r="P26" s="28"/>
    </row>
    <row r="27" spans="1:16" x14ac:dyDescent="0.2">
      <c r="A27" s="25"/>
      <c r="B27" s="8" t="str">
        <f>VLOOKUP($B$16,DISTRICT_RO[],12,0)</f>
        <v>Providence VSC</v>
      </c>
      <c r="C27" s="155">
        <f>IF($B27=" ","",IFERROR(INDEX(MMWR_RATING_RO_ROLLUP[],MATCH($B27,MMWR_RATING_RO_ROLLUP[MMWR_RATING_RO_ROLLUP],0),MATCH(C$9,MMWR_RATING_RO_ROLLUP[#Headers],0)),"ERROR"))</f>
        <v>3223</v>
      </c>
      <c r="D27" s="156">
        <f>IF($B27=" ","",IFERROR(INDEX(MMWR_RATING_RO_ROLLUP[],MATCH($B27,MMWR_RATING_RO_ROLLUP[MMWR_RATING_RO_ROLLUP],0),MATCH(D$9,MMWR_RATING_RO_ROLLUP[#Headers],0)),"ERROR"))</f>
        <v>127.24418243869999</v>
      </c>
      <c r="E27" s="157">
        <f>IF($B27=" ","",IFERROR(INDEX(MMWR_RATING_RO_ROLLUP[],MATCH($B27,MMWR_RATING_RO_ROLLUP[MMWR_RATING_RO_ROLLUP],0),MATCH(E$9,MMWR_RATING_RO_ROLLUP[#Headers],0))/$C27,"ERROR"))</f>
        <v>0.37914986037852932</v>
      </c>
      <c r="F27" s="155">
        <f>IF($B27=" ","",IFERROR(INDEX(MMWR_RATING_RO_ROLLUP[],MATCH($B27,MMWR_RATING_RO_ROLLUP[MMWR_RATING_RO_ROLLUP],0),MATCH(F$9,MMWR_RATING_RO_ROLLUP[#Headers],0)),"ERROR"))</f>
        <v>345</v>
      </c>
      <c r="G27" s="155">
        <f>IF($B27=" ","",IFERROR(INDEX(MMWR_RATING_RO_ROLLUP[],MATCH($B27,MMWR_RATING_RO_ROLLUP[MMWR_RATING_RO_ROLLUP],0),MATCH(G$9,MMWR_RATING_RO_ROLLUP[#Headers],0)),"ERROR"))</f>
        <v>27927</v>
      </c>
      <c r="H27" s="156">
        <f>IF($B27=" ","",IFERROR(INDEX(MMWR_RATING_RO_ROLLUP[],MATCH($B27,MMWR_RATING_RO_ROLLUP[MMWR_RATING_RO_ROLLUP],0),MATCH(H$9,MMWR_RATING_RO_ROLLUP[#Headers],0)),"ERROR"))</f>
        <v>94.431884057999994</v>
      </c>
      <c r="I27" s="156">
        <f>IF($B27=" ","",IFERROR(INDEX(MMWR_RATING_RO_ROLLUP[],MATCH($B27,MMWR_RATING_RO_ROLLUP[MMWR_RATING_RO_ROLLUP],0),MATCH(I$9,MMWR_RATING_RO_ROLLUP[#Headers],0)),"ERROR"))</f>
        <v>86.295377233500005</v>
      </c>
      <c r="J27" s="160">
        <f>IF($B27=" ","",IFERROR(VLOOKUP($B27,MMWR_ACCURACY_RO[],MATCH(J$9,MMWR_ACCURACY_RO[#Headers],0),0),"ERROR"))</f>
        <v>0.96170220080560609</v>
      </c>
      <c r="K27" s="160">
        <f>IF($B27=" ","",IFERROR(VLOOKUP($B27,MMWR_ACCURACY_RO[],MATCH(K$9,MMWR_ACCURACY_RO[#Headers],0),0),"ERROR"))</f>
        <v>0.83831604636973767</v>
      </c>
      <c r="L27" s="160">
        <f>IF($B27=" ","",IFERROR(VLOOKUP($B27,MMWR_ACCURACY_RO[],MATCH(L$9,MMWR_ACCURACY_RO[#Headers],0),0),"ERROR"))</f>
        <v>0.87284225371367308</v>
      </c>
      <c r="M27" s="160">
        <f>IF($B27=" ","",IFERROR(VLOOKUP($B27,MMWR_ACCURACY_RO[],MATCH(M$9,MMWR_ACCURACY_RO[#Headers],0),0),"ERROR"))</f>
        <v>5.5146907500185804E-2</v>
      </c>
      <c r="N27" s="160">
        <f>IF($B27=" ","",IFERROR(VLOOKUP($B27,MMWR_ACCURACY_RO[],MATCH(N$9,MMWR_ACCURACY_RO[#Headers],0),0),"ERROR"))</f>
        <v>0.95333317161131736</v>
      </c>
      <c r="O27" s="160">
        <f>IF($B27=" ","",IFERROR(VLOOKUP($B27,MMWR_ACCURACY_RO[],MATCH(O$9,MMWR_ACCURACY_RO[#Headers],0),0),"ERROR"))</f>
        <v>3.776793994045647E-2</v>
      </c>
      <c r="P27" s="28"/>
    </row>
    <row r="28" spans="1:16" x14ac:dyDescent="0.2">
      <c r="A28" s="25"/>
      <c r="B28" s="8" t="str">
        <f>VLOOKUP($B$16,DISTRICT_RO[],13,0)</f>
        <v>Roanoke VSC</v>
      </c>
      <c r="C28" s="155">
        <f>IF($B28=" ","",IFERROR(INDEX(MMWR_RATING_RO_ROLLUP[],MATCH($B28,MMWR_RATING_RO_ROLLUP[MMWR_RATING_RO_ROLLUP],0),MATCH(C$9,MMWR_RATING_RO_ROLLUP[#Headers],0)),"ERROR"))</f>
        <v>10611</v>
      </c>
      <c r="D28" s="156">
        <f>IF($B28=" ","",IFERROR(INDEX(MMWR_RATING_RO_ROLLUP[],MATCH($B28,MMWR_RATING_RO_ROLLUP[MMWR_RATING_RO_ROLLUP],0),MATCH(D$9,MMWR_RATING_RO_ROLLUP[#Headers],0)),"ERROR"))</f>
        <v>88.805484874200005</v>
      </c>
      <c r="E28" s="157">
        <f>IF($B28=" ","",IFERROR(INDEX(MMWR_RATING_RO_ROLLUP[],MATCH($B28,MMWR_RATING_RO_ROLLUP[MMWR_RATING_RO_ROLLUP],0),MATCH(E$9,MMWR_RATING_RO_ROLLUP[#Headers],0))/$C28,"ERROR"))</f>
        <v>0.20978230138535481</v>
      </c>
      <c r="F28" s="155">
        <f>IF($B28=" ","",IFERROR(INDEX(MMWR_RATING_RO_ROLLUP[],MATCH($B28,MMWR_RATING_RO_ROLLUP[MMWR_RATING_RO_ROLLUP],0),MATCH(F$9,MMWR_RATING_RO_ROLLUP[#Headers],0)),"ERROR"))</f>
        <v>388</v>
      </c>
      <c r="G28" s="155">
        <f>IF($B28=" ","",IFERROR(INDEX(MMWR_RATING_RO_ROLLUP[],MATCH($B28,MMWR_RATING_RO_ROLLUP[MMWR_RATING_RO_ROLLUP],0),MATCH(G$9,MMWR_RATING_RO_ROLLUP[#Headers],0)),"ERROR"))</f>
        <v>35231</v>
      </c>
      <c r="H28" s="156">
        <f>IF($B28=" ","",IFERROR(INDEX(MMWR_RATING_RO_ROLLUP[],MATCH($B28,MMWR_RATING_RO_ROLLUP[MMWR_RATING_RO_ROLLUP],0),MATCH(H$9,MMWR_RATING_RO_ROLLUP[#Headers],0)),"ERROR"))</f>
        <v>138.68556701029999</v>
      </c>
      <c r="I28" s="156">
        <f>IF($B28=" ","",IFERROR(INDEX(MMWR_RATING_RO_ROLLUP[],MATCH($B28,MMWR_RATING_RO_ROLLUP[MMWR_RATING_RO_ROLLUP],0),MATCH(I$9,MMWR_RATING_RO_ROLLUP[#Headers],0)),"ERROR"))</f>
        <v>195.73651045950001</v>
      </c>
      <c r="J28" s="160">
        <f>IF($B28=" ","",IFERROR(VLOOKUP($B28,MMWR_ACCURACY_RO[],MATCH(J$9,MMWR_ACCURACY_RO[#Headers],0),0),"ERROR"))</f>
        <v>0.97028414686982167</v>
      </c>
      <c r="K28" s="160">
        <f>IF($B28=" ","",IFERROR(VLOOKUP($B28,MMWR_ACCURACY_RO[],MATCH(K$9,MMWR_ACCURACY_RO[#Headers],0),0),"ERROR"))</f>
        <v>0.89088285688520163</v>
      </c>
      <c r="L28" s="160">
        <f>IF($B28=" ","",IFERROR(VLOOKUP($B28,MMWR_ACCURACY_RO[],MATCH(L$9,MMWR_ACCURACY_RO[#Headers],0),0),"ERROR"))</f>
        <v>0.9108343084831767</v>
      </c>
      <c r="M28" s="160">
        <f>IF($B28=" ","",IFERROR(VLOOKUP($B28,MMWR_ACCURACY_RO[],MATCH(M$9,MMWR_ACCURACY_RO[#Headers],0),0),"ERROR"))</f>
        <v>4.6327199228885195E-2</v>
      </c>
      <c r="N28" s="160">
        <f>IF($B28=" ","",IFERROR(VLOOKUP($B28,MMWR_ACCURACY_RO[],MATCH(N$9,MMWR_ACCURACY_RO[#Headers],0),0),"ERROR"))</f>
        <v>0.93104003136573199</v>
      </c>
      <c r="O28" s="160">
        <f>IF($B28=" ","",IFERROR(VLOOKUP($B28,MMWR_ACCURACY_RO[],MATCH(O$9,MMWR_ACCURACY_RO[#Headers],0),0),"ERROR"))</f>
        <v>4.1393317421084104E-2</v>
      </c>
      <c r="P28" s="28"/>
    </row>
    <row r="29" spans="1:16" x14ac:dyDescent="0.2">
      <c r="A29" s="25"/>
      <c r="B29" s="8" t="str">
        <f>VLOOKUP($B$16,DISTRICT_RO[],14,0)</f>
        <v>Togus VSC</v>
      </c>
      <c r="C29" s="155">
        <f>IF($B29=" ","",IFERROR(INDEX(MMWR_RATING_RO_ROLLUP[],MATCH($B29,MMWR_RATING_RO_ROLLUP[MMWR_RATING_RO_ROLLUP],0),MATCH(C$9,MMWR_RATING_RO_ROLLUP[#Headers],0)),"ERROR"))</f>
        <v>4149</v>
      </c>
      <c r="D29" s="156">
        <f>IF($B29=" ","",IFERROR(INDEX(MMWR_RATING_RO_ROLLUP[],MATCH($B29,MMWR_RATING_RO_ROLLUP[MMWR_RATING_RO_ROLLUP],0),MATCH(D$9,MMWR_RATING_RO_ROLLUP[#Headers],0)),"ERROR"))</f>
        <v>117.5977343938</v>
      </c>
      <c r="E29" s="157">
        <f>IF($B29=" ","",IFERROR(INDEX(MMWR_RATING_RO_ROLLUP[],MATCH($B29,MMWR_RATING_RO_ROLLUP[MMWR_RATING_RO_ROLLUP],0),MATCH(E$9,MMWR_RATING_RO_ROLLUP[#Headers],0))/$C29,"ERROR"))</f>
        <v>0.29959026271390699</v>
      </c>
      <c r="F29" s="155">
        <f>IF($B29=" ","",IFERROR(INDEX(MMWR_RATING_RO_ROLLUP[],MATCH($B29,MMWR_RATING_RO_ROLLUP[MMWR_RATING_RO_ROLLUP],0),MATCH(F$9,MMWR_RATING_RO_ROLLUP[#Headers],0)),"ERROR"))</f>
        <v>139</v>
      </c>
      <c r="G29" s="155">
        <f>IF($B29=" ","",IFERROR(INDEX(MMWR_RATING_RO_ROLLUP[],MATCH($B29,MMWR_RATING_RO_ROLLUP[MMWR_RATING_RO_ROLLUP],0),MATCH(G$9,MMWR_RATING_RO_ROLLUP[#Headers],0)),"ERROR"))</f>
        <v>18533</v>
      </c>
      <c r="H29" s="156">
        <f>IF($B29=" ","",IFERROR(INDEX(MMWR_RATING_RO_ROLLUP[],MATCH($B29,MMWR_RATING_RO_ROLLUP[MMWR_RATING_RO_ROLLUP],0),MATCH(H$9,MMWR_RATING_RO_ROLLUP[#Headers],0)),"ERROR"))</f>
        <v>172.81294964029999</v>
      </c>
      <c r="I29" s="156">
        <f>IF($B29=" ","",IFERROR(INDEX(MMWR_RATING_RO_ROLLUP[],MATCH($B29,MMWR_RATING_RO_ROLLUP[MMWR_RATING_RO_ROLLUP],0),MATCH(I$9,MMWR_RATING_RO_ROLLUP[#Headers],0)),"ERROR"))</f>
        <v>209.80791021420001</v>
      </c>
      <c r="J29" s="160">
        <f>IF($B29=" ","",IFERROR(VLOOKUP($B29,MMWR_ACCURACY_RO[],MATCH(J$9,MMWR_ACCURACY_RO[#Headers],0),0),"ERROR"))</f>
        <v>0.97216825069015667</v>
      </c>
      <c r="K29" s="160">
        <f>IF($B29=" ","",IFERROR(VLOOKUP($B29,MMWR_ACCURACY_RO[],MATCH(K$9,MMWR_ACCURACY_RO[#Headers],0),0),"ERROR"))</f>
        <v>0.87072751809593907</v>
      </c>
      <c r="L29" s="160">
        <f>IF($B29=" ","",IFERROR(VLOOKUP($B29,MMWR_ACCURACY_RO[],MATCH(L$9,MMWR_ACCURACY_RO[#Headers],0),0),"ERROR"))</f>
        <v>0.88527238196198121</v>
      </c>
      <c r="M29" s="160">
        <f>IF($B29=" ","",IFERROR(VLOOKUP($B29,MMWR_ACCURACY_RO[],MATCH(M$9,MMWR_ACCURACY_RO[#Headers],0),0),"ERROR"))</f>
        <v>5.3904934598517758E-2</v>
      </c>
      <c r="N29" s="160">
        <f>IF($B29=" ","",IFERROR(VLOOKUP($B29,MMWR_ACCURACY_RO[],MATCH(N$9,MMWR_ACCURACY_RO[#Headers],0),0),"ERROR"))</f>
        <v>0.95207134517653547</v>
      </c>
      <c r="O29" s="160">
        <f>IF($B29=" ","",IFERROR(VLOOKUP($B29,MMWR_ACCURACY_RO[],MATCH(O$9,MMWR_ACCURACY_RO[#Headers],0),0),"ERROR"))</f>
        <v>3.7256718307833621E-2</v>
      </c>
      <c r="P29" s="28"/>
    </row>
    <row r="30" spans="1:16" x14ac:dyDescent="0.2">
      <c r="A30" s="25"/>
      <c r="B30" s="8" t="str">
        <f>VLOOKUP($B$16,DISTRICT_RO[],15,0)</f>
        <v>White River Junction VSC</v>
      </c>
      <c r="C30" s="155">
        <f>IF($B30=" ","",IFERROR(INDEX(MMWR_RATING_RO_ROLLUP[],MATCH($B30,MMWR_RATING_RO_ROLLUP[MMWR_RATING_RO_ROLLUP],0),MATCH(C$9,MMWR_RATING_RO_ROLLUP[#Headers],0)),"ERROR"))</f>
        <v>641</v>
      </c>
      <c r="D30" s="156">
        <f>IF($B30=" ","",IFERROR(INDEX(MMWR_RATING_RO_ROLLUP[],MATCH($B30,MMWR_RATING_RO_ROLLUP[MMWR_RATING_RO_ROLLUP],0),MATCH(D$9,MMWR_RATING_RO_ROLLUP[#Headers],0)),"ERROR"))</f>
        <v>117.83463338529999</v>
      </c>
      <c r="E30" s="157">
        <f>IF($B30=" ","",IFERROR(INDEX(MMWR_RATING_RO_ROLLUP[],MATCH($B30,MMWR_RATING_RO_ROLLUP[MMWR_RATING_RO_ROLLUP],0),MATCH(E$9,MMWR_RATING_RO_ROLLUP[#Headers],0))/$C30,"ERROR"))</f>
        <v>0.37597503900156004</v>
      </c>
      <c r="F30" s="155">
        <f>IF($B30=" ","",IFERROR(INDEX(MMWR_RATING_RO_ROLLUP[],MATCH($B30,MMWR_RATING_RO_ROLLUP[MMWR_RATING_RO_ROLLUP],0),MATCH(F$9,MMWR_RATING_RO_ROLLUP[#Headers],0)),"ERROR"))</f>
        <v>18</v>
      </c>
      <c r="G30" s="155">
        <f>IF($B30=" ","",IFERROR(INDEX(MMWR_RATING_RO_ROLLUP[],MATCH($B30,MMWR_RATING_RO_ROLLUP[MMWR_RATING_RO_ROLLUP],0),MATCH(G$9,MMWR_RATING_RO_ROLLUP[#Headers],0)),"ERROR"))</f>
        <v>2222</v>
      </c>
      <c r="H30" s="156">
        <f>IF($B30=" ","",IFERROR(INDEX(MMWR_RATING_RO_ROLLUP[],MATCH($B30,MMWR_RATING_RO_ROLLUP[MMWR_RATING_RO_ROLLUP],0),MATCH(H$9,MMWR_RATING_RO_ROLLUP[#Headers],0)),"ERROR"))</f>
        <v>180.5</v>
      </c>
      <c r="I30" s="156">
        <f>IF($B30=" ","",IFERROR(INDEX(MMWR_RATING_RO_ROLLUP[],MATCH($B30,MMWR_RATING_RO_ROLLUP[MMWR_RATING_RO_ROLLUP],0),MATCH(I$9,MMWR_RATING_RO_ROLLUP[#Headers],0)),"ERROR"))</f>
        <v>187.31908190819999</v>
      </c>
      <c r="J30" s="160">
        <f>IF($B30=" ","",IFERROR(VLOOKUP($B30,MMWR_ACCURACY_RO[],MATCH(J$9,MMWR_ACCURACY_RO[#Headers],0),0),"ERROR"))</f>
        <v>0.93122995629450489</v>
      </c>
      <c r="K30" s="160">
        <f>IF($B30=" ","",IFERROR(VLOOKUP($B30,MMWR_ACCURACY_RO[],MATCH(K$9,MMWR_ACCURACY_RO[#Headers],0),0),"ERROR"))</f>
        <v>0.86016865079365079</v>
      </c>
      <c r="L30" s="160">
        <f>IF($B30=" ","",IFERROR(VLOOKUP($B30,MMWR_ACCURACY_RO[],MATCH(L$9,MMWR_ACCURACY_RO[#Headers],0),0),"ERROR"))</f>
        <v>0.83642540469528082</v>
      </c>
      <c r="M30" s="160">
        <f>IF($B30=" ","",IFERROR(VLOOKUP($B30,MMWR_ACCURACY_RO[],MATCH(M$9,MMWR_ACCURACY_RO[#Headers],0),0),"ERROR"))</f>
        <v>5.1250249650439839E-2</v>
      </c>
      <c r="N30" s="160">
        <f>IF($B30=" ","",IFERROR(VLOOKUP($B30,MMWR_ACCURACY_RO[],MATCH(N$9,MMWR_ACCURACY_RO[#Headers],0),0),"ERROR"))</f>
        <v>0.89578717977998545</v>
      </c>
      <c r="O30" s="160">
        <f>IF($B30=" ","",IFERROR(VLOOKUP($B30,MMWR_ACCURACY_RO[],MATCH(O$9,MMWR_ACCURACY_RO[#Headers],0),0),"ERROR"))</f>
        <v>3.1792449818775097E-2</v>
      </c>
      <c r="P30" s="28"/>
    </row>
    <row r="31" spans="1:16" x14ac:dyDescent="0.2">
      <c r="A31" s="25"/>
      <c r="B31" s="8" t="str">
        <f>VLOOKUP($B$16,DISTRICT_RO[],16,0)</f>
        <v>Wilmington VSC</v>
      </c>
      <c r="C31" s="155">
        <f>IF($B31=" ","",IFERROR(INDEX(MMWR_RATING_RO_ROLLUP[],MATCH($B31,MMWR_RATING_RO_ROLLUP[MMWR_RATING_RO_ROLLUP],0),MATCH(C$9,MMWR_RATING_RO_ROLLUP[#Headers],0)),"ERROR"))</f>
        <v>606</v>
      </c>
      <c r="D31" s="156">
        <f>IF($B31=" ","",IFERROR(INDEX(MMWR_RATING_RO_ROLLUP[],MATCH($B31,MMWR_RATING_RO_ROLLUP[MMWR_RATING_RO_ROLLUP],0),MATCH(D$9,MMWR_RATING_RO_ROLLUP[#Headers],0)),"ERROR"))</f>
        <v>92.280528052799994</v>
      </c>
      <c r="E31" s="157">
        <f>IF($B31=" ","",IFERROR(INDEX(MMWR_RATING_RO_ROLLUP[],MATCH($B31,MMWR_RATING_RO_ROLLUP[MMWR_RATING_RO_ROLLUP],0),MATCH(E$9,MMWR_RATING_RO_ROLLUP[#Headers],0))/$C31,"ERROR"))</f>
        <v>0.19966996699669967</v>
      </c>
      <c r="F31" s="155">
        <f>IF($B31=" ","",IFERROR(INDEX(MMWR_RATING_RO_ROLLUP[],MATCH($B31,MMWR_RATING_RO_ROLLUP[MMWR_RATING_RO_ROLLUP],0),MATCH(F$9,MMWR_RATING_RO_ROLLUP[#Headers],0)),"ERROR"))</f>
        <v>17</v>
      </c>
      <c r="G31" s="155">
        <f>IF($B31=" ","",IFERROR(INDEX(MMWR_RATING_RO_ROLLUP[],MATCH($B31,MMWR_RATING_RO_ROLLUP[MMWR_RATING_RO_ROLLUP],0),MATCH(G$9,MMWR_RATING_RO_ROLLUP[#Headers],0)),"ERROR"))</f>
        <v>1977</v>
      </c>
      <c r="H31" s="156">
        <f>IF($B31=" ","",IFERROR(INDEX(MMWR_RATING_RO_ROLLUP[],MATCH($B31,MMWR_RATING_RO_ROLLUP[MMWR_RATING_RO_ROLLUP],0),MATCH(H$9,MMWR_RATING_RO_ROLLUP[#Headers],0)),"ERROR"))</f>
        <v>137.8235294118</v>
      </c>
      <c r="I31" s="156">
        <f>IF($B31=" ","",IFERROR(INDEX(MMWR_RATING_RO_ROLLUP[],MATCH($B31,MMWR_RATING_RO_ROLLUP[MMWR_RATING_RO_ROLLUP],0),MATCH(I$9,MMWR_RATING_RO_ROLLUP[#Headers],0)),"ERROR"))</f>
        <v>227.3227111786</v>
      </c>
      <c r="J31" s="160">
        <f>IF($B31=" ","",IFERROR(VLOOKUP($B31,MMWR_ACCURACY_RO[],MATCH(J$9,MMWR_ACCURACY_RO[#Headers],0),0),"ERROR"))</f>
        <v>0.90053841612252272</v>
      </c>
      <c r="K31" s="160">
        <f>IF($B31=" ","",IFERROR(VLOOKUP($B31,MMWR_ACCURACY_RO[],MATCH(K$9,MMWR_ACCURACY_RO[#Headers],0),0),"ERROR"))</f>
        <v>0.82313105326876523</v>
      </c>
      <c r="L31" s="160">
        <f>IF($B31=" ","",IFERROR(VLOOKUP($B31,MMWR_ACCURACY_RO[],MATCH(L$9,MMWR_ACCURACY_RO[#Headers],0),0),"ERROR"))</f>
        <v>0.8658925122439125</v>
      </c>
      <c r="M31" s="160">
        <f>IF($B31=" ","",IFERROR(VLOOKUP($B31,MMWR_ACCURACY_RO[],MATCH(M$9,MMWR_ACCURACY_RO[#Headers],0),0),"ERROR"))</f>
        <v>4.3207438523814402E-2</v>
      </c>
      <c r="N31" s="160">
        <f>IF($B31=" ","",IFERROR(VLOOKUP($B31,MMWR_ACCURACY_RO[],MATCH(N$9,MMWR_ACCURACY_RO[#Headers],0),0),"ERROR"))</f>
        <v>0.90125622698722097</v>
      </c>
      <c r="O31" s="160">
        <f>IF($B31=" ","",IFERROR(VLOOKUP($B31,MMWR_ACCURACY_RO[],MATCH(O$9,MMWR_ACCURACY_RO[#Headers],0),0),"ERROR"))</f>
        <v>4.6341368632415648E-2</v>
      </c>
      <c r="P31" s="28"/>
    </row>
    <row r="32" spans="1:16" x14ac:dyDescent="0.2">
      <c r="A32" s="25"/>
      <c r="B32" s="8" t="str">
        <f>VLOOKUP($B$16,DISTRICT_RO[],17,0)</f>
        <v>Winston-Salem VSC</v>
      </c>
      <c r="C32" s="155">
        <f>IF($B32=" ","",IFERROR(INDEX(MMWR_RATING_RO_ROLLUP[],MATCH($B32,MMWR_RATING_RO_ROLLUP[MMWR_RATING_RO_ROLLUP],0),MATCH(C$9,MMWR_RATING_RO_ROLLUP[#Headers],0)),"ERROR"))</f>
        <v>14337</v>
      </c>
      <c r="D32" s="156">
        <f>IF($B32=" ","",IFERROR(INDEX(MMWR_RATING_RO_ROLLUP[],MATCH($B32,MMWR_RATING_RO_ROLLUP[MMWR_RATING_RO_ROLLUP],0),MATCH(D$9,MMWR_RATING_RO_ROLLUP[#Headers],0)),"ERROR"))</f>
        <v>92.478830996699998</v>
      </c>
      <c r="E32" s="157">
        <f>IF($B32=" ","",IFERROR(INDEX(MMWR_RATING_RO_ROLLUP[],MATCH($B32,MMWR_RATING_RO_ROLLUP[MMWR_RATING_RO_ROLLUP],0),MATCH(E$9,MMWR_RATING_RO_ROLLUP[#Headers],0))/$C32,"ERROR"))</f>
        <v>0.22347771500313873</v>
      </c>
      <c r="F32" s="155">
        <f>IF($B32=" ","",IFERROR(INDEX(MMWR_RATING_RO_ROLLUP[],MATCH($B32,MMWR_RATING_RO_ROLLUP[MMWR_RATING_RO_ROLLUP],0),MATCH(F$9,MMWR_RATING_RO_ROLLUP[#Headers],0)),"ERROR"))</f>
        <v>435</v>
      </c>
      <c r="G32" s="155">
        <f>IF($B32=" ","",IFERROR(INDEX(MMWR_RATING_RO_ROLLUP[],MATCH($B32,MMWR_RATING_RO_ROLLUP[MMWR_RATING_RO_ROLLUP],0),MATCH(G$9,MMWR_RATING_RO_ROLLUP[#Headers],0)),"ERROR"))</f>
        <v>37842</v>
      </c>
      <c r="H32" s="156">
        <f>IF($B32=" ","",IFERROR(INDEX(MMWR_RATING_RO_ROLLUP[],MATCH($B32,MMWR_RATING_RO_ROLLUP[MMWR_RATING_RO_ROLLUP],0),MATCH(H$9,MMWR_RATING_RO_ROLLUP[#Headers],0)),"ERROR"))</f>
        <v>151.85517241380001</v>
      </c>
      <c r="I32" s="156">
        <f>IF($B32=" ","",IFERROR(INDEX(MMWR_RATING_RO_ROLLUP[],MATCH($B32,MMWR_RATING_RO_ROLLUP[MMWR_RATING_RO_ROLLUP],0),MATCH(I$9,MMWR_RATING_RO_ROLLUP[#Headers],0)),"ERROR"))</f>
        <v>209.2028698272</v>
      </c>
      <c r="J32" s="160">
        <f>IF($B32=" ","",IFERROR(VLOOKUP($B32,MMWR_ACCURACY_RO[],MATCH(J$9,MMWR_ACCURACY_RO[#Headers],0),0),"ERROR"))</f>
        <v>0.94515933903599847</v>
      </c>
      <c r="K32" s="160">
        <f>IF($B32=" ","",IFERROR(VLOOKUP($B32,MMWR_ACCURACY_RO[],MATCH(K$9,MMWR_ACCURACY_RO[#Headers],0),0),"ERROR"))</f>
        <v>0.79584413289349665</v>
      </c>
      <c r="L32" s="160">
        <f>IF($B32=" ","",IFERROR(VLOOKUP($B32,MMWR_ACCURACY_RO[],MATCH(L$9,MMWR_ACCURACY_RO[#Headers],0),0),"ERROR"))</f>
        <v>0.83248171547567706</v>
      </c>
      <c r="M32" s="160">
        <f>IF($B32=" ","",IFERROR(VLOOKUP($B32,MMWR_ACCURACY_RO[],MATCH(M$9,MMWR_ACCURACY_RO[#Headers],0),0),"ERROR"))</f>
        <v>5.2326796219906983E-2</v>
      </c>
      <c r="N32" s="160">
        <f>IF($B32=" ","",IFERROR(VLOOKUP($B32,MMWR_ACCURACY_RO[],MATCH(N$9,MMWR_ACCURACY_RO[#Headers],0),0),"ERROR"))</f>
        <v>0.92127833283277349</v>
      </c>
      <c r="O32" s="160">
        <f>IF($B32=" ","",IFERROR(VLOOKUP($B32,MMWR_ACCURACY_RO[],MATCH(O$9,MMWR_ACCURACY_RO[#Headers],0),0),"ERROR"))</f>
        <v>4.2473187310051161E-2</v>
      </c>
      <c r="P32" s="28"/>
    </row>
    <row r="33" spans="1:16" x14ac:dyDescent="0.2">
      <c r="A33" s="25"/>
      <c r="B33" s="372" t="s">
        <v>743</v>
      </c>
      <c r="C33" s="373"/>
      <c r="D33" s="373"/>
      <c r="E33" s="373"/>
      <c r="F33" s="373"/>
      <c r="G33" s="373"/>
      <c r="H33" s="373"/>
      <c r="I33" s="373"/>
      <c r="J33" s="373"/>
      <c r="K33" s="373"/>
      <c r="L33" s="373"/>
      <c r="M33" s="373"/>
      <c r="N33" s="373"/>
      <c r="O33" s="373"/>
      <c r="P33" s="28"/>
    </row>
    <row r="34" spans="1:16" x14ac:dyDescent="0.2">
      <c r="A34" s="25"/>
      <c r="B34" s="11" t="s">
        <v>706</v>
      </c>
      <c r="C34" s="155">
        <f>IF($B34=" ","",IFERROR(INDEX(MMWR_RATING_RO_ROLLUP[],MATCH($B34,MMWR_RATING_RO_ROLLUP[MMWR_RATING_RO_ROLLUP],0),MATCH(C$9,MMWR_RATING_RO_ROLLUP[#Headers],0)),"ERROR"))</f>
        <v>20052</v>
      </c>
      <c r="D34" s="156">
        <f>IF($B34=" ","",IFERROR(INDEX(MMWR_RATING_RO_ROLLUP[],MATCH($B34,MMWR_RATING_RO_ROLLUP[MMWR_RATING_RO_ROLLUP],0),MATCH(D$9,MMWR_RATING_RO_ROLLUP[#Headers],0)),"ERROR"))</f>
        <v>59.125124675800002</v>
      </c>
      <c r="E34" s="157">
        <f>IF($B34=" ","",IFERROR(INDEX(MMWR_RATING_RO_ROLLUP[],MATCH($B34,MMWR_RATING_RO_ROLLUP[MMWR_RATING_RO_ROLLUP],0),MATCH(E$9,MMWR_RATING_RO_ROLLUP[#Headers],0))/$C34,"ERROR"))</f>
        <v>9.3407141432276089E-2</v>
      </c>
      <c r="F34" s="155">
        <f>IF($B34=" ","",IFERROR(INDEX(MMWR_RATING_RO_ROLLUP[],MATCH($B34,MMWR_RATING_RO_ROLLUP[MMWR_RATING_RO_ROLLUP],0),MATCH(F$9,MMWR_RATING_RO_ROLLUP[#Headers],0)),"ERROR"))</f>
        <v>2246</v>
      </c>
      <c r="G34" s="155">
        <f>IF($B34=" ","",IFERROR(INDEX(MMWR_RATING_RO_ROLLUP[],MATCH($B34,MMWR_RATING_RO_ROLLUP[MMWR_RATING_RO_ROLLUP],0),MATCH(G$9,MMWR_RATING_RO_ROLLUP[#Headers],0)),"ERROR"))</f>
        <v>142916</v>
      </c>
      <c r="H34" s="156">
        <f>IF($B34=" ","",IFERROR(INDEX(MMWR_RATING_RO_ROLLUP[],MATCH($B34,MMWR_RATING_RO_ROLLUP[MMWR_RATING_RO_ROLLUP],0),MATCH(H$9,MMWR_RATING_RO_ROLLUP[#Headers],0)),"ERROR"))</f>
        <v>63.504007123800001</v>
      </c>
      <c r="I34" s="156">
        <f>IF($B34=" ","",IFERROR(INDEX(MMWR_RATING_RO_ROLLUP[],MATCH($B34,MMWR_RATING_RO_ROLLUP[MMWR_RATING_RO_ROLLUP],0),MATCH(I$9,MMWR_RATING_RO_ROLLUP[#Headers],0)),"ERROR"))</f>
        <v>64.488097903699995</v>
      </c>
      <c r="J34" s="42"/>
      <c r="K34" s="254">
        <f>IF($B34=" ","",IFERROR(VLOOKUP($B34,MMWR_ACCURACY_RO[],MATCH(K$49,MMWR_ACCURACY_RO[#Headers],0),0),"ERROR"))</f>
        <v>0.94246964737261441</v>
      </c>
      <c r="L34" s="254">
        <f>IF($B34=" ","",IFERROR(VLOOKUP($B34,MMWR_ACCURACY_RO[],MATCH(L$49,MMWR_ACCURACY_RO[#Headers],0),0),"ERROR"))</f>
        <v>0.96812348377268675</v>
      </c>
      <c r="M34" s="254">
        <f>IF($B34=" ","",IFERROR(VLOOKUP($B34,MMWR_ACCURACY_RO[],MATCH(M$49,MMWR_ACCURACY_RO[#Headers],0),0),"ERROR"))</f>
        <v>1.5248741409886577E-2</v>
      </c>
      <c r="N34" s="254">
        <f>IF($B34=" ","",IFERROR(VLOOKUP($B34,MMWR_ACCURACY_RO[],MATCH(N$49,MMWR_ACCURACY_RO[#Headers],0),0),"ERROR"))</f>
        <v>0.96389630432598183</v>
      </c>
      <c r="O34" s="254">
        <f>IF($B34=" ","",IFERROR(VLOOKUP($B34,MMWR_ACCURACY_RO[],MATCH(O$49,MMWR_ACCURACY_RO[#Headers],0),0),"ERROR"))</f>
        <v>1.9891014158988439E-2</v>
      </c>
      <c r="P34" s="28"/>
    </row>
    <row r="35" spans="1:16" x14ac:dyDescent="0.2">
      <c r="A35" s="25"/>
      <c r="B35" s="12" t="s">
        <v>218</v>
      </c>
      <c r="C35" s="155">
        <f>IF($B35=" ","",IFERROR(INDEX(MMWR_RATING_RO_ROLLUP[],MATCH($B35,MMWR_RATING_RO_ROLLUP[MMWR_RATING_RO_ROLLUP],0),MATCH(C$9,MMWR_RATING_RO_ROLLUP[#Headers],0)),"ERROR"))</f>
        <v>6391</v>
      </c>
      <c r="D35" s="156">
        <f>IF($B35=" ","",IFERROR(INDEX(MMWR_RATING_RO_ROLLUP[],MATCH($B35,MMWR_RATING_RO_ROLLUP[MMWR_RATING_RO_ROLLUP],0),MATCH(D$9,MMWR_RATING_RO_ROLLUP[#Headers],0)),"ERROR"))</f>
        <v>64.175089970299993</v>
      </c>
      <c r="E35" s="157">
        <f>IF($B35=" ","",IFERROR(INDEX(MMWR_RATING_RO_ROLLUP[],MATCH($B35,MMWR_RATING_RO_ROLLUP[MMWR_RATING_RO_ROLLUP],0),MATCH(E$9,MMWR_RATING_RO_ROLLUP[#Headers],0))/$C35,"ERROR"))</f>
        <v>0.10483492411203255</v>
      </c>
      <c r="F35" s="155">
        <f>IF($B35=" ","",IFERROR(INDEX(MMWR_RATING_RO_ROLLUP[],MATCH($B35,MMWR_RATING_RO_ROLLUP[MMWR_RATING_RO_ROLLUP],0),MATCH(F$9,MMWR_RATING_RO_ROLLUP[#Headers],0)),"ERROR"))</f>
        <v>765</v>
      </c>
      <c r="G35" s="155">
        <f>IF($B35=" ","",IFERROR(INDEX(MMWR_RATING_RO_ROLLUP[],MATCH($B35,MMWR_RATING_RO_ROLLUP[MMWR_RATING_RO_ROLLUP],0),MATCH(G$9,MMWR_RATING_RO_ROLLUP[#Headers],0)),"ERROR"))</f>
        <v>45511</v>
      </c>
      <c r="H35" s="156">
        <f>IF($B35=" ","",IFERROR(INDEX(MMWR_RATING_RO_ROLLUP[],MATCH($B35,MMWR_RATING_RO_ROLLUP[MMWR_RATING_RO_ROLLUP],0),MATCH(H$9,MMWR_RATING_RO_ROLLUP[#Headers],0)),"ERROR"))</f>
        <v>68.377777777800006</v>
      </c>
      <c r="I35" s="156">
        <f>IF($B35=" ","",IFERROR(INDEX(MMWR_RATING_RO_ROLLUP[],MATCH($B35,MMWR_RATING_RO_ROLLUP[MMWR_RATING_RO_ROLLUP],0),MATCH(I$9,MMWR_RATING_RO_ROLLUP[#Headers],0)),"ERROR"))</f>
        <v>72.697787348099993</v>
      </c>
      <c r="J35" s="42"/>
      <c r="K35" s="254">
        <f>IF($B35=" ","",IFERROR(VLOOKUP($B35,MMWR_ACCURACY_RO[],MATCH(K$49,MMWR_ACCURACY_RO[#Headers],0),0),"ERROR"))</f>
        <v>0.87499687398404491</v>
      </c>
      <c r="L35" s="254">
        <f>IF($B35=" ","",IFERROR(VLOOKUP($B35,MMWR_ACCURACY_RO[],MATCH(L$49,MMWR_ACCURACY_RO[#Headers],0),0),"ERROR"))</f>
        <v>0.95330987426214653</v>
      </c>
      <c r="M35" s="254">
        <f>IF($B35=" ","",IFERROR(VLOOKUP($B35,MMWR_ACCURACY_RO[],MATCH(M$49,MMWR_ACCURACY_RO[#Headers],0),0),"ERROR"))</f>
        <v>3.6007169912451217E-2</v>
      </c>
      <c r="N35" s="254">
        <f>IF($B35=" ","",IFERROR(VLOOKUP($B35,MMWR_ACCURACY_RO[],MATCH(N$49,MMWR_ACCURACY_RO[#Headers],0),0),"ERROR"))</f>
        <v>0.94151817235213831</v>
      </c>
      <c r="O35" s="254">
        <f>IF($B35=" ","",IFERROR(VLOOKUP($B35,MMWR_ACCURACY_RO[],MATCH(O$49,MMWR_ACCURACY_RO[#Headers],0),0),"ERROR"))</f>
        <v>4.2929305125536388E-2</v>
      </c>
      <c r="P35" s="28"/>
    </row>
    <row r="36" spans="1:16" x14ac:dyDescent="0.2">
      <c r="A36" s="43"/>
      <c r="B36" s="12" t="s">
        <v>217</v>
      </c>
      <c r="C36" s="155">
        <f>IF($B36=" ","",IFERROR(INDEX(MMWR_RATING_RO_ROLLUP[],MATCH($B36,MMWR_RATING_RO_ROLLUP[MMWR_RATING_RO_ROLLUP],0),MATCH(C$9,MMWR_RATING_RO_ROLLUP[#Headers],0)),"ERROR"))</f>
        <v>5176</v>
      </c>
      <c r="D36" s="156">
        <f>IF($B36=" ","",IFERROR(INDEX(MMWR_RATING_RO_ROLLUP[],MATCH($B36,MMWR_RATING_RO_ROLLUP[MMWR_RATING_RO_ROLLUP],0),MATCH(D$9,MMWR_RATING_RO_ROLLUP[#Headers],0)),"ERROR"))</f>
        <v>55.437210200899997</v>
      </c>
      <c r="E36" s="157">
        <f>IF($B36=" ","",IFERROR(INDEX(MMWR_RATING_RO_ROLLUP[],MATCH($B36,MMWR_RATING_RO_ROLLUP[MMWR_RATING_RO_ROLLUP],0),MATCH(E$9,MMWR_RATING_RO_ROLLUP[#Headers],0))/$C36,"ERROR"))</f>
        <v>9.1190108191653782E-2</v>
      </c>
      <c r="F36" s="155">
        <f>IF($B36=" ","",IFERROR(INDEX(MMWR_RATING_RO_ROLLUP[],MATCH($B36,MMWR_RATING_RO_ROLLUP[MMWR_RATING_RO_ROLLUP],0),MATCH(F$9,MMWR_RATING_RO_ROLLUP[#Headers],0)),"ERROR"))</f>
        <v>515</v>
      </c>
      <c r="G36" s="155">
        <f>IF($B36=" ","",IFERROR(INDEX(MMWR_RATING_RO_ROLLUP[],MATCH($B36,MMWR_RATING_RO_ROLLUP[MMWR_RATING_RO_ROLLUP],0),MATCH(G$9,MMWR_RATING_RO_ROLLUP[#Headers],0)),"ERROR"))</f>
        <v>40134</v>
      </c>
      <c r="H36" s="156">
        <f>IF($B36=" ","",IFERROR(INDEX(MMWR_RATING_RO_ROLLUP[],MATCH($B36,MMWR_RATING_RO_ROLLUP[MMWR_RATING_RO_ROLLUP],0),MATCH(H$9,MMWR_RATING_RO_ROLLUP[#Headers],0)),"ERROR"))</f>
        <v>64.636893203900001</v>
      </c>
      <c r="I36" s="156">
        <f>IF($B36=" ","",IFERROR(INDEX(MMWR_RATING_RO_ROLLUP[],MATCH($B36,MMWR_RATING_RO_ROLLUP[MMWR_RATING_RO_ROLLUP],0),MATCH(I$9,MMWR_RATING_RO_ROLLUP[#Headers],0)),"ERROR"))</f>
        <v>55.197762495600003</v>
      </c>
      <c r="J36" s="42"/>
      <c r="K36" s="254">
        <f>IF($B36=" ","",IFERROR(VLOOKUP($B36,MMWR_ACCURACY_RO[],MATCH(K$49,MMWR_ACCURACY_RO[#Headers],0),0),"ERROR"))</f>
        <v>0.95182394634332079</v>
      </c>
      <c r="L36" s="254">
        <f>IF($B36=" ","",IFERROR(VLOOKUP($B36,MMWR_ACCURACY_RO[],MATCH(L$49,MMWR_ACCURACY_RO[#Headers],0),0),"ERROR"))</f>
        <v>0.95346117649031581</v>
      </c>
      <c r="M36" s="254">
        <f>IF($B36=" ","",IFERROR(VLOOKUP($B36,MMWR_ACCURACY_RO[],MATCH(M$49,MMWR_ACCURACY_RO[#Headers],0),0),"ERROR"))</f>
        <v>3.0790613258238082E-2</v>
      </c>
      <c r="N36" s="254">
        <f>IF($B36=" ","",IFERROR(VLOOKUP($B36,MMWR_ACCURACY_RO[],MATCH(N$49,MMWR_ACCURACY_RO[#Headers],0),0),"ERROR"))</f>
        <v>0.98790875472638884</v>
      </c>
      <c r="O36" s="254">
        <f>IF($B36=" ","",IFERROR(VLOOKUP($B36,MMWR_ACCURACY_RO[],MATCH(O$49,MMWR_ACCURACY_RO[#Headers],0),0),"ERROR"))</f>
        <v>1.5286980222886583E-2</v>
      </c>
      <c r="P36" s="28"/>
    </row>
    <row r="37" spans="1:16" x14ac:dyDescent="0.2">
      <c r="A37" s="25"/>
      <c r="B37" s="12" t="s">
        <v>220</v>
      </c>
      <c r="C37" s="155">
        <f>IF($B37=" ","",IFERROR(INDEX(MMWR_RATING_RO_ROLLUP[],MATCH($B37,MMWR_RATING_RO_ROLLUP[MMWR_RATING_RO_ROLLUP],0),MATCH(C$9,MMWR_RATING_RO_ROLLUP[#Headers],0)),"ERROR"))</f>
        <v>8031</v>
      </c>
      <c r="D37" s="156">
        <f>IF($B37=" ","",IFERROR(INDEX(MMWR_RATING_RO_ROLLUP[],MATCH($B37,MMWR_RATING_RO_ROLLUP[MMWR_RATING_RO_ROLLUP],0),MATCH(D$9,MMWR_RATING_RO_ROLLUP[#Headers],0)),"ERROR"))</f>
        <v>51.337691445600001</v>
      </c>
      <c r="E37" s="157">
        <f>IF($B37=" ","",IFERROR(INDEX(MMWR_RATING_RO_ROLLUP[],MATCH($B37,MMWR_RATING_RO_ROLLUP[MMWR_RATING_RO_ROLLUP],0),MATCH(E$9,MMWR_RATING_RO_ROLLUP[#Headers],0))/$C37,"ERROR"))</f>
        <v>6.4873614742871372E-2</v>
      </c>
      <c r="F37" s="155">
        <f>IF($B37=" ","",IFERROR(INDEX(MMWR_RATING_RO_ROLLUP[],MATCH($B37,MMWR_RATING_RO_ROLLUP[MMWR_RATING_RO_ROLLUP],0),MATCH(F$9,MMWR_RATING_RO_ROLLUP[#Headers],0)),"ERROR"))</f>
        <v>919</v>
      </c>
      <c r="G37" s="155">
        <f>IF($B37=" ","",IFERROR(INDEX(MMWR_RATING_RO_ROLLUP[],MATCH($B37,MMWR_RATING_RO_ROLLUP[MMWR_RATING_RO_ROLLUP],0),MATCH(G$9,MMWR_RATING_RO_ROLLUP[#Headers],0)),"ERROR"))</f>
        <v>52368</v>
      </c>
      <c r="H37" s="156">
        <f>IF($B37=" ","",IFERROR(INDEX(MMWR_RATING_RO_ROLLUP[],MATCH($B37,MMWR_RATING_RO_ROLLUP[MMWR_RATING_RO_ROLLUP],0),MATCH(H$9,MMWR_RATING_RO_ROLLUP[#Headers],0)),"ERROR"))</f>
        <v>57.474428726900001</v>
      </c>
      <c r="I37" s="156">
        <f>IF($B37=" ","",IFERROR(INDEX(MMWR_RATING_RO_ROLLUP[],MATCH($B37,MMWR_RATING_RO_ROLLUP[MMWR_RATING_RO_ROLLUP],0),MATCH(I$9,MMWR_RATING_RO_ROLLUP[#Headers],0)),"ERROR"))</f>
        <v>64.879029178099998</v>
      </c>
      <c r="J37" s="42"/>
      <c r="K37" s="254">
        <f>IF($B37=" ","",IFERROR(VLOOKUP($B37,MMWR_ACCURACY_RO[],MATCH(K$49,MMWR_ACCURACY_RO[#Headers],0),0),"ERROR"))</f>
        <v>1</v>
      </c>
      <c r="L37" s="254">
        <f>IF($B37=" ","",IFERROR(VLOOKUP($B37,MMWR_ACCURACY_RO[],MATCH(L$49,MMWR_ACCURACY_RO[#Headers],0),0),"ERROR"))</f>
        <v>0.9920093664438947</v>
      </c>
      <c r="M37" s="254">
        <f>IF($B37=" ","",IFERROR(VLOOKUP($B37,MMWR_ACCURACY_RO[],MATCH(M$49,MMWR_ACCURACY_RO[#Headers],0),0),"ERROR"))</f>
        <v>9.5752801700201215E-3</v>
      </c>
      <c r="N37" s="254">
        <f>IF($B37=" ","",IFERROR(VLOOKUP($B37,MMWR_ACCURACY_RO[],MATCH(N$49,MMWR_ACCURACY_RO[#Headers],0),0),"ERROR"))</f>
        <v>0.96349001134633128</v>
      </c>
      <c r="O37" s="254">
        <f>IF($B37=" ","",IFERROR(VLOOKUP($B37,MMWR_ACCURACY_RO[],MATCH(O$49,MMWR_ACCURACY_RO[#Headers],0),0),"ERROR"))</f>
        <v>3.6496758070326651E-2</v>
      </c>
      <c r="P37" s="28"/>
    </row>
    <row r="38" spans="1:16" x14ac:dyDescent="0.2">
      <c r="A38" s="25"/>
      <c r="B38" s="13" t="s">
        <v>232</v>
      </c>
      <c r="C38" s="155">
        <f>IF($B38=" ","",IFERROR(INDEX(MMWR_RATING_RO_ROLLUP[],MATCH($B38,MMWR_RATING_RO_ROLLUP[MMWR_RATING_RO_ROLLUP],0),MATCH(C$9,MMWR_RATING_RO_ROLLUP[#Headers],0)),"ERROR"))</f>
        <v>454</v>
      </c>
      <c r="D38" s="156">
        <f>IF($B38=" ","",IFERROR(INDEX(MMWR_RATING_RO_ROLLUP[],MATCH($B38,MMWR_RATING_RO_ROLLUP[MMWR_RATING_RO_ROLLUP],0),MATCH(D$9,MMWR_RATING_RO_ROLLUP[#Headers],0)),"ERROR"))</f>
        <v>167.83700440530001</v>
      </c>
      <c r="E38" s="157">
        <f>IF($B38=" ","",IFERROR(INDEX(MMWR_RATING_RO_ROLLUP[],MATCH($B38,MMWR_RATING_RO_ROLLUP[MMWR_RATING_RO_ROLLUP],0),MATCH(E$9,MMWR_RATING_RO_ROLLUP[#Headers],0))/$C38,"ERROR"))</f>
        <v>0.46255506607929514</v>
      </c>
      <c r="F38" s="155">
        <f>IF($B38=" ","",IFERROR(INDEX(MMWR_RATING_RO_ROLLUP[],MATCH($B38,MMWR_RATING_RO_ROLLUP[MMWR_RATING_RO_ROLLUP],0),MATCH(F$9,MMWR_RATING_RO_ROLLUP[#Headers],0)),"ERROR"))</f>
        <v>47</v>
      </c>
      <c r="G38" s="155">
        <f>IF($B38=" ","",IFERROR(INDEX(MMWR_RATING_RO_ROLLUP[],MATCH($B38,MMWR_RATING_RO_ROLLUP[MMWR_RATING_RO_ROLLUP],0),MATCH(G$9,MMWR_RATING_RO_ROLLUP[#Headers],0)),"ERROR"))</f>
        <v>4903</v>
      </c>
      <c r="H38" s="156">
        <f>IF($B38=" ","",IFERROR(INDEX(MMWR_RATING_RO_ROLLUP[],MATCH($B38,MMWR_RATING_RO_ROLLUP[MMWR_RATING_RO_ROLLUP],0),MATCH(H$9,MMWR_RATING_RO_ROLLUP[#Headers],0)),"ERROR"))</f>
        <v>89.659574468100004</v>
      </c>
      <c r="I38" s="156">
        <f>IF($B38=" ","",IFERROR(INDEX(MMWR_RATING_RO_ROLLUP[],MATCH($B38,MMWR_RATING_RO_ROLLUP[MMWR_RATING_RO_ROLLUP],0),MATCH(I$9,MMWR_RATING_RO_ROLLUP[#Headers],0)),"ERROR"))</f>
        <v>60.155007138499997</v>
      </c>
      <c r="J38" s="42"/>
      <c r="K38" s="42"/>
      <c r="L38" s="42"/>
      <c r="M38" s="42"/>
      <c r="N38" s="42"/>
      <c r="O38" s="42"/>
      <c r="P38" s="28"/>
    </row>
    <row r="39" spans="1:16" x14ac:dyDescent="0.2">
      <c r="A39" s="25"/>
      <c r="B39" s="372" t="s">
        <v>926</v>
      </c>
      <c r="C39" s="373"/>
      <c r="D39" s="373"/>
      <c r="E39" s="373"/>
      <c r="F39" s="373"/>
      <c r="G39" s="373"/>
      <c r="H39" s="373"/>
      <c r="I39" s="373"/>
      <c r="J39" s="373"/>
      <c r="K39" s="373"/>
      <c r="L39" s="373"/>
      <c r="M39" s="373"/>
      <c r="N39" s="373"/>
      <c r="O39" s="373"/>
      <c r="P39" s="28"/>
    </row>
    <row r="40" spans="1:16" x14ac:dyDescent="0.2">
      <c r="A40" s="25"/>
      <c r="B40" s="44" t="s">
        <v>707</v>
      </c>
      <c r="C40" s="155">
        <f>IF($B40=" ","",IFERROR(INDEX(MMWR_RATING_RO_ROLLUP[],MATCH($B40,MMWR_RATING_RO_ROLLUP[MMWR_RATING_RO_ROLLUP],0),MATCH(C$9,MMWR_RATING_RO_ROLLUP[#Headers],0)),"ERROR"))</f>
        <v>8845</v>
      </c>
      <c r="D40" s="156">
        <f>IF($B40=" ","",IFERROR(INDEX(MMWR_RATING_RO_ROLLUP[],MATCH($B40,MMWR_RATING_RO_ROLLUP[MMWR_RATING_RO_ROLLUP],0),MATCH(D$9,MMWR_RATING_RO_ROLLUP[#Headers],0)),"ERROR"))</f>
        <v>65.520293951400006</v>
      </c>
      <c r="E40" s="157">
        <f>IF($B40=" ","",IFERROR(INDEX(MMWR_RATING_RO_ROLLUP[],MATCH($B40,MMWR_RATING_RO_ROLLUP[MMWR_RATING_RO_ROLLUP],0),MATCH(E$9,MMWR_RATING_RO_ROLLUP[#Headers],0))/$C40,"ERROR"))</f>
        <v>0.13646127755794235</v>
      </c>
      <c r="F40" s="155">
        <f>IF($B40=" ","",IFERROR(INDEX(MMWR_RATING_RO_ROLLUP[],MATCH($B40,MMWR_RATING_RO_ROLLUP[MMWR_RATING_RO_ROLLUP],0),MATCH(F$9,MMWR_RATING_RO_ROLLUP[#Headers],0)),"ERROR"))</f>
        <v>268</v>
      </c>
      <c r="G40" s="155">
        <f>IF($B40=" ","",IFERROR(INDEX(MMWR_RATING_RO_ROLLUP[],MATCH($B40,MMWR_RATING_RO_ROLLUP[MMWR_RATING_RO_ROLLUP],0),MATCH(G$9,MMWR_RATING_RO_ROLLUP[#Headers],0)),"ERROR"))</f>
        <v>24004</v>
      </c>
      <c r="H40" s="156">
        <f>IF($B40=" ","",IFERROR(INDEX(MMWR_RATING_RO_ROLLUP[],MATCH($B40,MMWR_RATING_RO_ROLLUP[MMWR_RATING_RO_ROLLUP],0),MATCH(H$9,MMWR_RATING_RO_ROLLUP[#Headers],0)),"ERROR"))</f>
        <v>127.921641791</v>
      </c>
      <c r="I40" s="156">
        <f>IF($B40=" ","",IFERROR(INDEX(MMWR_RATING_RO_ROLLUP[],MATCH($B40,MMWR_RATING_RO_ROLLUP[MMWR_RATING_RO_ROLLUP],0),MATCH(I$9,MMWR_RATING_RO_ROLLUP[#Headers],0)),"ERROR"))</f>
        <v>132.96525579070001</v>
      </c>
      <c r="J40" s="42"/>
      <c r="K40" s="42"/>
      <c r="L40" s="42"/>
      <c r="M40" s="42"/>
      <c r="N40" s="42"/>
      <c r="O40" s="42"/>
      <c r="P40" s="28"/>
    </row>
    <row r="41" spans="1:16" x14ac:dyDescent="0.2">
      <c r="A41" s="25"/>
      <c r="B41" s="45" t="s">
        <v>968</v>
      </c>
      <c r="C41" s="155">
        <f>IF($B41=" ","",IFERROR(INDEX(MMWR_RATING_RO_ROLLUP[],MATCH($B41,MMWR_RATING_RO_ROLLUP[MMWR_RATING_RO_ROLLUP],0),MATCH(C$9,MMWR_RATING_RO_ROLLUP[#Headers],0)),"ERROR"))</f>
        <v>3868</v>
      </c>
      <c r="D41" s="156">
        <f>IF($B41=" ","",IFERROR(INDEX(MMWR_RATING_RO_ROLLUP[],MATCH($B41,MMWR_RATING_RO_ROLLUP[MMWR_RATING_RO_ROLLUP],0),MATCH(D$9,MMWR_RATING_RO_ROLLUP[#Headers],0)),"ERROR"))</f>
        <v>60.188986556400003</v>
      </c>
      <c r="E41" s="157">
        <f>IF($B41=" ","",IFERROR(INDEX(MMWR_RATING_RO_ROLLUP[],MATCH($B41,MMWR_RATING_RO_ROLLUP[MMWR_RATING_RO_ROLLUP],0),MATCH(E$9,MMWR_RATING_RO_ROLLUP[#Headers],0))/$C41,"ERROR"))</f>
        <v>0.11685625646328852</v>
      </c>
      <c r="F41" s="155">
        <f>IF($B41=" ","",IFERROR(INDEX(MMWR_RATING_RO_ROLLUP[],MATCH($B41,MMWR_RATING_RO_ROLLUP[MMWR_RATING_RO_ROLLUP],0),MATCH(F$9,MMWR_RATING_RO_ROLLUP[#Headers],0)),"ERROR"))</f>
        <v>158</v>
      </c>
      <c r="G41" s="155">
        <f>IF($B41=" ","",IFERROR(INDEX(MMWR_RATING_RO_ROLLUP[],MATCH($B41,MMWR_RATING_RO_ROLLUP[MMWR_RATING_RO_ROLLUP],0),MATCH(G$9,MMWR_RATING_RO_ROLLUP[#Headers],0)),"ERROR"))</f>
        <v>12499</v>
      </c>
      <c r="H41" s="156">
        <f>IF($B41=" ","",IFERROR(INDEX(MMWR_RATING_RO_ROLLUP[],MATCH($B41,MMWR_RATING_RO_ROLLUP[MMWR_RATING_RO_ROLLUP],0),MATCH(H$9,MMWR_RATING_RO_ROLLUP[#Headers],0)),"ERROR"))</f>
        <v>108.1392405063</v>
      </c>
      <c r="I41" s="156">
        <f>IF($B41=" ","",IFERROR(INDEX(MMWR_RATING_RO_ROLLUP[],MATCH($B41,MMWR_RATING_RO_ROLLUP[MMWR_RATING_RO_ROLLUP],0),MATCH(I$9,MMWR_RATING_RO_ROLLUP[#Headers],0)),"ERROR"))</f>
        <v>115.2670613649</v>
      </c>
      <c r="J41" s="42"/>
      <c r="K41" s="42"/>
      <c r="L41" s="42"/>
      <c r="M41" s="42"/>
      <c r="N41" s="42"/>
      <c r="O41" s="42"/>
      <c r="P41" s="28"/>
    </row>
    <row r="42" spans="1:16" x14ac:dyDescent="0.2">
      <c r="A42" s="25"/>
      <c r="B42" s="45" t="s">
        <v>969</v>
      </c>
      <c r="C42" s="155">
        <f>IF($B42=" ","",IFERROR(INDEX(MMWR_RATING_RO_ROLLUP[],MATCH($B42,MMWR_RATING_RO_ROLLUP[MMWR_RATING_RO_ROLLUP],0),MATCH(C$9,MMWR_RATING_RO_ROLLUP[#Headers],0)),"ERROR"))</f>
        <v>4318</v>
      </c>
      <c r="D42" s="156">
        <f>IF($B42=" ","",IFERROR(INDEX(MMWR_RATING_RO_ROLLUP[],MATCH($B42,MMWR_RATING_RO_ROLLUP[MMWR_RATING_RO_ROLLUP],0),MATCH(D$9,MMWR_RATING_RO_ROLLUP[#Headers],0)),"ERROR"))</f>
        <v>73.664659564600001</v>
      </c>
      <c r="E42" s="157">
        <f>IF($B42=" ","",IFERROR(INDEX(MMWR_RATING_RO_ROLLUP[],MATCH($B42,MMWR_RATING_RO_ROLLUP[MMWR_RATING_RO_ROLLUP],0),MATCH(E$9,MMWR_RATING_RO_ROLLUP[#Headers],0))/$C42,"ERROR"))</f>
        <v>0.16512274201018989</v>
      </c>
      <c r="F42" s="155">
        <f>IF($B42=" ","",IFERROR(INDEX(MMWR_RATING_RO_ROLLUP[],MATCH($B42,MMWR_RATING_RO_ROLLUP[MMWR_RATING_RO_ROLLUP],0),MATCH(F$9,MMWR_RATING_RO_ROLLUP[#Headers],0)),"ERROR"))</f>
        <v>101</v>
      </c>
      <c r="G42" s="155">
        <f>IF($B42=" ","",IFERROR(INDEX(MMWR_RATING_RO_ROLLUP[],MATCH($B42,MMWR_RATING_RO_ROLLUP[MMWR_RATING_RO_ROLLUP],0),MATCH(G$9,MMWR_RATING_RO_ROLLUP[#Headers],0)),"ERROR"))</f>
        <v>10880</v>
      </c>
      <c r="H42" s="156">
        <f>IF($B42=" ","",IFERROR(INDEX(MMWR_RATING_RO_ROLLUP[],MATCH($B42,MMWR_RATING_RO_ROLLUP[MMWR_RATING_RO_ROLLUP],0),MATCH(H$9,MMWR_RATING_RO_ROLLUP[#Headers],0)),"ERROR"))</f>
        <v>154.198019802</v>
      </c>
      <c r="I42" s="156">
        <f>IF($B42=" ","",IFERROR(INDEX(MMWR_RATING_RO_ROLLUP[],MATCH($B42,MMWR_RATING_RO_ROLLUP[MMWR_RATING_RO_ROLLUP],0),MATCH(I$9,MMWR_RATING_RO_ROLLUP[#Headers],0)),"ERROR"))</f>
        <v>150.0709558824</v>
      </c>
      <c r="J42" s="42"/>
      <c r="K42" s="42"/>
      <c r="L42" s="42"/>
      <c r="M42" s="42"/>
      <c r="N42" s="42"/>
      <c r="O42" s="42"/>
      <c r="P42" s="28"/>
    </row>
    <row r="43" spans="1:16" x14ac:dyDescent="0.2">
      <c r="A43" s="25"/>
      <c r="B43" s="46" t="s">
        <v>316</v>
      </c>
      <c r="C43" s="155">
        <f>IF($B43=" ","",IFERROR(INDEX(MMWR_RATING_RO_ROLLUP[],MATCH($B43,MMWR_RATING_RO_ROLLUP[MMWR_RATING_RO_ROLLUP],0),MATCH(C$9,MMWR_RATING_RO_ROLLUP[#Headers],0)),"ERROR"))</f>
        <v>659</v>
      </c>
      <c r="D43" s="156">
        <f>IF($B43=" ","",IFERROR(INDEX(MMWR_RATING_RO_ROLLUP[],MATCH($B43,MMWR_RATING_RO_ROLLUP[MMWR_RATING_RO_ROLLUP],0),MATCH(D$9,MMWR_RATING_RO_ROLLUP[#Headers],0)),"ERROR"))</f>
        <v>43.4476479514</v>
      </c>
      <c r="E43" s="157">
        <f>IF($B43=" ","",IFERROR(INDEX(MMWR_RATING_RO_ROLLUP[],MATCH($B43,MMWR_RATING_RO_ROLLUP[MMWR_RATING_RO_ROLLUP],0),MATCH(E$9,MMWR_RATING_RO_ROLLUP[#Headers],0))/$C43,"ERROR"))</f>
        <v>6.3732928679817905E-2</v>
      </c>
      <c r="F43" s="155">
        <f>IF($B43=" ","",IFERROR(INDEX(MMWR_RATING_RO_ROLLUP[],MATCH($B43,MMWR_RATING_RO_ROLLUP[MMWR_RATING_RO_ROLLUP],0),MATCH(F$9,MMWR_RATING_RO_ROLLUP[#Headers],0)),"ERROR"))</f>
        <v>9</v>
      </c>
      <c r="G43" s="155">
        <f>IF($B43=" ","",IFERROR(INDEX(MMWR_RATING_RO_ROLLUP[],MATCH($B43,MMWR_RATING_RO_ROLLUP[MMWR_RATING_RO_ROLLUP],0),MATCH(G$9,MMWR_RATING_RO_ROLLUP[#Headers],0)),"ERROR"))</f>
        <v>625</v>
      </c>
      <c r="H43" s="156">
        <f>IF($B43=" ","",IFERROR(INDEX(MMWR_RATING_RO_ROLLUP[],MATCH($B43,MMWR_RATING_RO_ROLLUP[MMWR_RATING_RO_ROLLUP],0),MATCH(H$9,MMWR_RATING_RO_ROLLUP[#Headers],0)),"ERROR"))</f>
        <v>180.3333333333</v>
      </c>
      <c r="I43" s="156">
        <f>IF($B43=" ","",IFERROR(INDEX(MMWR_RATING_RO_ROLLUP[],MATCH($B43,MMWR_RATING_RO_ROLLUP[MMWR_RATING_RO_ROLLUP],0),MATCH(I$9,MMWR_RATING_RO_ROLLUP[#Headers],0)),"ERROR"))</f>
        <v>189.12479999999999</v>
      </c>
      <c r="J43" s="42"/>
      <c r="K43" s="42"/>
      <c r="L43" s="42"/>
      <c r="M43" s="42"/>
      <c r="N43" s="42"/>
      <c r="O43" s="42"/>
      <c r="P43" s="28"/>
    </row>
    <row r="44" spans="1:16" x14ac:dyDescent="0.2">
      <c r="A44" s="25"/>
      <c r="B44" s="372" t="s">
        <v>744</v>
      </c>
      <c r="C44" s="373"/>
      <c r="D44" s="373"/>
      <c r="E44" s="373"/>
      <c r="F44" s="373"/>
      <c r="G44" s="373"/>
      <c r="H44" s="373"/>
      <c r="I44" s="373"/>
      <c r="J44" s="373"/>
      <c r="K44" s="373"/>
      <c r="L44" s="373"/>
      <c r="M44" s="373"/>
      <c r="N44" s="373"/>
      <c r="O44" s="373"/>
      <c r="P44" s="28"/>
    </row>
    <row r="45" spans="1:16" x14ac:dyDescent="0.2">
      <c r="A45" s="25"/>
      <c r="B45" s="44" t="s">
        <v>705</v>
      </c>
      <c r="C45" s="155">
        <f>IF($B45=" ","",IFERROR(INDEX(MMWR_RATING_RO_ROLLUP[],MATCH($B45,MMWR_RATING_RO_ROLLUP[MMWR_RATING_RO_ROLLUP],0),MATCH(C$9,MMWR_RATING_RO_ROLLUP[#Headers],0)),"ERROR"))</f>
        <v>10607</v>
      </c>
      <c r="D45" s="156">
        <f>IF($B45=" ","",IFERROR(INDEX(MMWR_RATING_RO_ROLLUP[],MATCH($B45,MMWR_RATING_RO_ROLLUP[MMWR_RATING_RO_ROLLUP],0),MATCH(D$9,MMWR_RATING_RO_ROLLUP[#Headers],0)),"ERROR"))</f>
        <v>60.803337418700004</v>
      </c>
      <c r="E45" s="157">
        <f>IF($B45=" ","",IFERROR(INDEX(MMWR_RATING_RO_ROLLUP[],MATCH($B45,MMWR_RATING_RO_ROLLUP[MMWR_RATING_RO_ROLLUP],0),MATCH(E$9,MMWR_RATING_RO_ROLLUP[#Headers],0))/$C45,"ERROR"))</f>
        <v>0.11973225228622608</v>
      </c>
      <c r="F45" s="155">
        <f>IF($B45=" ","",IFERROR(INDEX(MMWR_RATING_RO_ROLLUP[],MATCH($B45,MMWR_RATING_RO_ROLLUP[MMWR_RATING_RO_ROLLUP],0),MATCH(F$9,MMWR_RATING_RO_ROLLUP[#Headers],0)),"ERROR"))</f>
        <v>244</v>
      </c>
      <c r="G45" s="155">
        <f>IF($B45=" ","",IFERROR(INDEX(MMWR_RATING_RO_ROLLUP[],MATCH($B45,MMWR_RATING_RO_ROLLUP[MMWR_RATING_RO_ROLLUP],0),MATCH(G$9,MMWR_RATING_RO_ROLLUP[#Headers],0)),"ERROR"))</f>
        <v>23860</v>
      </c>
      <c r="H45" s="156">
        <f>IF($B45=" ","",IFERROR(INDEX(MMWR_RATING_RO_ROLLUP[],MATCH($B45,MMWR_RATING_RO_ROLLUP[MMWR_RATING_RO_ROLLUP],0),MATCH(H$9,MMWR_RATING_RO_ROLLUP[#Headers],0)),"ERROR"))</f>
        <v>134.78688524590001</v>
      </c>
      <c r="I45" s="156">
        <f>IF($B45=" ","",IFERROR(INDEX(MMWR_RATING_RO_ROLLUP[],MATCH($B45,MMWR_RATING_RO_ROLLUP[MMWR_RATING_RO_ROLLUP],0),MATCH(I$9,MMWR_RATING_RO_ROLLUP[#Headers],0)),"ERROR"))</f>
        <v>150.68985750210001</v>
      </c>
      <c r="J45" s="42"/>
      <c r="K45" s="42"/>
      <c r="L45" s="42"/>
      <c r="M45" s="42"/>
      <c r="N45" s="42"/>
      <c r="O45" s="42"/>
      <c r="P45" s="28"/>
    </row>
    <row r="46" spans="1:16" x14ac:dyDescent="0.2">
      <c r="A46" s="25"/>
      <c r="B46" s="45" t="s">
        <v>219</v>
      </c>
      <c r="C46" s="155">
        <f>IF($B46=" ","",IFERROR(INDEX(MMWR_RATING_RO_ROLLUP[],MATCH($B46,MMWR_RATING_RO_ROLLUP[MMWR_RATING_RO_ROLLUP],0),MATCH(C$9,MMWR_RATING_RO_ROLLUP[#Headers],0)),"ERROR"))</f>
        <v>3951</v>
      </c>
      <c r="D46" s="156">
        <f>IF($B46=" ","",IFERROR(INDEX(MMWR_RATING_RO_ROLLUP[],MATCH($B46,MMWR_RATING_RO_ROLLUP[MMWR_RATING_RO_ROLLUP],0),MATCH(D$9,MMWR_RATING_RO_ROLLUP[#Headers],0)),"ERROR"))</f>
        <v>55.398380156899997</v>
      </c>
      <c r="E46" s="157">
        <f>IF($B46=" ","",IFERROR(INDEX(MMWR_RATING_RO_ROLLUP[],MATCH($B46,MMWR_RATING_RO_ROLLUP[MMWR_RATING_RO_ROLLUP],0),MATCH(E$9,MMWR_RATING_RO_ROLLUP[#Headers],0))/$C46,"ERROR"))</f>
        <v>7.6689445709946846E-2</v>
      </c>
      <c r="F46" s="155">
        <f>IF($B46=" ","",IFERROR(INDEX(MMWR_RATING_RO_ROLLUP[],MATCH($B46,MMWR_RATING_RO_ROLLUP[MMWR_RATING_RO_ROLLUP],0),MATCH(F$9,MMWR_RATING_RO_ROLLUP[#Headers],0)),"ERROR"))</f>
        <v>120</v>
      </c>
      <c r="G46" s="155">
        <f>IF($B46=" ","",IFERROR(INDEX(MMWR_RATING_RO_ROLLUP[],MATCH($B46,MMWR_RATING_RO_ROLLUP[MMWR_RATING_RO_ROLLUP],0),MATCH(G$9,MMWR_RATING_RO_ROLLUP[#Headers],0)),"ERROR"))</f>
        <v>12340</v>
      </c>
      <c r="H46" s="156">
        <f>IF($B46=" ","",IFERROR(INDEX(MMWR_RATING_RO_ROLLUP[],MATCH($B46,MMWR_RATING_RO_ROLLUP[MMWR_RATING_RO_ROLLUP],0),MATCH(H$9,MMWR_RATING_RO_ROLLUP[#Headers],0)),"ERROR"))</f>
        <v>128.75</v>
      </c>
      <c r="I46" s="156">
        <f>IF($B46=" ","",IFERROR(INDEX(MMWR_RATING_RO_ROLLUP[],MATCH($B46,MMWR_RATING_RO_ROLLUP[MMWR_RATING_RO_ROLLUP],0),MATCH(I$9,MMWR_RATING_RO_ROLLUP[#Headers],0)),"ERROR"))</f>
        <v>166.92674230150001</v>
      </c>
      <c r="J46" s="42"/>
      <c r="K46" s="42"/>
      <c r="L46" s="42"/>
      <c r="M46" s="42"/>
      <c r="N46" s="42"/>
      <c r="O46" s="42"/>
      <c r="P46" s="28"/>
    </row>
    <row r="47" spans="1:16" x14ac:dyDescent="0.2">
      <c r="A47" s="25"/>
      <c r="B47" s="45" t="s">
        <v>221</v>
      </c>
      <c r="C47" s="155">
        <f>IF($B47=" ","",IFERROR(INDEX(MMWR_RATING_RO_ROLLUP[],MATCH($B47,MMWR_RATING_RO_ROLLUP[MMWR_RATING_RO_ROLLUP],0),MATCH(C$9,MMWR_RATING_RO_ROLLUP[#Headers],0)),"ERROR"))</f>
        <v>5965</v>
      </c>
      <c r="D47" s="156">
        <f>IF($B47=" ","",IFERROR(INDEX(MMWR_RATING_RO_ROLLUP[],MATCH($B47,MMWR_RATING_RO_ROLLUP[MMWR_RATING_RO_ROLLUP],0),MATCH(D$9,MMWR_RATING_RO_ROLLUP[#Headers],0)),"ERROR"))</f>
        <v>64.360100586800002</v>
      </c>
      <c r="E47" s="157">
        <f>IF($B47=" ","",IFERROR(INDEX(MMWR_RATING_RO_ROLLUP[],MATCH($B47,MMWR_RATING_RO_ROLLUP[MMWR_RATING_RO_ROLLUP],0),MATCH(E$9,MMWR_RATING_RO_ROLLUP[#Headers],0))/$C47,"ERROR"))</f>
        <v>0.14769488683989943</v>
      </c>
      <c r="F47" s="155">
        <f>IF($B47=" ","",IFERROR(INDEX(MMWR_RATING_RO_ROLLUP[],MATCH($B47,MMWR_RATING_RO_ROLLUP[MMWR_RATING_RO_ROLLUP],0),MATCH(F$9,MMWR_RATING_RO_ROLLUP[#Headers],0)),"ERROR"))</f>
        <v>107</v>
      </c>
      <c r="G47" s="155">
        <f>IF($B47=" ","",IFERROR(INDEX(MMWR_RATING_RO_ROLLUP[],MATCH($B47,MMWR_RATING_RO_ROLLUP[MMWR_RATING_RO_ROLLUP],0),MATCH(G$9,MMWR_RATING_RO_ROLLUP[#Headers],0)),"ERROR"))</f>
        <v>9597</v>
      </c>
      <c r="H47" s="156">
        <f>IF($B47=" ","",IFERROR(INDEX(MMWR_RATING_RO_ROLLUP[],MATCH($B47,MMWR_RATING_RO_ROLLUP[MMWR_RATING_RO_ROLLUP],0),MATCH(H$9,MMWR_RATING_RO_ROLLUP[#Headers],0)),"ERROR"))</f>
        <v>146.53271028040001</v>
      </c>
      <c r="I47" s="156">
        <f>IF($B47=" ","",IFERROR(INDEX(MMWR_RATING_RO_ROLLUP[],MATCH($B47,MMWR_RATING_RO_ROLLUP[MMWR_RATING_RO_ROLLUP],0),MATCH(I$9,MMWR_RATING_RO_ROLLUP[#Headers],0)),"ERROR"))</f>
        <v>131.06856309259999</v>
      </c>
      <c r="J47" s="42"/>
      <c r="K47" s="42"/>
      <c r="L47" s="42"/>
      <c r="M47" s="42"/>
      <c r="N47" s="42"/>
      <c r="O47" s="42"/>
      <c r="P47" s="28"/>
    </row>
    <row r="48" spans="1:16" x14ac:dyDescent="0.2">
      <c r="A48" s="25"/>
      <c r="B48" s="47" t="s">
        <v>317</v>
      </c>
      <c r="C48" s="155">
        <f>IF($B48=" ","",IFERROR(INDEX(MMWR_RATING_RO_ROLLUP[],MATCH($B48,MMWR_RATING_RO_ROLLUP[MMWR_RATING_RO_ROLLUP],0),MATCH(C$9,MMWR_RATING_RO_ROLLUP[#Headers],0)),"ERROR"))</f>
        <v>691</v>
      </c>
      <c r="D48" s="156">
        <f>IF($B48=" ","",IFERROR(INDEX(MMWR_RATING_RO_ROLLUP[],MATCH($B48,MMWR_RATING_RO_ROLLUP[MMWR_RATING_RO_ROLLUP],0),MATCH(D$9,MMWR_RATING_RO_ROLLUP[#Headers],0)),"ERROR"))</f>
        <v>61.004341533999998</v>
      </c>
      <c r="E48" s="157">
        <f>IF($B48=" ","",IFERROR(INDEX(MMWR_RATING_RO_ROLLUP[],MATCH($B48,MMWR_RATING_RO_ROLLUP[MMWR_RATING_RO_ROLLUP],0),MATCH(E$9,MMWR_RATING_RO_ROLLUP[#Headers],0))/$C48,"ERROR"))</f>
        <v>0.12445730824891461</v>
      </c>
      <c r="F48" s="155">
        <f>IF($B48=" ","",IFERROR(INDEX(MMWR_RATING_RO_ROLLUP[],MATCH($B48,MMWR_RATING_RO_ROLLUP[MMWR_RATING_RO_ROLLUP],0),MATCH(F$9,MMWR_RATING_RO_ROLLUP[#Headers],0)),"ERROR"))</f>
        <v>17</v>
      </c>
      <c r="G48" s="155">
        <f>IF($B48=" ","",IFERROR(INDEX(MMWR_RATING_RO_ROLLUP[],MATCH($B48,MMWR_RATING_RO_ROLLUP[MMWR_RATING_RO_ROLLUP],0),MATCH(G$9,MMWR_RATING_RO_ROLLUP[#Headers],0)),"ERROR"))</f>
        <v>1923</v>
      </c>
      <c r="H48" s="156">
        <f>IF($B48=" ","",IFERROR(INDEX(MMWR_RATING_RO_ROLLUP[],MATCH($B48,MMWR_RATING_RO_ROLLUP[MMWR_RATING_RO_ROLLUP],0),MATCH(H$9,MMWR_RATING_RO_ROLLUP[#Headers],0)),"ERROR"))</f>
        <v>103.4705882353</v>
      </c>
      <c r="I48" s="156">
        <f>IF($B48=" ","",IFERROR(INDEX(MMWR_RATING_RO_ROLLUP[],MATCH($B48,MMWR_RATING_RO_ROLLUP[MMWR_RATING_RO_ROLLUP],0),MATCH(I$9,MMWR_RATING_RO_ROLLUP[#Headers],0)),"ERROR"))</f>
        <v>144.41965678630001</v>
      </c>
      <c r="J48" s="42"/>
      <c r="K48" s="42"/>
      <c r="L48" s="42"/>
      <c r="M48" s="42"/>
      <c r="N48" s="42"/>
      <c r="O48" s="42"/>
      <c r="P48" s="28"/>
    </row>
    <row r="49" spans="1:16" ht="12" customHeight="1" x14ac:dyDescent="0.2">
      <c r="A49" s="25"/>
      <c r="B49" s="26"/>
      <c r="C49" s="26"/>
      <c r="D49" s="26"/>
      <c r="E49" s="26"/>
      <c r="F49" s="26"/>
      <c r="G49" s="26"/>
      <c r="H49" s="26"/>
      <c r="I49" s="26"/>
      <c r="J49" s="26"/>
      <c r="K49" s="27" t="s">
        <v>932</v>
      </c>
      <c r="L49" s="27" t="s">
        <v>939</v>
      </c>
      <c r="M49" s="27" t="s">
        <v>940</v>
      </c>
      <c r="N49" s="27" t="s">
        <v>941</v>
      </c>
      <c r="O49" s="27" t="s">
        <v>942</v>
      </c>
      <c r="P49" s="28"/>
    </row>
    <row r="50" spans="1:16" hidden="1" x14ac:dyDescent="0.2"/>
    <row r="51" spans="1:16" hidden="1" x14ac:dyDescent="0.2"/>
    <row r="52" spans="1:16" hidden="1" x14ac:dyDescent="0.2"/>
  </sheetData>
  <sheetProtection password="BD20" sheet="1" autoFilter="0"/>
  <protectedRanges>
    <protectedRange sqref="C45:K48 C40:K43 C13:K13 C34:K38 C15:K32" name="SOJ"/>
  </protectedRanges>
  <mergeCells count="33">
    <mergeCell ref="B44:O44"/>
    <mergeCell ref="D7:E7"/>
    <mergeCell ref="G7:H7"/>
    <mergeCell ref="D8:E8"/>
    <mergeCell ref="G8:H8"/>
    <mergeCell ref="B33:O33"/>
    <mergeCell ref="B39:O39"/>
    <mergeCell ref="C10:O10"/>
    <mergeCell ref="B14:O14"/>
    <mergeCell ref="C11:C12"/>
    <mergeCell ref="D11:D12"/>
    <mergeCell ref="E11:E12"/>
    <mergeCell ref="F11:F12"/>
    <mergeCell ref="G11:G12"/>
    <mergeCell ref="H11:H12"/>
    <mergeCell ref="M8:O8"/>
    <mergeCell ref="L2:O2"/>
    <mergeCell ref="L3:O3"/>
    <mergeCell ref="C4:O4"/>
    <mergeCell ref="C5:O5"/>
    <mergeCell ref="D6:E6"/>
    <mergeCell ref="G6:H6"/>
    <mergeCell ref="C2:K3"/>
    <mergeCell ref="M6:O6"/>
    <mergeCell ref="J6:K6"/>
    <mergeCell ref="J7:K7"/>
    <mergeCell ref="J8:K8"/>
    <mergeCell ref="I11:I12"/>
    <mergeCell ref="L11:M11"/>
    <mergeCell ref="N11:O11"/>
    <mergeCell ref="J11:J12"/>
    <mergeCell ref="K11:K12"/>
    <mergeCell ref="M7:O7"/>
  </mergeCells>
  <conditionalFormatting sqref="A1:P3 P6:P8 L6:M8 A6:J8 A5:P5 A4 C4:P4 A9:P49">
    <cfRule type="expression" dxfId="436" priority="2">
      <formula>IF(OR(ISERROR(A1),A1="ERROR"),TRUE,FALSE)</formula>
    </cfRule>
  </conditionalFormatting>
  <conditionalFormatting sqref="B4">
    <cfRule type="expression" dxfId="435" priority="1">
      <formula>IF(OR(ISERROR(B4),B4="ERROR"),TRUE,FALSE)</formula>
    </cfRule>
  </conditionalFormatting>
  <printOptions horizontalCentered="1" verticalCentered="1"/>
  <pageMargins left="0.25" right="0.25" top="0.75" bottom="0.75" header="0.3" footer="0.3"/>
  <pageSetup scale="6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2" max="24" man="1"/>
  </rowBreaks>
  <ignoredErrors>
    <ignoredError sqref="E15:E32 E13 E34:E38 E40:E43 E45:E48" formula="1"/>
  </ignoredErrors>
  <drawing r:id="rId2"/>
  <legacyDrawing r:id="rId3"/>
  <controls>
    <mc:AlternateContent xmlns:mc="http://schemas.openxmlformats.org/markup-compatibility/2006">
      <mc:Choice Requires="x14">
        <control shapeId="33795" r:id="rId4" name="District_select_SOJ">
          <controlPr defaultSize="0" autoLine="0" linkedCell="B16" listFillRange="Districts" r:id="rId5">
            <anchor>
              <from>
                <xdr:col>1</xdr:col>
                <xdr:colOff>95250</xdr:colOff>
                <xdr:row>4</xdr:row>
                <xdr:rowOff>66675</xdr:rowOff>
              </from>
              <to>
                <xdr:col>1</xdr:col>
                <xdr:colOff>1895475</xdr:colOff>
                <xdr:row>5</xdr:row>
                <xdr:rowOff>123825</xdr:rowOff>
              </to>
            </anchor>
          </controlPr>
        </control>
      </mc:Choice>
      <mc:Fallback>
        <control shapeId="33795" r:id="rId4" name="District_select_SOJ"/>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P51"/>
  <sheetViews>
    <sheetView zoomScale="70" zoomScaleNormal="70" zoomScaleSheetLayoutView="80" workbookViewId="0"/>
  </sheetViews>
  <sheetFormatPr defaultColWidth="0" defaultRowHeight="12.75" customHeight="1" zeroHeight="1" x14ac:dyDescent="0.2"/>
  <cols>
    <col min="1" max="1" width="2.5703125" style="9" customWidth="1"/>
    <col min="2" max="2" width="32.5703125" style="10" customWidth="1"/>
    <col min="3" max="13" width="15" style="10" customWidth="1"/>
    <col min="14" max="14" width="2.85546875" customWidth="1"/>
    <col min="15" max="16384" width="9.140625" hidden="1"/>
  </cols>
  <sheetData>
    <row r="1" spans="1:16" ht="15" customHeight="1" thickBot="1" x14ac:dyDescent="0.25">
      <c r="A1" s="25"/>
      <c r="B1" s="26"/>
      <c r="C1" s="26"/>
      <c r="D1" s="26"/>
      <c r="E1" s="26"/>
      <c r="F1" s="26"/>
      <c r="G1" s="26"/>
      <c r="H1" s="26"/>
      <c r="I1" s="26"/>
      <c r="J1" s="26"/>
      <c r="K1" s="26"/>
      <c r="L1" s="26"/>
      <c r="M1" s="26"/>
      <c r="N1" s="28"/>
    </row>
    <row r="2" spans="1:16" ht="24" customHeight="1" x14ac:dyDescent="0.35">
      <c r="A2" s="25"/>
      <c r="B2" s="29"/>
      <c r="C2" s="352" t="s">
        <v>303</v>
      </c>
      <c r="D2" s="353"/>
      <c r="E2" s="353"/>
      <c r="F2" s="353"/>
      <c r="G2" s="353"/>
      <c r="H2" s="353"/>
      <c r="I2" s="353"/>
      <c r="J2" s="352" t="s">
        <v>309</v>
      </c>
      <c r="K2" s="353"/>
      <c r="L2" s="353"/>
      <c r="M2" s="354"/>
      <c r="N2" s="28"/>
    </row>
    <row r="3" spans="1:16" ht="24" customHeight="1" thickBot="1" x14ac:dyDescent="0.4">
      <c r="A3" s="25"/>
      <c r="B3" s="29"/>
      <c r="C3" s="355"/>
      <c r="D3" s="356"/>
      <c r="E3" s="356"/>
      <c r="F3" s="356"/>
      <c r="G3" s="356"/>
      <c r="H3" s="356"/>
      <c r="I3" s="356"/>
      <c r="J3" s="355" t="str">
        <f>Transformation!B4</f>
        <v>As of: September 05, 2015</v>
      </c>
      <c r="K3" s="356"/>
      <c r="L3" s="356"/>
      <c r="M3" s="357"/>
      <c r="N3" s="28"/>
    </row>
    <row r="4" spans="1:16" ht="51" customHeight="1" thickBot="1" x14ac:dyDescent="0.35">
      <c r="A4" s="30"/>
      <c r="B4" s="249" t="s">
        <v>465</v>
      </c>
      <c r="C4" s="358" t="s">
        <v>982</v>
      </c>
      <c r="D4" s="359"/>
      <c r="E4" s="359"/>
      <c r="F4" s="359"/>
      <c r="G4" s="359"/>
      <c r="H4" s="359"/>
      <c r="I4" s="359"/>
      <c r="J4" s="359"/>
      <c r="K4" s="359"/>
      <c r="L4" s="359"/>
      <c r="M4" s="360"/>
      <c r="N4" s="28"/>
      <c r="O4" s="22"/>
      <c r="P4" s="23"/>
    </row>
    <row r="5" spans="1:16" ht="27" customHeight="1" thickBot="1" x14ac:dyDescent="0.25">
      <c r="A5" s="30"/>
      <c r="B5" s="48"/>
      <c r="C5" s="361" t="s">
        <v>1054</v>
      </c>
      <c r="D5" s="362"/>
      <c r="E5" s="362"/>
      <c r="F5" s="362"/>
      <c r="G5" s="362"/>
      <c r="H5" s="362"/>
      <c r="I5" s="362"/>
      <c r="J5" s="362"/>
      <c r="K5" s="362"/>
      <c r="L5" s="362"/>
      <c r="M5" s="362"/>
      <c r="N5" s="362"/>
      <c r="O5" s="363"/>
    </row>
    <row r="6" spans="1:16" ht="55.5" customHeight="1" x14ac:dyDescent="0.2">
      <c r="A6" s="30"/>
      <c r="B6" s="31"/>
      <c r="C6" s="32" t="s">
        <v>198</v>
      </c>
      <c r="D6" s="364" t="s">
        <v>16</v>
      </c>
      <c r="E6" s="365"/>
      <c r="F6" s="33" t="s">
        <v>201</v>
      </c>
      <c r="G6" s="364" t="s">
        <v>206</v>
      </c>
      <c r="H6" s="366"/>
      <c r="I6" s="33" t="s">
        <v>204</v>
      </c>
      <c r="J6" s="49" t="s">
        <v>14</v>
      </c>
      <c r="K6" s="33" t="s">
        <v>209</v>
      </c>
      <c r="L6" s="370" t="s">
        <v>88</v>
      </c>
      <c r="M6" s="393"/>
      <c r="N6" s="28"/>
    </row>
    <row r="7" spans="1:16" ht="51.75" customHeight="1" x14ac:dyDescent="0.2">
      <c r="A7" s="30"/>
      <c r="B7" s="34"/>
      <c r="C7" s="35" t="s">
        <v>199</v>
      </c>
      <c r="D7" s="374" t="s">
        <v>0</v>
      </c>
      <c r="E7" s="375"/>
      <c r="F7" s="36" t="s">
        <v>202</v>
      </c>
      <c r="G7" s="376" t="s">
        <v>207</v>
      </c>
      <c r="H7" s="376"/>
      <c r="I7" s="36" t="s">
        <v>205</v>
      </c>
      <c r="J7" s="50" t="s">
        <v>19</v>
      </c>
      <c r="K7" s="36" t="s">
        <v>210</v>
      </c>
      <c r="L7" s="389" t="s">
        <v>90</v>
      </c>
      <c r="M7" s="390"/>
      <c r="N7" s="28"/>
    </row>
    <row r="8" spans="1:16" ht="51.75" customHeight="1" thickBot="1" x14ac:dyDescent="0.25">
      <c r="A8" s="25"/>
      <c r="B8" s="28"/>
      <c r="C8" s="37" t="s">
        <v>200</v>
      </c>
      <c r="D8" s="377" t="s">
        <v>18</v>
      </c>
      <c r="E8" s="378"/>
      <c r="F8" s="38" t="s">
        <v>203</v>
      </c>
      <c r="G8" s="379" t="s">
        <v>17</v>
      </c>
      <c r="H8" s="379"/>
      <c r="I8" s="38" t="s">
        <v>208</v>
      </c>
      <c r="J8" s="51" t="s">
        <v>87</v>
      </c>
      <c r="K8" s="38" t="s">
        <v>211</v>
      </c>
      <c r="L8" s="391" t="s">
        <v>89</v>
      </c>
      <c r="M8" s="392"/>
      <c r="N8" s="28"/>
    </row>
    <row r="9" spans="1:16" x14ac:dyDescent="0.2">
      <c r="A9" s="28"/>
      <c r="B9" s="28"/>
      <c r="C9" s="39" t="s">
        <v>709</v>
      </c>
      <c r="D9" s="39" t="s">
        <v>711</v>
      </c>
      <c r="E9" s="39" t="s">
        <v>710</v>
      </c>
      <c r="F9" s="39" t="s">
        <v>713</v>
      </c>
      <c r="G9" s="39" t="s">
        <v>712</v>
      </c>
      <c r="H9" s="39" t="s">
        <v>723</v>
      </c>
      <c r="I9" s="39" t="s">
        <v>722</v>
      </c>
      <c r="J9" s="39"/>
      <c r="K9" s="39"/>
      <c r="L9" s="39"/>
      <c r="M9" s="39"/>
      <c r="N9" s="28"/>
    </row>
    <row r="10" spans="1:16" ht="15.75" customHeight="1" x14ac:dyDescent="0.2">
      <c r="A10" s="25"/>
      <c r="B10" s="26"/>
      <c r="C10" s="380" t="s">
        <v>302</v>
      </c>
      <c r="D10" s="380"/>
      <c r="E10" s="380"/>
      <c r="F10" s="380"/>
      <c r="G10" s="380"/>
      <c r="H10" s="380"/>
      <c r="I10" s="380"/>
      <c r="J10" s="380"/>
      <c r="K10" s="380"/>
      <c r="L10" s="380"/>
      <c r="M10" s="384"/>
      <c r="N10" s="28"/>
    </row>
    <row r="11" spans="1:16" ht="64.5" customHeight="1" x14ac:dyDescent="0.2">
      <c r="A11" s="25"/>
      <c r="B11" s="26"/>
      <c r="C11" s="52" t="s">
        <v>234</v>
      </c>
      <c r="D11" s="52" t="s">
        <v>140</v>
      </c>
      <c r="E11" s="52" t="s">
        <v>235</v>
      </c>
      <c r="F11" s="52" t="s">
        <v>195</v>
      </c>
      <c r="G11" s="52" t="s">
        <v>212</v>
      </c>
      <c r="H11" s="52" t="s">
        <v>214</v>
      </c>
      <c r="I11" s="52" t="s">
        <v>215</v>
      </c>
      <c r="J11" s="386" t="s">
        <v>983</v>
      </c>
      <c r="K11" s="387"/>
      <c r="L11" s="387"/>
      <c r="M11" s="388"/>
      <c r="N11" s="28"/>
    </row>
    <row r="12" spans="1:16" x14ac:dyDescent="0.2">
      <c r="A12" s="25"/>
      <c r="B12" s="41" t="s">
        <v>739</v>
      </c>
      <c r="C12" s="155">
        <f>IF($B12=" ","",IFERROR(INDEX(MMWR_RATING_RO_ROLLUP[],MATCH($B12,MMWR_RATING_RO_ROLLUP[MMWR_RATING_RO_ROLLUP],0),MATCH(C$9,MMWR_RATING_RO_ROLLUP[#Headers],0)),"ERROR"))</f>
        <v>366703</v>
      </c>
      <c r="D12" s="156">
        <f>IF($B12=" ","",IFERROR(INDEX(MMWR_RATING_RO_ROLLUP[],MATCH($B12,MMWR_RATING_RO_ROLLUP[MMWR_RATING_RO_ROLLUP],0),MATCH(D$9,MMWR_RATING_RO_ROLLUP[#Headers],0)),"ERROR"))</f>
        <v>99.672825147300003</v>
      </c>
      <c r="E12" s="157">
        <f>IF($B12=" ","",IFERROR(INDEX(MMWR_RATING_RO_ROLLUP[],MATCH($B12,MMWR_RATING_RO_ROLLUP[MMWR_RATING_RO_ROLLUP],0),MATCH(E$9,MMWR_RATING_RO_ROLLUP[#Headers],0))/$C12,"ERROR"))</f>
        <v>0.25024065797116468</v>
      </c>
      <c r="F12" s="155">
        <f>IF($B12=" ","",IFERROR(INDEX(MMWR_RATING_RO_ROLLUP[],MATCH($B12,MMWR_RATING_RO_ROLLUP[MMWR_RATING_RO_ROLLUP],0),MATCH(F$9,MMWR_RATING_RO_ROLLUP[#Headers],0)),"ERROR"))</f>
        <v>16052</v>
      </c>
      <c r="G12" s="155">
        <f>IF($B12=" ","",IFERROR(INDEX(MMWR_RATING_RO_ROLLUP[],MATCH($B12,MMWR_RATING_RO_ROLLUP[MMWR_RATING_RO_ROLLUP],0),MATCH(G$9,MMWR_RATING_RO_ROLLUP[#Headers],0)),"ERROR"))</f>
        <v>1296846</v>
      </c>
      <c r="H12" s="156">
        <f>IF($B12=" ","",IFERROR(INDEX(MMWR_RATING_RO_ROLLUP[],MATCH($B12,MMWR_RATING_RO_ROLLUP[MMWR_RATING_RO_ROLLUP],0),MATCH(H$9,MMWR_RATING_RO_ROLLUP[#Headers],0)),"ERROR"))</f>
        <v>143.27952903069999</v>
      </c>
      <c r="I12" s="156">
        <f>IF($B12=" ","",IFERROR(INDEX(MMWR_RATING_RO_ROLLUP[],MATCH($B12,MMWR_RATING_RO_ROLLUP[MMWR_RATING_RO_ROLLUP],0),MATCH(I$9,MMWR_RATING_RO_ROLLUP[#Headers],0)),"ERROR"))</f>
        <v>171.00234646210001</v>
      </c>
      <c r="J12" s="42"/>
      <c r="K12" s="42"/>
      <c r="L12" s="42"/>
      <c r="M12" s="42"/>
      <c r="N12" s="28"/>
    </row>
    <row r="13" spans="1:16" x14ac:dyDescent="0.2">
      <c r="A13" s="25"/>
      <c r="B13" s="372" t="s">
        <v>742</v>
      </c>
      <c r="C13" s="373"/>
      <c r="D13" s="373"/>
      <c r="E13" s="373"/>
      <c r="F13" s="373"/>
      <c r="G13" s="373"/>
      <c r="H13" s="373"/>
      <c r="I13" s="373"/>
      <c r="J13" s="373"/>
      <c r="K13" s="373"/>
      <c r="L13" s="373"/>
      <c r="M13" s="385"/>
      <c r="N13" s="28"/>
    </row>
    <row r="14" spans="1:16" x14ac:dyDescent="0.2">
      <c r="A14" s="25"/>
      <c r="B14" s="41" t="s">
        <v>738</v>
      </c>
      <c r="C14" s="155">
        <f>IF($B14=" ","",IFERROR(INDEX(MMWR_RATING_RO_ROLLUP[],MATCH($B14,MMWR_RATING_RO_ROLLUP[MMWR_RATING_RO_ROLLUP],0),MATCH(C$9,MMWR_RATING_RO_ROLLUP[#Headers],0)),"ERROR"))</f>
        <v>327199</v>
      </c>
      <c r="D14" s="156">
        <f>IF($B14=" ","",IFERROR(INDEX(MMWR_RATING_RO_ROLLUP[],MATCH($B14,MMWR_RATING_RO_ROLLUP[MMWR_RATING_RO_ROLLUP],0),MATCH(D$9,MMWR_RATING_RO_ROLLUP[#Headers],0)),"ERROR"))</f>
        <v>104.34102488089999</v>
      </c>
      <c r="E14" s="157">
        <f>IF($B14=" ","",IFERROR(INDEX(MMWR_RATING_RO_ROLLUP[],MATCH($B14,MMWR_RATING_RO_ROLLUP[MMWR_RATING_RO_ROLLUP],0),MATCH(E$9,MMWR_RATING_RO_ROLLUP[#Headers],0))/$C14,"ERROR"))</f>
        <v>0.26715851821063025</v>
      </c>
      <c r="F14" s="155">
        <f>IF($B14=" ","",IFERROR(INDEX(MMWR_RATING_RO_ROLLUP[],MATCH($B14,MMWR_RATING_RO_ROLLUP[MMWR_RATING_RO_ROLLUP],0),MATCH(F$9,MMWR_RATING_RO_ROLLUP[#Headers],0)),"ERROR"))</f>
        <v>13294</v>
      </c>
      <c r="G14" s="155">
        <f>IF($B14=" ","",IFERROR(INDEX(MMWR_RATING_RO_ROLLUP[],MATCH($B14,MMWR_RATING_RO_ROLLUP[MMWR_RATING_RO_ROLLUP],0),MATCH(G$9,MMWR_RATING_RO_ROLLUP[#Headers],0)),"ERROR"))</f>
        <v>1106067</v>
      </c>
      <c r="H14" s="156">
        <f>IF($B14=" ","",IFERROR(INDEX(MMWR_RATING_RO_ROLLUP[],MATCH($B14,MMWR_RATING_RO_ROLLUP[MMWR_RATING_RO_ROLLUP],0),MATCH(H$9,MMWR_RATING_RO_ROLLUP[#Headers],0)),"ERROR"))</f>
        <v>157.22295772530001</v>
      </c>
      <c r="I14" s="156">
        <f>IF($B14=" ","",IFERROR(INDEX(MMWR_RATING_RO_ROLLUP[],MATCH($B14,MMWR_RATING_RO_ROLLUP[MMWR_RATING_RO_ROLLUP],0),MATCH(I$9,MMWR_RATING_RO_ROLLUP[#Headers],0)),"ERROR"))</f>
        <v>186.02905701009999</v>
      </c>
      <c r="J14" s="42"/>
      <c r="K14" s="42"/>
      <c r="L14" s="42"/>
      <c r="M14" s="42"/>
      <c r="N14" s="28"/>
    </row>
    <row r="15" spans="1:16" x14ac:dyDescent="0.2">
      <c r="A15" s="25"/>
      <c r="B15" s="250" t="s">
        <v>379</v>
      </c>
      <c r="C15" s="155">
        <f>IF($B15=" ","",IFERROR(INDEX(MMWR_RATING_RO_ROLLUP[],MATCH($B15,MMWR_RATING_RO_ROLLUP[MMWR_RATING_RO_ROLLUP],0),MATCH(C$9,MMWR_RATING_RO_ROLLUP[#Headers],0)),"ERROR"))</f>
        <v>71973</v>
      </c>
      <c r="D15" s="156">
        <f>IF($B15=" ","",IFERROR(INDEX(MMWR_RATING_RO_ROLLUP[],MATCH($B15,MMWR_RATING_RO_ROLLUP[MMWR_RATING_RO_ROLLUP],0),MATCH(D$9,MMWR_RATING_RO_ROLLUP[#Headers],0)),"ERROR"))</f>
        <v>104.8291859447</v>
      </c>
      <c r="E15" s="157">
        <f>IF($B15=" ","",IFERROR(INDEX(MMWR_RATING_RO_ROLLUP[],MATCH($B15,MMWR_RATING_RO_ROLLUP[MMWR_RATING_RO_ROLLUP],0),MATCH(E$9,MMWR_RATING_RO_ROLLUP[#Headers],0))/$C15,"ERROR"))</f>
        <v>0.27099051033026272</v>
      </c>
      <c r="F15" s="155">
        <f>IF($B15=" ","",IFERROR(INDEX(MMWR_RATING_RO_ROLLUP[],MATCH($B15,MMWR_RATING_RO_ROLLUP[MMWR_RATING_RO_ROLLUP],0),MATCH(F$9,MMWR_RATING_RO_ROLLUP[#Headers],0)),"ERROR"))</f>
        <v>2772</v>
      </c>
      <c r="G15" s="155">
        <f>IF($B15=" ","",IFERROR(INDEX(MMWR_RATING_RO_ROLLUP[],MATCH($B15,MMWR_RATING_RO_ROLLUP[MMWR_RATING_RO_ROLLUP],0),MATCH(G$9,MMWR_RATING_RO_ROLLUP[#Headers],0)),"ERROR"))</f>
        <v>243952</v>
      </c>
      <c r="H15" s="156">
        <f>IF($B15=" ","",IFERROR(INDEX(MMWR_RATING_RO_ROLLUP[],MATCH($B15,MMWR_RATING_RO_ROLLUP[MMWR_RATING_RO_ROLLUP],0),MATCH(H$9,MMWR_RATING_RO_ROLLUP[#Headers],0)),"ERROR"))</f>
        <v>157.566017316</v>
      </c>
      <c r="I15" s="156">
        <f>IF($B15=" ","",IFERROR(INDEX(MMWR_RATING_RO_ROLLUP[],MATCH($B15,MMWR_RATING_RO_ROLLUP[MMWR_RATING_RO_ROLLUP],0),MATCH(I$9,MMWR_RATING_RO_ROLLUP[#Headers],0)),"ERROR"))</f>
        <v>190.85034351019999</v>
      </c>
      <c r="J15" s="42"/>
      <c r="K15" s="42"/>
      <c r="L15" s="42"/>
      <c r="M15" s="42"/>
      <c r="N15" s="28"/>
    </row>
    <row r="16" spans="1:16" x14ac:dyDescent="0.2">
      <c r="A16" s="25"/>
      <c r="B16" s="8" t="str">
        <f>VLOOKUP($B$15,DISTRICT_RO[],2,0)</f>
        <v>Baltimore VSC</v>
      </c>
      <c r="C16" s="155">
        <f>IF($B16=" ","",IFERROR(INDEX(MMWR_RATING_RO_ROLLUP[],MATCH($B16,MMWR_RATING_RO_ROLLUP[MMWR_RATING_RO_ROLLUP],0),MATCH(C$9,MMWR_RATING_RO_ROLLUP[#Headers],0)),"ERROR"))</f>
        <v>4722</v>
      </c>
      <c r="D16" s="156">
        <f>IF($B16=" ","",IFERROR(INDEX(MMWR_RATING_RO_ROLLUP[],MATCH($B16,MMWR_RATING_RO_ROLLUP[MMWR_RATING_RO_ROLLUP],0),MATCH(D$9,MMWR_RATING_RO_ROLLUP[#Headers],0)),"ERROR"))</f>
        <v>114.8377806014</v>
      </c>
      <c r="E16" s="157">
        <f>IF($B16=" ","",IFERROR(INDEX(MMWR_RATING_RO_ROLLUP[],MATCH($B16,MMWR_RATING_RO_ROLLUP[MMWR_RATING_RO_ROLLUP],0),MATCH(E$9,MMWR_RATING_RO_ROLLUP[#Headers],0))/$C16,"ERROR"))</f>
        <v>0.27255400254129608</v>
      </c>
      <c r="F16" s="155">
        <f>IF($B16=" ","",IFERROR(INDEX(MMWR_RATING_RO_ROLLUP[],MATCH($B16,MMWR_RATING_RO_ROLLUP[MMWR_RATING_RO_ROLLUP],0),MATCH(F$9,MMWR_RATING_RO_ROLLUP[#Headers],0)),"ERROR"))</f>
        <v>150</v>
      </c>
      <c r="G16" s="155">
        <f>IF($B16=" ","",IFERROR(INDEX(MMWR_RATING_RO_ROLLUP[],MATCH($B16,MMWR_RATING_RO_ROLLUP[MMWR_RATING_RO_ROLLUP],0),MATCH(G$9,MMWR_RATING_RO_ROLLUP[#Headers],0)),"ERROR"))</f>
        <v>18512</v>
      </c>
      <c r="H16" s="156">
        <f>IF($B16=" ","",IFERROR(INDEX(MMWR_RATING_RO_ROLLUP[],MATCH($B16,MMWR_RATING_RO_ROLLUP[MMWR_RATING_RO_ROLLUP],0),MATCH(H$9,MMWR_RATING_RO_ROLLUP[#Headers],0)),"ERROR"))</f>
        <v>200.07333333330001</v>
      </c>
      <c r="I16" s="156">
        <f>IF($B16=" ","",IFERROR(INDEX(MMWR_RATING_RO_ROLLUP[],MATCH($B16,MMWR_RATING_RO_ROLLUP[MMWR_RATING_RO_ROLLUP],0),MATCH(I$9,MMWR_RATING_RO_ROLLUP[#Headers],0)),"ERROR"))</f>
        <v>247.8547428695</v>
      </c>
      <c r="J16" s="42"/>
      <c r="K16" s="42"/>
      <c r="L16" s="42"/>
      <c r="M16" s="42"/>
      <c r="N16" s="28"/>
    </row>
    <row r="17" spans="1:14" x14ac:dyDescent="0.2">
      <c r="A17" s="25"/>
      <c r="B17" s="8" t="str">
        <f>VLOOKUP($B$15,DISTRICT_RO[],3,0)</f>
        <v>Boston VSC</v>
      </c>
      <c r="C17" s="155">
        <f>IF($B17=" ","",IFERROR(INDEX(MMWR_RATING_RO_ROLLUP[],MATCH($B17,MMWR_RATING_RO_ROLLUP[MMWR_RATING_RO_ROLLUP],0),MATCH(C$9,MMWR_RATING_RO_ROLLUP[#Headers],0)),"ERROR"))</f>
        <v>3741</v>
      </c>
      <c r="D17" s="156">
        <f>IF($B17=" ","",IFERROR(INDEX(MMWR_RATING_RO_ROLLUP[],MATCH($B17,MMWR_RATING_RO_ROLLUP[MMWR_RATING_RO_ROLLUP],0),MATCH(D$9,MMWR_RATING_RO_ROLLUP[#Headers],0)),"ERROR"))</f>
        <v>103.02539427959999</v>
      </c>
      <c r="E17" s="157">
        <f>IF($B17=" ","",IFERROR(INDEX(MMWR_RATING_RO_ROLLUP[],MATCH($B17,MMWR_RATING_RO_ROLLUP[MMWR_RATING_RO_ROLLUP],0),MATCH(E$9,MMWR_RATING_RO_ROLLUP[#Headers],0))/$C17,"ERROR"))</f>
        <v>0.27612937717187919</v>
      </c>
      <c r="F17" s="155">
        <f>IF($B17=" ","",IFERROR(INDEX(MMWR_RATING_RO_ROLLUP[],MATCH($B17,MMWR_RATING_RO_ROLLUP[MMWR_RATING_RO_ROLLUP],0),MATCH(F$9,MMWR_RATING_RO_ROLLUP[#Headers],0)),"ERROR"))</f>
        <v>120</v>
      </c>
      <c r="G17" s="155">
        <f>IF($B17=" ","",IFERROR(INDEX(MMWR_RATING_RO_ROLLUP[],MATCH($B17,MMWR_RATING_RO_ROLLUP[MMWR_RATING_RO_ROLLUP],0),MATCH(G$9,MMWR_RATING_RO_ROLLUP[#Headers],0)),"ERROR"))</f>
        <v>11487</v>
      </c>
      <c r="H17" s="156">
        <f>IF($B17=" ","",IFERROR(INDEX(MMWR_RATING_RO_ROLLUP[],MATCH($B17,MMWR_RATING_RO_ROLLUP[MMWR_RATING_RO_ROLLUP],0),MATCH(H$9,MMWR_RATING_RO_ROLLUP[#Headers],0)),"ERROR"))</f>
        <v>171.21666666670001</v>
      </c>
      <c r="I17" s="156">
        <f>IF($B17=" ","",IFERROR(INDEX(MMWR_RATING_RO_ROLLUP[],MATCH($B17,MMWR_RATING_RO_ROLLUP[MMWR_RATING_RO_ROLLUP],0),MATCH(I$9,MMWR_RATING_RO_ROLLUP[#Headers],0)),"ERROR"))</f>
        <v>212.42221641859999</v>
      </c>
      <c r="J17" s="42"/>
      <c r="K17" s="42"/>
      <c r="L17" s="42"/>
      <c r="M17" s="42"/>
      <c r="N17" s="28"/>
    </row>
    <row r="18" spans="1:14" x14ac:dyDescent="0.2">
      <c r="A18" s="25"/>
      <c r="B18" s="8" t="str">
        <f>VLOOKUP($B$15,DISTRICT_RO[],4,0)</f>
        <v>Buffalo VSC</v>
      </c>
      <c r="C18" s="155">
        <f>IF($B18=" ","",IFERROR(INDEX(MMWR_RATING_RO_ROLLUP[],MATCH($B18,MMWR_RATING_RO_ROLLUP[MMWR_RATING_RO_ROLLUP],0),MATCH(C$9,MMWR_RATING_RO_ROLLUP[#Headers],0)),"ERROR"))</f>
        <v>4435</v>
      </c>
      <c r="D18" s="156">
        <f>IF($B18=" ","",IFERROR(INDEX(MMWR_RATING_RO_ROLLUP[],MATCH($B18,MMWR_RATING_RO_ROLLUP[MMWR_RATING_RO_ROLLUP],0),MATCH(D$9,MMWR_RATING_RO_ROLLUP[#Headers],0)),"ERROR"))</f>
        <v>103.47237880500001</v>
      </c>
      <c r="E18" s="157">
        <f>IF($B18=" ","",IFERROR(INDEX(MMWR_RATING_RO_ROLLUP[],MATCH($B18,MMWR_RATING_RO_ROLLUP[MMWR_RATING_RO_ROLLUP],0),MATCH(E$9,MMWR_RATING_RO_ROLLUP[#Headers],0))/$C18,"ERROR"))</f>
        <v>0.257271702367531</v>
      </c>
      <c r="F18" s="155">
        <f>IF($B18=" ","",IFERROR(INDEX(MMWR_RATING_RO_ROLLUP[],MATCH($B18,MMWR_RATING_RO_ROLLUP[MMWR_RATING_RO_ROLLUP],0),MATCH(F$9,MMWR_RATING_RO_ROLLUP[#Headers],0)),"ERROR"))</f>
        <v>178</v>
      </c>
      <c r="G18" s="155">
        <f>IF($B18=" ","",IFERROR(INDEX(MMWR_RATING_RO_ROLLUP[],MATCH($B18,MMWR_RATING_RO_ROLLUP[MMWR_RATING_RO_ROLLUP],0),MATCH(G$9,MMWR_RATING_RO_ROLLUP[#Headers],0)),"ERROR"))</f>
        <v>12593</v>
      </c>
      <c r="H18" s="156">
        <f>IF($B18=" ","",IFERROR(INDEX(MMWR_RATING_RO_ROLLUP[],MATCH($B18,MMWR_RATING_RO_ROLLUP[MMWR_RATING_RO_ROLLUP],0),MATCH(H$9,MMWR_RATING_RO_ROLLUP[#Headers],0)),"ERROR"))</f>
        <v>172.75842696629999</v>
      </c>
      <c r="I18" s="156">
        <f>IF($B18=" ","",IFERROR(INDEX(MMWR_RATING_RO_ROLLUP[],MATCH($B18,MMWR_RATING_RO_ROLLUP[MMWR_RATING_RO_ROLLUP],0),MATCH(I$9,MMWR_RATING_RO_ROLLUP[#Headers],0)),"ERROR"))</f>
        <v>208.50933058050001</v>
      </c>
      <c r="J18" s="42"/>
      <c r="K18" s="42"/>
      <c r="L18" s="42"/>
      <c r="M18" s="42"/>
      <c r="N18" s="28"/>
    </row>
    <row r="19" spans="1:14" x14ac:dyDescent="0.2">
      <c r="A19" s="25"/>
      <c r="B19" s="8" t="str">
        <f>VLOOKUP($B$15,DISTRICT_RO[],5,0)</f>
        <v>Hartford VSC</v>
      </c>
      <c r="C19" s="155">
        <f>IF($B19=" ","",IFERROR(INDEX(MMWR_RATING_RO_ROLLUP[],MATCH($B19,MMWR_RATING_RO_ROLLUP[MMWR_RATING_RO_ROLLUP],0),MATCH(C$9,MMWR_RATING_RO_ROLLUP[#Headers],0)),"ERROR"))</f>
        <v>1775</v>
      </c>
      <c r="D19" s="156">
        <f>IF($B19=" ","",IFERROR(INDEX(MMWR_RATING_RO_ROLLUP[],MATCH($B19,MMWR_RATING_RO_ROLLUP[MMWR_RATING_RO_ROLLUP],0),MATCH(D$9,MMWR_RATING_RO_ROLLUP[#Headers],0)),"ERROR"))</f>
        <v>90.943098591500004</v>
      </c>
      <c r="E19" s="157">
        <f>IF($B19=" ","",IFERROR(INDEX(MMWR_RATING_RO_ROLLUP[],MATCH($B19,MMWR_RATING_RO_ROLLUP[MMWR_RATING_RO_ROLLUP],0),MATCH(E$9,MMWR_RATING_RO_ROLLUP[#Headers],0))/$C19,"ERROR"))</f>
        <v>0.2163380281690141</v>
      </c>
      <c r="F19" s="155">
        <f>IF($B19=" ","",IFERROR(INDEX(MMWR_RATING_RO_ROLLUP[],MATCH($B19,MMWR_RATING_RO_ROLLUP[MMWR_RATING_RO_ROLLUP],0),MATCH(F$9,MMWR_RATING_RO_ROLLUP[#Headers],0)),"ERROR"))</f>
        <v>78</v>
      </c>
      <c r="G19" s="155">
        <f>IF($B19=" ","",IFERROR(INDEX(MMWR_RATING_RO_ROLLUP[],MATCH($B19,MMWR_RATING_RO_ROLLUP[MMWR_RATING_RO_ROLLUP],0),MATCH(G$9,MMWR_RATING_RO_ROLLUP[#Headers],0)),"ERROR"))</f>
        <v>6085</v>
      </c>
      <c r="H19" s="156">
        <f>IF($B19=" ","",IFERROR(INDEX(MMWR_RATING_RO_ROLLUP[],MATCH($B19,MMWR_RATING_RO_ROLLUP[MMWR_RATING_RO_ROLLUP],0),MATCH(H$9,MMWR_RATING_RO_ROLLUP[#Headers],0)),"ERROR"))</f>
        <v>147.4615384615</v>
      </c>
      <c r="I19" s="156">
        <f>IF($B19=" ","",IFERROR(INDEX(MMWR_RATING_RO_ROLLUP[],MATCH($B19,MMWR_RATING_RO_ROLLUP[MMWR_RATING_RO_ROLLUP],0),MATCH(I$9,MMWR_RATING_RO_ROLLUP[#Headers],0)),"ERROR"))</f>
        <v>150.93147082990001</v>
      </c>
      <c r="J19" s="42"/>
      <c r="K19" s="42"/>
      <c r="L19" s="42"/>
      <c r="M19" s="42"/>
      <c r="N19" s="28"/>
    </row>
    <row r="20" spans="1:14" x14ac:dyDescent="0.2">
      <c r="A20" s="25"/>
      <c r="B20" s="8" t="str">
        <f>VLOOKUP($B$15,DISTRICT_RO[],6,0)</f>
        <v>Huntington VSC</v>
      </c>
      <c r="C20" s="155">
        <f>IF($B20=" ","",IFERROR(INDEX(MMWR_RATING_RO_ROLLUP[],MATCH($B20,MMWR_RATING_RO_ROLLUP[MMWR_RATING_RO_ROLLUP],0),MATCH(C$9,MMWR_RATING_RO_ROLLUP[#Headers],0)),"ERROR"))</f>
        <v>2156</v>
      </c>
      <c r="D20" s="156">
        <f>IF($B20=" ","",IFERROR(INDEX(MMWR_RATING_RO_ROLLUP[],MATCH($B20,MMWR_RATING_RO_ROLLUP[MMWR_RATING_RO_ROLLUP],0),MATCH(D$9,MMWR_RATING_RO_ROLLUP[#Headers],0)),"ERROR"))</f>
        <v>88.044063079799997</v>
      </c>
      <c r="E20" s="157">
        <f>IF($B20=" ","",IFERROR(INDEX(MMWR_RATING_RO_ROLLUP[],MATCH($B20,MMWR_RATING_RO_ROLLUP[MMWR_RATING_RO_ROLLUP],0),MATCH(E$9,MMWR_RATING_RO_ROLLUP[#Headers],0))/$C20,"ERROR"))</f>
        <v>0.21335807050092764</v>
      </c>
      <c r="F20" s="155">
        <f>IF($B20=" ","",IFERROR(INDEX(MMWR_RATING_RO_ROLLUP[],MATCH($B20,MMWR_RATING_RO_ROLLUP[MMWR_RATING_RO_ROLLUP],0),MATCH(F$9,MMWR_RATING_RO_ROLLUP[#Headers],0)),"ERROR"))</f>
        <v>81</v>
      </c>
      <c r="G20" s="155">
        <f>IF($B20=" ","",IFERROR(INDEX(MMWR_RATING_RO_ROLLUP[],MATCH($B20,MMWR_RATING_RO_ROLLUP[MMWR_RATING_RO_ROLLUP],0),MATCH(G$9,MMWR_RATING_RO_ROLLUP[#Headers],0)),"ERROR"))</f>
        <v>8789</v>
      </c>
      <c r="H20" s="156">
        <f>IF($B20=" ","",IFERROR(INDEX(MMWR_RATING_RO_ROLLUP[],MATCH($B20,MMWR_RATING_RO_ROLLUP[MMWR_RATING_RO_ROLLUP],0),MATCH(H$9,MMWR_RATING_RO_ROLLUP[#Headers],0)),"ERROR"))</f>
        <v>115.55555555559999</v>
      </c>
      <c r="I20" s="156">
        <f>IF($B20=" ","",IFERROR(INDEX(MMWR_RATING_RO_ROLLUP[],MATCH($B20,MMWR_RATING_RO_ROLLUP[MMWR_RATING_RO_ROLLUP],0),MATCH(I$9,MMWR_RATING_RO_ROLLUP[#Headers],0)),"ERROR"))</f>
        <v>142.22676072359999</v>
      </c>
      <c r="J20" s="42"/>
      <c r="K20" s="42"/>
      <c r="L20" s="42"/>
      <c r="M20" s="42"/>
      <c r="N20" s="28"/>
    </row>
    <row r="21" spans="1:14" x14ac:dyDescent="0.2">
      <c r="A21" s="25"/>
      <c r="B21" s="8" t="str">
        <f>VLOOKUP($B$15,DISTRICT_RO[],7,0)</f>
        <v>Manchester VSC</v>
      </c>
      <c r="C21" s="155">
        <f>IF($B21=" ","",IFERROR(INDEX(MMWR_RATING_RO_ROLLUP[],MATCH($B21,MMWR_RATING_RO_ROLLUP[MMWR_RATING_RO_ROLLUP],0),MATCH(C$9,MMWR_RATING_RO_ROLLUP[#Headers],0)),"ERROR"))</f>
        <v>1303</v>
      </c>
      <c r="D21" s="156">
        <f>IF($B21=" ","",IFERROR(INDEX(MMWR_RATING_RO_ROLLUP[],MATCH($B21,MMWR_RATING_RO_ROLLUP[MMWR_RATING_RO_ROLLUP],0),MATCH(D$9,MMWR_RATING_RO_ROLLUP[#Headers],0)),"ERROR"))</f>
        <v>87.416730621599996</v>
      </c>
      <c r="E21" s="157">
        <f>IF($B21=" ","",IFERROR(INDEX(MMWR_RATING_RO_ROLLUP[],MATCH($B21,MMWR_RATING_RO_ROLLUP[MMWR_RATING_RO_ROLLUP],0),MATCH(E$9,MMWR_RATING_RO_ROLLUP[#Headers],0))/$C21,"ERROR"))</f>
        <v>0.19723714504988488</v>
      </c>
      <c r="F21" s="155">
        <f>IF($B21=" ","",IFERROR(INDEX(MMWR_RATING_RO_ROLLUP[],MATCH($B21,MMWR_RATING_RO_ROLLUP[MMWR_RATING_RO_ROLLUP],0),MATCH(F$9,MMWR_RATING_RO_ROLLUP[#Headers],0)),"ERROR"))</f>
        <v>41</v>
      </c>
      <c r="G21" s="155">
        <f>IF($B21=" ","",IFERROR(INDEX(MMWR_RATING_RO_ROLLUP[],MATCH($B21,MMWR_RATING_RO_ROLLUP[MMWR_RATING_RO_ROLLUP],0),MATCH(G$9,MMWR_RATING_RO_ROLLUP[#Headers],0)),"ERROR"))</f>
        <v>3781</v>
      </c>
      <c r="H21" s="156">
        <f>IF($B21=" ","",IFERROR(INDEX(MMWR_RATING_RO_ROLLUP[],MATCH($B21,MMWR_RATING_RO_ROLLUP[MMWR_RATING_RO_ROLLUP],0),MATCH(H$9,MMWR_RATING_RO_ROLLUP[#Headers],0)),"ERROR"))</f>
        <v>136.29268292680001</v>
      </c>
      <c r="I21" s="156">
        <f>IF($B21=" ","",IFERROR(INDEX(MMWR_RATING_RO_ROLLUP[],MATCH($B21,MMWR_RATING_RO_ROLLUP[MMWR_RATING_RO_ROLLUP],0),MATCH(I$9,MMWR_RATING_RO_ROLLUP[#Headers],0)),"ERROR"))</f>
        <v>174.4398307326</v>
      </c>
      <c r="J21" s="42"/>
      <c r="K21" s="42"/>
      <c r="L21" s="42"/>
      <c r="M21" s="42"/>
      <c r="N21" s="28"/>
    </row>
    <row r="22" spans="1:14" x14ac:dyDescent="0.2">
      <c r="A22" s="25"/>
      <c r="B22" s="8" t="str">
        <f>VLOOKUP($B$15,DISTRICT_RO[],8,0)</f>
        <v>New York VSC</v>
      </c>
      <c r="C22" s="155">
        <f>IF($B22=" ","",IFERROR(INDEX(MMWR_RATING_RO_ROLLUP[],MATCH($B22,MMWR_RATING_RO_ROLLUP[MMWR_RATING_RO_ROLLUP],0),MATCH(C$9,MMWR_RATING_RO_ROLLUP[#Headers],0)),"ERROR"))</f>
        <v>4748</v>
      </c>
      <c r="D22" s="156">
        <f>IF($B22=" ","",IFERROR(INDEX(MMWR_RATING_RO_ROLLUP[],MATCH($B22,MMWR_RATING_RO_ROLLUP[MMWR_RATING_RO_ROLLUP],0),MATCH(D$9,MMWR_RATING_RO_ROLLUP[#Headers],0)),"ERROR"))</f>
        <v>103.1838668913</v>
      </c>
      <c r="E22" s="157">
        <f>IF($B22=" ","",IFERROR(INDEX(MMWR_RATING_RO_ROLLUP[],MATCH($B22,MMWR_RATING_RO_ROLLUP[MMWR_RATING_RO_ROLLUP],0),MATCH(E$9,MMWR_RATING_RO_ROLLUP[#Headers],0))/$C22,"ERROR"))</f>
        <v>0.2462089300758214</v>
      </c>
      <c r="F22" s="155">
        <f>IF($B22=" ","",IFERROR(INDEX(MMWR_RATING_RO_ROLLUP[],MATCH($B22,MMWR_RATING_RO_ROLLUP[MMWR_RATING_RO_ROLLUP],0),MATCH(F$9,MMWR_RATING_RO_ROLLUP[#Headers],0)),"ERROR"))</f>
        <v>166</v>
      </c>
      <c r="G22" s="155">
        <f>IF($B22=" ","",IFERROR(INDEX(MMWR_RATING_RO_ROLLUP[],MATCH($B22,MMWR_RATING_RO_ROLLUP[MMWR_RATING_RO_ROLLUP],0),MATCH(G$9,MMWR_RATING_RO_ROLLUP[#Headers],0)),"ERROR"))</f>
        <v>15702</v>
      </c>
      <c r="H22" s="156">
        <f>IF($B22=" ","",IFERROR(INDEX(MMWR_RATING_RO_ROLLUP[],MATCH($B22,MMWR_RATING_RO_ROLLUP[MMWR_RATING_RO_ROLLUP],0),MATCH(H$9,MMWR_RATING_RO_ROLLUP[#Headers],0)),"ERROR"))</f>
        <v>182.95180722890001</v>
      </c>
      <c r="I22" s="156">
        <f>IF($B22=" ","",IFERROR(INDEX(MMWR_RATING_RO_ROLLUP[],MATCH($B22,MMWR_RATING_RO_ROLLUP[MMWR_RATING_RO_ROLLUP],0),MATCH(I$9,MMWR_RATING_RO_ROLLUP[#Headers],0)),"ERROR"))</f>
        <v>203.61240606289999</v>
      </c>
      <c r="J22" s="42"/>
      <c r="K22" s="42"/>
      <c r="L22" s="42"/>
      <c r="M22" s="42"/>
      <c r="N22" s="28"/>
    </row>
    <row r="23" spans="1:14" x14ac:dyDescent="0.2">
      <c r="A23" s="25"/>
      <c r="B23" s="8" t="str">
        <f>VLOOKUP($B$15,DISTRICT_RO[],9,0)</f>
        <v>Newark VSC</v>
      </c>
      <c r="C23" s="155">
        <f>IF($B23=" ","",IFERROR(INDEX(MMWR_RATING_RO_ROLLUP[],MATCH($B23,MMWR_RATING_RO_ROLLUP[MMWR_RATING_RO_ROLLUP],0),MATCH(C$9,MMWR_RATING_RO_ROLLUP[#Headers],0)),"ERROR"))</f>
        <v>2891</v>
      </c>
      <c r="D23" s="156">
        <f>IF($B23=" ","",IFERROR(INDEX(MMWR_RATING_RO_ROLLUP[],MATCH($B23,MMWR_RATING_RO_ROLLUP[MMWR_RATING_RO_ROLLUP],0),MATCH(D$9,MMWR_RATING_RO_ROLLUP[#Headers],0)),"ERROR"))</f>
        <v>92.026980283599997</v>
      </c>
      <c r="E23" s="157">
        <f>IF($B23=" ","",IFERROR(INDEX(MMWR_RATING_RO_ROLLUP[],MATCH($B23,MMWR_RATING_RO_ROLLUP[MMWR_RATING_RO_ROLLUP],0),MATCH(E$9,MMWR_RATING_RO_ROLLUP[#Headers],0))/$C23,"ERROR"))</f>
        <v>0.21999308197855413</v>
      </c>
      <c r="F23" s="155">
        <f>IF($B23=" ","",IFERROR(INDEX(MMWR_RATING_RO_ROLLUP[],MATCH($B23,MMWR_RATING_RO_ROLLUP[MMWR_RATING_RO_ROLLUP],0),MATCH(F$9,MMWR_RATING_RO_ROLLUP[#Headers],0)),"ERROR"))</f>
        <v>81</v>
      </c>
      <c r="G23" s="155">
        <f>IF($B23=" ","",IFERROR(INDEX(MMWR_RATING_RO_ROLLUP[],MATCH($B23,MMWR_RATING_RO_ROLLUP[MMWR_RATING_RO_ROLLUP],0),MATCH(G$9,MMWR_RATING_RO_ROLLUP[#Headers],0)),"ERROR"))</f>
        <v>6986</v>
      </c>
      <c r="H23" s="156">
        <f>IF($B23=" ","",IFERROR(INDEX(MMWR_RATING_RO_ROLLUP[],MATCH($B23,MMWR_RATING_RO_ROLLUP[MMWR_RATING_RO_ROLLUP],0),MATCH(H$9,MMWR_RATING_RO_ROLLUP[#Headers],0)),"ERROR"))</f>
        <v>177.0740740741</v>
      </c>
      <c r="I23" s="156">
        <f>IF($B23=" ","",IFERROR(INDEX(MMWR_RATING_RO_ROLLUP[],MATCH($B23,MMWR_RATING_RO_ROLLUP[MMWR_RATING_RO_ROLLUP],0),MATCH(I$9,MMWR_RATING_RO_ROLLUP[#Headers],0)),"ERROR"))</f>
        <v>166.71457200110001</v>
      </c>
      <c r="J23" s="42"/>
      <c r="K23" s="42"/>
      <c r="L23" s="42"/>
      <c r="M23" s="42"/>
      <c r="N23" s="28"/>
    </row>
    <row r="24" spans="1:14" x14ac:dyDescent="0.2">
      <c r="A24" s="25"/>
      <c r="B24" s="8" t="str">
        <f>VLOOKUP($B$15,DISTRICT_RO[],10,0)</f>
        <v>Philadelphia VSC</v>
      </c>
      <c r="C24" s="155">
        <f>IF($B24=" ","",IFERROR(INDEX(MMWR_RATING_RO_ROLLUP[],MATCH($B24,MMWR_RATING_RO_ROLLUP[MMWR_RATING_RO_ROLLUP],0),MATCH(C$9,MMWR_RATING_RO_ROLLUP[#Headers],0)),"ERROR"))</f>
        <v>7824</v>
      </c>
      <c r="D24" s="156">
        <f>IF($B24=" ","",IFERROR(INDEX(MMWR_RATING_RO_ROLLUP[],MATCH($B24,MMWR_RATING_RO_ROLLUP[MMWR_RATING_RO_ROLLUP],0),MATCH(D$9,MMWR_RATING_RO_ROLLUP[#Headers],0)),"ERROR"))</f>
        <v>129.51444274030001</v>
      </c>
      <c r="E24" s="157">
        <f>IF($B24=" ","",IFERROR(INDEX(MMWR_RATING_RO_ROLLUP[],MATCH($B24,MMWR_RATING_RO_ROLLUP[MMWR_RATING_RO_ROLLUP],0),MATCH(E$9,MMWR_RATING_RO_ROLLUP[#Headers],0))/$C24,"ERROR"))</f>
        <v>0.37282719836400818</v>
      </c>
      <c r="F24" s="155">
        <f>IF($B24=" ","",IFERROR(INDEX(MMWR_RATING_RO_ROLLUP[],MATCH($B24,MMWR_RATING_RO_ROLLUP[MMWR_RATING_RO_ROLLUP],0),MATCH(F$9,MMWR_RATING_RO_ROLLUP[#Headers],0)),"ERROR"))</f>
        <v>304</v>
      </c>
      <c r="G24" s="155">
        <f>IF($B24=" ","",IFERROR(INDEX(MMWR_RATING_RO_ROLLUP[],MATCH($B24,MMWR_RATING_RO_ROLLUP[MMWR_RATING_RO_ROLLUP],0),MATCH(G$9,MMWR_RATING_RO_ROLLUP[#Headers],0)),"ERROR"))</f>
        <v>27251</v>
      </c>
      <c r="H24" s="156">
        <f>IF($B24=" ","",IFERROR(INDEX(MMWR_RATING_RO_ROLLUP[],MATCH($B24,MMWR_RATING_RO_ROLLUP[MMWR_RATING_RO_ROLLUP],0),MATCH(H$9,MMWR_RATING_RO_ROLLUP[#Headers],0)),"ERROR"))</f>
        <v>168.87171052630001</v>
      </c>
      <c r="I24" s="156">
        <f>IF($B24=" ","",IFERROR(INDEX(MMWR_RATING_RO_ROLLUP[],MATCH($B24,MMWR_RATING_RO_ROLLUP[MMWR_RATING_RO_ROLLUP],0),MATCH(I$9,MMWR_RATING_RO_ROLLUP[#Headers],0)),"ERROR"))</f>
        <v>225.91464533409999</v>
      </c>
      <c r="J24" s="42"/>
      <c r="K24" s="42"/>
      <c r="L24" s="42"/>
      <c r="M24" s="42"/>
      <c r="N24" s="28"/>
    </row>
    <row r="25" spans="1:14" x14ac:dyDescent="0.2">
      <c r="A25" s="25"/>
      <c r="B25" s="8" t="str">
        <f>VLOOKUP($B$15,DISTRICT_RO[],11,0)</f>
        <v>Pittsburgh VSC</v>
      </c>
      <c r="C25" s="155">
        <f>IF($B25=" ","",IFERROR(INDEX(MMWR_RATING_RO_ROLLUP[],MATCH($B25,MMWR_RATING_RO_ROLLUP[MMWR_RATING_RO_ROLLUP],0),MATCH(C$9,MMWR_RATING_RO_ROLLUP[#Headers],0)),"ERROR"))</f>
        <v>4914</v>
      </c>
      <c r="D25" s="156">
        <f>IF($B25=" ","",IFERROR(INDEX(MMWR_RATING_RO_ROLLUP[],MATCH($B25,MMWR_RATING_RO_ROLLUP[MMWR_RATING_RO_ROLLUP],0),MATCH(D$9,MMWR_RATING_RO_ROLLUP[#Headers],0)),"ERROR"))</f>
        <v>124.3062678063</v>
      </c>
      <c r="E25" s="157">
        <f>IF($B25=" ","",IFERROR(INDEX(MMWR_RATING_RO_ROLLUP[],MATCH($B25,MMWR_RATING_RO_ROLLUP[MMWR_RATING_RO_ROLLUP],0),MATCH(E$9,MMWR_RATING_RO_ROLLUP[#Headers],0))/$C25,"ERROR"))</f>
        <v>0.31949531949531951</v>
      </c>
      <c r="F25" s="155">
        <f>IF($B25=" ","",IFERROR(INDEX(MMWR_RATING_RO_ROLLUP[],MATCH($B25,MMWR_RATING_RO_ROLLUP[MMWR_RATING_RO_ROLLUP],0),MATCH(F$9,MMWR_RATING_RO_ROLLUP[#Headers],0)),"ERROR"))</f>
        <v>138</v>
      </c>
      <c r="G25" s="155">
        <f>IF($B25=" ","",IFERROR(INDEX(MMWR_RATING_RO_ROLLUP[],MATCH($B25,MMWR_RATING_RO_ROLLUP[MMWR_RATING_RO_ROLLUP],0),MATCH(G$9,MMWR_RATING_RO_ROLLUP[#Headers],0)),"ERROR"))</f>
        <v>12497</v>
      </c>
      <c r="H25" s="156">
        <f>IF($B25=" ","",IFERROR(INDEX(MMWR_RATING_RO_ROLLUP[],MATCH($B25,MMWR_RATING_RO_ROLLUP[MMWR_RATING_RO_ROLLUP],0),MATCH(H$9,MMWR_RATING_RO_ROLLUP[#Headers],0)),"ERROR"))</f>
        <v>223.63768115939999</v>
      </c>
      <c r="I25" s="156">
        <f>IF($B25=" ","",IFERROR(INDEX(MMWR_RATING_RO_ROLLUP[],MATCH($B25,MMWR_RATING_RO_ROLLUP[MMWR_RATING_RO_ROLLUP],0),MATCH(I$9,MMWR_RATING_RO_ROLLUP[#Headers],0)),"ERROR"))</f>
        <v>209.79026966469999</v>
      </c>
      <c r="J25" s="42"/>
      <c r="K25" s="42"/>
      <c r="L25" s="42"/>
      <c r="M25" s="42"/>
      <c r="N25" s="28"/>
    </row>
    <row r="26" spans="1:14" x14ac:dyDescent="0.2">
      <c r="A26" s="25"/>
      <c r="B26" s="8" t="str">
        <f>VLOOKUP($B$15,DISTRICT_RO[],12,0)</f>
        <v>Providence VSC</v>
      </c>
      <c r="C26" s="155">
        <f>IF($B26=" ","",IFERROR(INDEX(MMWR_RATING_RO_ROLLUP[],MATCH($B26,MMWR_RATING_RO_ROLLUP[MMWR_RATING_RO_ROLLUP],0),MATCH(C$9,MMWR_RATING_RO_ROLLUP[#Headers],0)),"ERROR"))</f>
        <v>2230</v>
      </c>
      <c r="D26" s="156">
        <f>IF($B26=" ","",IFERROR(INDEX(MMWR_RATING_RO_ROLLUP[],MATCH($B26,MMWR_RATING_RO_ROLLUP[MMWR_RATING_RO_ROLLUP],0),MATCH(D$9,MMWR_RATING_RO_ROLLUP[#Headers],0)),"ERROR"))</f>
        <v>77.671748878900004</v>
      </c>
      <c r="E26" s="157">
        <f>IF($B26=" ","",IFERROR(INDEX(MMWR_RATING_RO_ROLLUP[],MATCH($B26,MMWR_RATING_RO_ROLLUP[MMWR_RATING_RO_ROLLUP],0),MATCH(E$9,MMWR_RATING_RO_ROLLUP[#Headers],0))/$C26,"ERROR"))</f>
        <v>0.21569506726457399</v>
      </c>
      <c r="F26" s="155">
        <f>IF($B26=" ","",IFERROR(INDEX(MMWR_RATING_RO_ROLLUP[],MATCH($B26,MMWR_RATING_RO_ROLLUP[MMWR_RATING_RO_ROLLUP],0),MATCH(F$9,MMWR_RATING_RO_ROLLUP[#Headers],0)),"ERROR"))</f>
        <v>293</v>
      </c>
      <c r="G26" s="155">
        <f>IF($B26=" ","",IFERROR(INDEX(MMWR_RATING_RO_ROLLUP[],MATCH($B26,MMWR_RATING_RO_ROLLUP[MMWR_RATING_RO_ROLLUP],0),MATCH(G$9,MMWR_RATING_RO_ROLLUP[#Headers],0)),"ERROR"))</f>
        <v>22494</v>
      </c>
      <c r="H26" s="156">
        <f>IF($B26=" ","",IFERROR(INDEX(MMWR_RATING_RO_ROLLUP[],MATCH($B26,MMWR_RATING_RO_ROLLUP[MMWR_RATING_RO_ROLLUP],0),MATCH(H$9,MMWR_RATING_RO_ROLLUP[#Headers],0)),"ERROR"))</f>
        <v>69.068259385700003</v>
      </c>
      <c r="I26" s="156">
        <f>IF($B26=" ","",IFERROR(INDEX(MMWR_RATING_RO_ROLLUP[],MATCH($B26,MMWR_RATING_RO_ROLLUP[MMWR_RATING_RO_ROLLUP],0),MATCH(I$9,MMWR_RATING_RO_ROLLUP[#Headers],0)),"ERROR"))</f>
        <v>55.305992709199998</v>
      </c>
      <c r="J26" s="42"/>
      <c r="K26" s="42"/>
      <c r="L26" s="42"/>
      <c r="M26" s="42"/>
      <c r="N26" s="28"/>
    </row>
    <row r="27" spans="1:14" x14ac:dyDescent="0.2">
      <c r="A27" s="25"/>
      <c r="B27" s="8" t="str">
        <f>VLOOKUP($B$15,DISTRICT_RO[],13,0)</f>
        <v>Roanoke VSC</v>
      </c>
      <c r="C27" s="155">
        <f>IF($B27=" ","",IFERROR(INDEX(MMWR_RATING_RO_ROLLUP[],MATCH($B27,MMWR_RATING_RO_ROLLUP[MMWR_RATING_RO_ROLLUP],0),MATCH(C$9,MMWR_RATING_RO_ROLLUP[#Headers],0)),"ERROR"))</f>
        <v>10759</v>
      </c>
      <c r="D27" s="156">
        <f>IF($B27=" ","",IFERROR(INDEX(MMWR_RATING_RO_ROLLUP[],MATCH($B27,MMWR_RATING_RO_ROLLUP[MMWR_RATING_RO_ROLLUP],0),MATCH(D$9,MMWR_RATING_RO_ROLLUP[#Headers],0)),"ERROR"))</f>
        <v>94.354493912099997</v>
      </c>
      <c r="E27" s="157">
        <f>IF($B27=" ","",IFERROR(INDEX(MMWR_RATING_RO_ROLLUP[],MATCH($B27,MMWR_RATING_RO_ROLLUP[MMWR_RATING_RO_ROLLUP],0),MATCH(E$9,MMWR_RATING_RO_ROLLUP[#Headers],0))/$C27,"ERROR"))</f>
        <v>0.24044985593456641</v>
      </c>
      <c r="F27" s="155">
        <f>IF($B27=" ","",IFERROR(INDEX(MMWR_RATING_RO_ROLLUP[],MATCH($B27,MMWR_RATING_RO_ROLLUP[MMWR_RATING_RO_ROLLUP],0),MATCH(F$9,MMWR_RATING_RO_ROLLUP[#Headers],0)),"ERROR"))</f>
        <v>448</v>
      </c>
      <c r="G27" s="155">
        <f>IF($B27=" ","",IFERROR(INDEX(MMWR_RATING_RO_ROLLUP[],MATCH($B27,MMWR_RATING_RO_ROLLUP[MMWR_RATING_RO_ROLLUP],0),MATCH(G$9,MMWR_RATING_RO_ROLLUP[#Headers],0)),"ERROR"))</f>
        <v>36535</v>
      </c>
      <c r="H27" s="156">
        <f>IF($B27=" ","",IFERROR(INDEX(MMWR_RATING_RO_ROLLUP[],MATCH($B27,MMWR_RATING_RO_ROLLUP[MMWR_RATING_RO_ROLLUP],0),MATCH(H$9,MMWR_RATING_RO_ROLLUP[#Headers],0)),"ERROR"))</f>
        <v>155.41294642860001</v>
      </c>
      <c r="I27" s="156">
        <f>IF($B27=" ","",IFERROR(INDEX(MMWR_RATING_RO_ROLLUP[],MATCH($B27,MMWR_RATING_RO_ROLLUP[MMWR_RATING_RO_ROLLUP],0),MATCH(I$9,MMWR_RATING_RO_ROLLUP[#Headers],0)),"ERROR"))</f>
        <v>206.6437388805</v>
      </c>
      <c r="J27" s="42"/>
      <c r="K27" s="42"/>
      <c r="L27" s="42"/>
      <c r="M27" s="42"/>
      <c r="N27" s="28"/>
    </row>
    <row r="28" spans="1:14" x14ac:dyDescent="0.2">
      <c r="A28" s="25"/>
      <c r="B28" s="8" t="str">
        <f>VLOOKUP($B$15,DISTRICT_RO[],14,0)</f>
        <v>Togus VSC</v>
      </c>
      <c r="C28" s="155">
        <f>IF($B28=" ","",IFERROR(INDEX(MMWR_RATING_RO_ROLLUP[],MATCH($B28,MMWR_RATING_RO_ROLLUP[MMWR_RATING_RO_ROLLUP],0),MATCH(C$9,MMWR_RATING_RO_ROLLUP[#Headers],0)),"ERROR"))</f>
        <v>1424</v>
      </c>
      <c r="D28" s="156">
        <f>IF($B28=" ","",IFERROR(INDEX(MMWR_RATING_RO_ROLLUP[],MATCH($B28,MMWR_RATING_RO_ROLLUP[MMWR_RATING_RO_ROLLUP],0),MATCH(D$9,MMWR_RATING_RO_ROLLUP[#Headers],0)),"ERROR"))</f>
        <v>71.286516853899997</v>
      </c>
      <c r="E28" s="157">
        <f>IF($B28=" ","",IFERROR(INDEX(MMWR_RATING_RO_ROLLUP[],MATCH($B28,MMWR_RATING_RO_ROLLUP[MMWR_RATING_RO_ROLLUP],0),MATCH(E$9,MMWR_RATING_RO_ROLLUP[#Headers],0))/$C28,"ERROR"))</f>
        <v>0.12078651685393259</v>
      </c>
      <c r="F28" s="155">
        <f>IF($B28=" ","",IFERROR(INDEX(MMWR_RATING_RO_ROLLUP[],MATCH($B28,MMWR_RATING_RO_ROLLUP[MMWR_RATING_RO_ROLLUP],0),MATCH(F$9,MMWR_RATING_RO_ROLLUP[#Headers],0)),"ERROR"))</f>
        <v>40</v>
      </c>
      <c r="G28" s="155">
        <f>IF($B28=" ","",IFERROR(INDEX(MMWR_RATING_RO_ROLLUP[],MATCH($B28,MMWR_RATING_RO_ROLLUP[MMWR_RATING_RO_ROLLUP],0),MATCH(G$9,MMWR_RATING_RO_ROLLUP[#Headers],0)),"ERROR"))</f>
        <v>4246</v>
      </c>
      <c r="H28" s="156">
        <f>IF($B28=" ","",IFERROR(INDEX(MMWR_RATING_RO_ROLLUP[],MATCH($B28,MMWR_RATING_RO_ROLLUP[MMWR_RATING_RO_ROLLUP],0),MATCH(H$9,MMWR_RATING_RO_ROLLUP[#Headers],0)),"ERROR"))</f>
        <v>149.75</v>
      </c>
      <c r="I28" s="156">
        <f>IF($B28=" ","",IFERROR(INDEX(MMWR_RATING_RO_ROLLUP[],MATCH($B28,MMWR_RATING_RO_ROLLUP[MMWR_RATING_RO_ROLLUP],0),MATCH(I$9,MMWR_RATING_RO_ROLLUP[#Headers],0)),"ERROR"))</f>
        <v>130.35327366929999</v>
      </c>
      <c r="J28" s="42"/>
      <c r="K28" s="42"/>
      <c r="L28" s="42"/>
      <c r="M28" s="42"/>
      <c r="N28" s="28"/>
    </row>
    <row r="29" spans="1:14" x14ac:dyDescent="0.2">
      <c r="A29" s="25"/>
      <c r="B29" s="8" t="str">
        <f>VLOOKUP($B$15,DISTRICT_RO[],15,0)</f>
        <v>White River Junction VSC</v>
      </c>
      <c r="C29" s="155">
        <f>IF($B29=" ","",IFERROR(INDEX(MMWR_RATING_RO_ROLLUP[],MATCH($B29,MMWR_RATING_RO_ROLLUP[MMWR_RATING_RO_ROLLUP],0),MATCH(C$9,MMWR_RATING_RO_ROLLUP[#Headers],0)),"ERROR"))</f>
        <v>377</v>
      </c>
      <c r="D29" s="156">
        <f>IF($B29=" ","",IFERROR(INDEX(MMWR_RATING_RO_ROLLUP[],MATCH($B29,MMWR_RATING_RO_ROLLUP[MMWR_RATING_RO_ROLLUP],0),MATCH(D$9,MMWR_RATING_RO_ROLLUP[#Headers],0)),"ERROR"))</f>
        <v>99.095490716200004</v>
      </c>
      <c r="E29" s="157">
        <f>IF($B29=" ","",IFERROR(INDEX(MMWR_RATING_RO_ROLLUP[],MATCH($B29,MMWR_RATING_RO_ROLLUP[MMWR_RATING_RO_ROLLUP],0),MATCH(E$9,MMWR_RATING_RO_ROLLUP[#Headers],0))/$C29,"ERROR"))</f>
        <v>0.30769230769230771</v>
      </c>
      <c r="F29" s="155">
        <f>IF($B29=" ","",IFERROR(INDEX(MMWR_RATING_RO_ROLLUP[],MATCH($B29,MMWR_RATING_RO_ROLLUP[MMWR_RATING_RO_ROLLUP],0),MATCH(F$9,MMWR_RATING_RO_ROLLUP[#Headers],0)),"ERROR"))</f>
        <v>8</v>
      </c>
      <c r="G29" s="155">
        <f>IF($B29=" ","",IFERROR(INDEX(MMWR_RATING_RO_ROLLUP[],MATCH($B29,MMWR_RATING_RO_ROLLUP[MMWR_RATING_RO_ROLLUP],0),MATCH(G$9,MMWR_RATING_RO_ROLLUP[#Headers],0)),"ERROR"))</f>
        <v>1444</v>
      </c>
      <c r="H29" s="156">
        <f>IF($B29=" ","",IFERROR(INDEX(MMWR_RATING_RO_ROLLUP[],MATCH($B29,MMWR_RATING_RO_ROLLUP[MMWR_RATING_RO_ROLLUP],0),MATCH(H$9,MMWR_RATING_RO_ROLLUP[#Headers],0)),"ERROR"))</f>
        <v>180.75</v>
      </c>
      <c r="I29" s="156">
        <f>IF($B29=" ","",IFERROR(INDEX(MMWR_RATING_RO_ROLLUP[],MATCH($B29,MMWR_RATING_RO_ROLLUP[MMWR_RATING_RO_ROLLUP],0),MATCH(I$9,MMWR_RATING_RO_ROLLUP[#Headers],0)),"ERROR"))</f>
        <v>166.7278393352</v>
      </c>
      <c r="J29" s="42"/>
      <c r="K29" s="42"/>
      <c r="L29" s="42"/>
      <c r="M29" s="42"/>
      <c r="N29" s="28"/>
    </row>
    <row r="30" spans="1:14" x14ac:dyDescent="0.2">
      <c r="A30" s="25"/>
      <c r="B30" s="8" t="str">
        <f>VLOOKUP($B$15,DISTRICT_RO[],16,0)</f>
        <v>Wilmington VSC</v>
      </c>
      <c r="C30" s="155">
        <f>IF($B30=" ","",IFERROR(INDEX(MMWR_RATING_RO_ROLLUP[],MATCH($B30,MMWR_RATING_RO_ROLLUP[MMWR_RATING_RO_ROLLUP],0),MATCH(C$9,MMWR_RATING_RO_ROLLUP[#Headers],0)),"ERROR"))</f>
        <v>826</v>
      </c>
      <c r="D30" s="156">
        <f>IF($B30=" ","",IFERROR(INDEX(MMWR_RATING_RO_ROLLUP[],MATCH($B30,MMWR_RATING_RO_ROLLUP[MMWR_RATING_RO_ROLLUP],0),MATCH(D$9,MMWR_RATING_RO_ROLLUP[#Headers],0)),"ERROR"))</f>
        <v>109.9394673123</v>
      </c>
      <c r="E30" s="157">
        <f>IF($B30=" ","",IFERROR(INDEX(MMWR_RATING_RO_ROLLUP[],MATCH($B30,MMWR_RATING_RO_ROLLUP[MMWR_RATING_RO_ROLLUP],0),MATCH(E$9,MMWR_RATING_RO_ROLLUP[#Headers],0))/$C30,"ERROR"))</f>
        <v>0.29661016949152541</v>
      </c>
      <c r="F30" s="155">
        <f>IF($B30=" ","",IFERROR(INDEX(MMWR_RATING_RO_ROLLUP[],MATCH($B30,MMWR_RATING_RO_ROLLUP[MMWR_RATING_RO_ROLLUP],0),MATCH(F$9,MMWR_RATING_RO_ROLLUP[#Headers],0)),"ERROR"))</f>
        <v>33</v>
      </c>
      <c r="G30" s="155">
        <f>IF($B30=" ","",IFERROR(INDEX(MMWR_RATING_RO_ROLLUP[],MATCH($B30,MMWR_RATING_RO_ROLLUP[MMWR_RATING_RO_ROLLUP],0),MATCH(G$9,MMWR_RATING_RO_ROLLUP[#Headers],0)),"ERROR"))</f>
        <v>2560</v>
      </c>
      <c r="H30" s="156">
        <f>IF($B30=" ","",IFERROR(INDEX(MMWR_RATING_RO_ROLLUP[],MATCH($B30,MMWR_RATING_RO_ROLLUP[MMWR_RATING_RO_ROLLUP],0),MATCH(H$9,MMWR_RATING_RO_ROLLUP[#Headers],0)),"ERROR"))</f>
        <v>155.4242424242</v>
      </c>
      <c r="I30" s="156">
        <f>IF($B30=" ","",IFERROR(INDEX(MMWR_RATING_RO_ROLLUP[],MATCH($B30,MMWR_RATING_RO_ROLLUP[MMWR_RATING_RO_ROLLUP],0),MATCH(I$9,MMWR_RATING_RO_ROLLUP[#Headers],0)),"ERROR"))</f>
        <v>219.74257812499999</v>
      </c>
      <c r="J30" s="42"/>
      <c r="K30" s="42"/>
      <c r="L30" s="42"/>
      <c r="M30" s="42"/>
      <c r="N30" s="28"/>
    </row>
    <row r="31" spans="1:14" x14ac:dyDescent="0.2">
      <c r="A31" s="25"/>
      <c r="B31" s="8" t="str">
        <f>VLOOKUP($B$15,DISTRICT_RO[],17,0)</f>
        <v>Winston-Salem VSC</v>
      </c>
      <c r="C31" s="155">
        <f>IF($B31=" ","",IFERROR(INDEX(MMWR_RATING_RO_ROLLUP[],MATCH($B31,MMWR_RATING_RO_ROLLUP[MMWR_RATING_RO_ROLLUP],0),MATCH(C$9,MMWR_RATING_RO_ROLLUP[#Headers],0)),"ERROR"))</f>
        <v>17848</v>
      </c>
      <c r="D31" s="156">
        <f>IF($B31=" ","",IFERROR(INDEX(MMWR_RATING_RO_ROLLUP[],MATCH($B31,MMWR_RATING_RO_ROLLUP[MMWR_RATING_RO_ROLLUP],0),MATCH(D$9,MMWR_RATING_RO_ROLLUP[#Headers],0)),"ERROR"))</f>
        <v>106.1721201255</v>
      </c>
      <c r="E31" s="157">
        <f>IF($B31=" ","",IFERROR(INDEX(MMWR_RATING_RO_ROLLUP[],MATCH($B31,MMWR_RATING_RO_ROLLUP[MMWR_RATING_RO_ROLLUP],0),MATCH(E$9,MMWR_RATING_RO_ROLLUP[#Headers],0))/$C31,"ERROR"))</f>
        <v>0.28288883908561185</v>
      </c>
      <c r="F31" s="155">
        <f>IF($B31=" ","",IFERROR(INDEX(MMWR_RATING_RO_ROLLUP[],MATCH($B31,MMWR_RATING_RO_ROLLUP[MMWR_RATING_RO_ROLLUP],0),MATCH(F$9,MMWR_RATING_RO_ROLLUP[#Headers],0)),"ERROR"))</f>
        <v>613</v>
      </c>
      <c r="G31" s="155">
        <f>IF($B31=" ","",IFERROR(INDEX(MMWR_RATING_RO_ROLLUP[],MATCH($B31,MMWR_RATING_RO_ROLLUP[MMWR_RATING_RO_ROLLUP],0),MATCH(G$9,MMWR_RATING_RO_ROLLUP[#Headers],0)),"ERROR"))</f>
        <v>52990</v>
      </c>
      <c r="H31" s="156">
        <f>IF($B31=" ","",IFERROR(INDEX(MMWR_RATING_RO_ROLLUP[],MATCH($B31,MMWR_RATING_RO_ROLLUP[MMWR_RATING_RO_ROLLUP],0),MATCH(H$9,MMWR_RATING_RO_ROLLUP[#Headers],0)),"ERROR"))</f>
        <v>162.60358890699999</v>
      </c>
      <c r="I31" s="156">
        <f>IF($B31=" ","",IFERROR(INDEX(MMWR_RATING_RO_ROLLUP[],MATCH($B31,MMWR_RATING_RO_ROLLUP[MMWR_RATING_RO_ROLLUP],0),MATCH(I$9,MMWR_RATING_RO_ROLLUP[#Headers],0)),"ERROR"))</f>
        <v>203.54181921119999</v>
      </c>
      <c r="J31" s="42"/>
      <c r="K31" s="42"/>
      <c r="L31" s="42"/>
      <c r="M31" s="42"/>
      <c r="N31" s="28"/>
    </row>
    <row r="32" spans="1:14" x14ac:dyDescent="0.2">
      <c r="A32" s="25"/>
      <c r="B32" s="372" t="s">
        <v>743</v>
      </c>
      <c r="C32" s="373"/>
      <c r="D32" s="373"/>
      <c r="E32" s="373"/>
      <c r="F32" s="373"/>
      <c r="G32" s="373"/>
      <c r="H32" s="373"/>
      <c r="I32" s="373"/>
      <c r="J32" s="373"/>
      <c r="K32" s="373"/>
      <c r="L32" s="373"/>
      <c r="M32" s="385"/>
      <c r="N32" s="28"/>
    </row>
    <row r="33" spans="1:14" x14ac:dyDescent="0.2">
      <c r="A33" s="25"/>
      <c r="B33" s="11" t="s">
        <v>706</v>
      </c>
      <c r="C33" s="155">
        <f>IF($B33=" ","",IFERROR(INDEX(MMWR_RATING_RO_ROLLUP[],MATCH($B33,MMWR_RATING_RO_ROLLUP[MMWR_RATING_RO_ROLLUP],0),MATCH(C$9,MMWR_RATING_RO_ROLLUP[#Headers],0)),"ERROR"))</f>
        <v>20052</v>
      </c>
      <c r="D33" s="156">
        <f>IF($B33=" ","",IFERROR(INDEX(MMWR_RATING_RO_ROLLUP[],MATCH($B33,MMWR_RATING_RO_ROLLUP[MMWR_RATING_RO_ROLLUP],0),MATCH(D$9,MMWR_RATING_RO_ROLLUP[#Headers],0)),"ERROR"))</f>
        <v>59.125124675800002</v>
      </c>
      <c r="E33" s="157">
        <f>IF($B33=" ","",IFERROR(INDEX(MMWR_RATING_RO_ROLLUP[],MATCH($B33,MMWR_RATING_RO_ROLLUP[MMWR_RATING_RO_ROLLUP],0),MATCH(E$9,MMWR_RATING_RO_ROLLUP[#Headers],0))/$C33,"ERROR"))</f>
        <v>9.3407141432276089E-2</v>
      </c>
      <c r="F33" s="155">
        <f>IF($B33=" ","",IFERROR(INDEX(MMWR_RATING_RO_ROLLUP[],MATCH($B33,MMWR_RATING_RO_ROLLUP[MMWR_RATING_RO_ROLLUP],0),MATCH(F$9,MMWR_RATING_RO_ROLLUP[#Headers],0)),"ERROR"))</f>
        <v>2246</v>
      </c>
      <c r="G33" s="155">
        <f>IF($B33=" ","",IFERROR(INDEX(MMWR_RATING_RO_ROLLUP[],MATCH($B33,MMWR_RATING_RO_ROLLUP[MMWR_RATING_RO_ROLLUP],0),MATCH(G$9,MMWR_RATING_RO_ROLLUP[#Headers],0)),"ERROR"))</f>
        <v>142915</v>
      </c>
      <c r="H33" s="156">
        <f>IF($B33=" ","",IFERROR(INDEX(MMWR_RATING_RO_ROLLUP[],MATCH($B33,MMWR_RATING_RO_ROLLUP[MMWR_RATING_RO_ROLLUP],0),MATCH(H$9,MMWR_RATING_RO_ROLLUP[#Headers],0)),"ERROR"))</f>
        <v>63.504007123800001</v>
      </c>
      <c r="I33" s="156">
        <f>IF($B33=" ","",IFERROR(INDEX(MMWR_RATING_RO_ROLLUP[],MATCH($B33,MMWR_RATING_RO_ROLLUP[MMWR_RATING_RO_ROLLUP],0),MATCH(I$9,MMWR_RATING_RO_ROLLUP[#Headers],0)),"ERROR"))</f>
        <v>64.485533359000001</v>
      </c>
      <c r="J33" s="42"/>
      <c r="K33" s="42"/>
      <c r="L33" s="42"/>
      <c r="M33" s="42"/>
      <c r="N33" s="28"/>
    </row>
    <row r="34" spans="1:14" x14ac:dyDescent="0.2">
      <c r="A34" s="25"/>
      <c r="B34" s="12" t="s">
        <v>218</v>
      </c>
      <c r="C34" s="155">
        <f>IF($B34=" ","",IFERROR(INDEX(MMWR_RATING_RO_ROLLUP[],MATCH($B34,MMWR_RATING_RO_ROLLUP[MMWR_RATING_RO_ROLLUP],0),MATCH(C$9,MMWR_RATING_RO_ROLLUP[#Headers],0)),"ERROR"))</f>
        <v>6359</v>
      </c>
      <c r="D34" s="156">
        <f>IF($B34=" ","",IFERROR(INDEX(MMWR_RATING_RO_ROLLUP[],MATCH($B34,MMWR_RATING_RO_ROLLUP[MMWR_RATING_RO_ROLLUP],0),MATCH(D$9,MMWR_RATING_RO_ROLLUP[#Headers],0)),"ERROR"))</f>
        <v>63.942915552800002</v>
      </c>
      <c r="E34" s="157">
        <f>IF($B34=" ","",IFERROR(INDEX(MMWR_RATING_RO_ROLLUP[],MATCH($B34,MMWR_RATING_RO_ROLLUP[MMWR_RATING_RO_ROLLUP],0),MATCH(E$9,MMWR_RATING_RO_ROLLUP[#Headers],0))/$C34,"ERROR"))</f>
        <v>0.10378990407296745</v>
      </c>
      <c r="F34" s="155">
        <f>IF($B34=" ","",IFERROR(INDEX(MMWR_RATING_RO_ROLLUP[],MATCH($B34,MMWR_RATING_RO_ROLLUP[MMWR_RATING_RO_ROLLUP],0),MATCH(F$9,MMWR_RATING_RO_ROLLUP[#Headers],0)),"ERROR"))</f>
        <v>761</v>
      </c>
      <c r="G34" s="155">
        <f>IF($B34=" ","",IFERROR(INDEX(MMWR_RATING_RO_ROLLUP[],MATCH($B34,MMWR_RATING_RO_ROLLUP[MMWR_RATING_RO_ROLLUP],0),MATCH(G$9,MMWR_RATING_RO_ROLLUP[#Headers],0)),"ERROR"))</f>
        <v>45393</v>
      </c>
      <c r="H34" s="156">
        <f>IF($B34=" ","",IFERROR(INDEX(MMWR_RATING_RO_ROLLUP[],MATCH($B34,MMWR_RATING_RO_ROLLUP[MMWR_RATING_RO_ROLLUP],0),MATCH(H$9,MMWR_RATING_RO_ROLLUP[#Headers],0)),"ERROR"))</f>
        <v>67.345597897499999</v>
      </c>
      <c r="I34" s="156">
        <f>IF($B34=" ","",IFERROR(INDEX(MMWR_RATING_RO_ROLLUP[],MATCH($B34,MMWR_RATING_RO_ROLLUP[MMWR_RATING_RO_ROLLUP],0),MATCH(I$9,MMWR_RATING_RO_ROLLUP[#Headers],0)),"ERROR"))</f>
        <v>72.386513339100006</v>
      </c>
      <c r="J34" s="42"/>
      <c r="K34" s="42"/>
      <c r="L34" s="42"/>
      <c r="M34" s="42"/>
      <c r="N34" s="28"/>
    </row>
    <row r="35" spans="1:14" x14ac:dyDescent="0.2">
      <c r="A35" s="43"/>
      <c r="B35" s="12" t="s">
        <v>217</v>
      </c>
      <c r="C35" s="155">
        <f>IF($B35=" ","",IFERROR(INDEX(MMWR_RATING_RO_ROLLUP[],MATCH($B35,MMWR_RATING_RO_ROLLUP[MMWR_RATING_RO_ROLLUP],0),MATCH(C$9,MMWR_RATING_RO_ROLLUP[#Headers],0)),"ERROR"))</f>
        <v>5166</v>
      </c>
      <c r="D35" s="156">
        <f>IF($B35=" ","",IFERROR(INDEX(MMWR_RATING_RO_ROLLUP[],MATCH($B35,MMWR_RATING_RO_ROLLUP[MMWR_RATING_RO_ROLLUP],0),MATCH(D$9,MMWR_RATING_RO_ROLLUP[#Headers],0)),"ERROR"))</f>
        <v>55.3478513357</v>
      </c>
      <c r="E35" s="157">
        <f>IF($B35=" ","",IFERROR(INDEX(MMWR_RATING_RO_ROLLUP[],MATCH($B35,MMWR_RATING_RO_ROLLUP[MMWR_RATING_RO_ROLLUP],0),MATCH(E$9,MMWR_RATING_RO_ROLLUP[#Headers],0))/$C35,"ERROR"))</f>
        <v>9.0785907859078585E-2</v>
      </c>
      <c r="F35" s="155">
        <f>IF($B35=" ","",IFERROR(INDEX(MMWR_RATING_RO_ROLLUP[],MATCH($B35,MMWR_RATING_RO_ROLLUP[MMWR_RATING_RO_ROLLUP],0),MATCH(F$9,MMWR_RATING_RO_ROLLUP[#Headers],0)),"ERROR"))</f>
        <v>512</v>
      </c>
      <c r="G35" s="155">
        <f>IF($B35=" ","",IFERROR(INDEX(MMWR_RATING_RO_ROLLUP[],MATCH($B35,MMWR_RATING_RO_ROLLUP[MMWR_RATING_RO_ROLLUP],0),MATCH(G$9,MMWR_RATING_RO_ROLLUP[#Headers],0)),"ERROR"))</f>
        <v>40039</v>
      </c>
      <c r="H35" s="156">
        <f>IF($B35=" ","",IFERROR(INDEX(MMWR_RATING_RO_ROLLUP[],MATCH($B35,MMWR_RATING_RO_ROLLUP[MMWR_RATING_RO_ROLLUP],0),MATCH(H$9,MMWR_RATING_RO_ROLLUP[#Headers],0)),"ERROR"))</f>
        <v>64.064453125</v>
      </c>
      <c r="I35" s="156">
        <f>IF($B35=" ","",IFERROR(INDEX(MMWR_RATING_RO_ROLLUP[],MATCH($B35,MMWR_RATING_RO_ROLLUP[MMWR_RATING_RO_ROLLUP],0),MATCH(I$9,MMWR_RATING_RO_ROLLUP[#Headers],0)),"ERROR"))</f>
        <v>54.885186942700003</v>
      </c>
      <c r="J35" s="42"/>
      <c r="K35" s="42"/>
      <c r="L35" s="42"/>
      <c r="M35" s="42"/>
      <c r="N35" s="28"/>
    </row>
    <row r="36" spans="1:14" x14ac:dyDescent="0.2">
      <c r="A36" s="25"/>
      <c r="B36" s="12" t="s">
        <v>220</v>
      </c>
      <c r="C36" s="155">
        <f>IF($B36=" ","",IFERROR(INDEX(MMWR_RATING_RO_ROLLUP[],MATCH($B36,MMWR_RATING_RO_ROLLUP[MMWR_RATING_RO_ROLLUP],0),MATCH(C$9,MMWR_RATING_RO_ROLLUP[#Headers],0)),"ERROR"))</f>
        <v>8012</v>
      </c>
      <c r="D36" s="156">
        <f>IF($B36=" ","",IFERROR(INDEX(MMWR_RATING_RO_ROLLUP[],MATCH($B36,MMWR_RATING_RO_ROLLUP[MMWR_RATING_RO_ROLLUP],0),MATCH(D$9,MMWR_RATING_RO_ROLLUP[#Headers],0)),"ERROR"))</f>
        <v>51.332501248100002</v>
      </c>
      <c r="E36" s="157">
        <f>IF($B36=" ","",IFERROR(INDEX(MMWR_RATING_RO_ROLLUP[],MATCH($B36,MMWR_RATING_RO_ROLLUP[MMWR_RATING_RO_ROLLUP],0),MATCH(E$9,MMWR_RATING_RO_ROLLUP[#Headers],0))/$C36,"ERROR"))</f>
        <v>6.5027458811782332E-2</v>
      </c>
      <c r="F36" s="155">
        <f>IF($B36=" ","",IFERROR(INDEX(MMWR_RATING_RO_ROLLUP[],MATCH($B36,MMWR_RATING_RO_ROLLUP[MMWR_RATING_RO_ROLLUP],0),MATCH(F$9,MMWR_RATING_RO_ROLLUP[#Headers],0)),"ERROR"))</f>
        <v>914</v>
      </c>
      <c r="G36" s="155">
        <f>IF($B36=" ","",IFERROR(INDEX(MMWR_RATING_RO_ROLLUP[],MATCH($B36,MMWR_RATING_RO_ROLLUP[MMWR_RATING_RO_ROLLUP],0),MATCH(G$9,MMWR_RATING_RO_ROLLUP[#Headers],0)),"ERROR"))</f>
        <v>52223</v>
      </c>
      <c r="H36" s="156">
        <f>IF($B36=" ","",IFERROR(INDEX(MMWR_RATING_RO_ROLLUP[],MATCH($B36,MMWR_RATING_RO_ROLLUP[MMWR_RATING_RO_ROLLUP],0),MATCH(H$9,MMWR_RATING_RO_ROLLUP[#Headers],0)),"ERROR"))</f>
        <v>57.266958424499997</v>
      </c>
      <c r="I36" s="156">
        <f>IF($B36=" ","",IFERROR(INDEX(MMWR_RATING_RO_ROLLUP[],MATCH($B36,MMWR_RATING_RO_ROLLUP[MMWR_RATING_RO_ROLLUP],0),MATCH(I$9,MMWR_RATING_RO_ROLLUP[#Headers],0)),"ERROR"))</f>
        <v>64.616337629</v>
      </c>
      <c r="J36" s="42"/>
      <c r="K36" s="42"/>
      <c r="L36" s="42"/>
      <c r="M36" s="42"/>
      <c r="N36" s="28"/>
    </row>
    <row r="37" spans="1:14" x14ac:dyDescent="0.2">
      <c r="A37" s="25"/>
      <c r="B37" s="13" t="s">
        <v>232</v>
      </c>
      <c r="C37" s="155">
        <f>IF($B37=" ","",IFERROR(INDEX(MMWR_RATING_RO_ROLLUP[],MATCH($B37,MMWR_RATING_RO_ROLLUP[MMWR_RATING_RO_ROLLUP],0),MATCH(C$9,MMWR_RATING_RO_ROLLUP[#Headers],0)),"ERROR"))</f>
        <v>515</v>
      </c>
      <c r="D37" s="156">
        <f>IF($B37=" ","",IFERROR(INDEX(MMWR_RATING_RO_ROLLUP[],MATCH($B37,MMWR_RATING_RO_ROLLUP[MMWR_RATING_RO_ROLLUP],0),MATCH(D$9,MMWR_RATING_RO_ROLLUP[#Headers],0)),"ERROR"))</f>
        <v>158.75922330099999</v>
      </c>
      <c r="E37" s="157">
        <f>IF($B37=" ","",IFERROR(INDEX(MMWR_RATING_RO_ROLLUP[],MATCH($B37,MMWR_RATING_RO_ROLLUP[MMWR_RATING_RO_ROLLUP],0),MATCH(E$9,MMWR_RATING_RO_ROLLUP[#Headers],0))/$C37,"ERROR"))</f>
        <v>0.4330097087378641</v>
      </c>
      <c r="F37" s="155">
        <f>IF($B37=" ","",IFERROR(INDEX(MMWR_RATING_RO_ROLLUP[],MATCH($B37,MMWR_RATING_RO_ROLLUP[MMWR_RATING_RO_ROLLUP],0),MATCH(F$9,MMWR_RATING_RO_ROLLUP[#Headers],0)),"ERROR"))</f>
        <v>59</v>
      </c>
      <c r="G37" s="155">
        <f>IF($B37=" ","",IFERROR(INDEX(MMWR_RATING_RO_ROLLUP[],MATCH($B37,MMWR_RATING_RO_ROLLUP[MMWR_RATING_RO_ROLLUP],0),MATCH(G$9,MMWR_RATING_RO_ROLLUP[#Headers],0)),"ERROR"))</f>
        <v>5260</v>
      </c>
      <c r="H37" s="156">
        <f>IF($B37=" ","",IFERROR(INDEX(MMWR_RATING_RO_ROLLUP[],MATCH($B37,MMWR_RATING_RO_ROLLUP[MMWR_RATING_RO_ROLLUP],0),MATCH(H$9,MMWR_RATING_RO_ROLLUP[#Headers],0)),"ERROR"))</f>
        <v>105.7118644068</v>
      </c>
      <c r="I37" s="156">
        <f>IF($B37=" ","",IFERROR(INDEX(MMWR_RATING_RO_ROLLUP[],MATCH($B37,MMWR_RATING_RO_ROLLUP[MMWR_RATING_RO_ROLLUP],0),MATCH(I$9,MMWR_RATING_RO_ROLLUP[#Headers],0)),"ERROR"))</f>
        <v>68.080228136900004</v>
      </c>
      <c r="J37" s="42"/>
      <c r="K37" s="42"/>
      <c r="L37" s="42"/>
      <c r="M37" s="42"/>
      <c r="N37" s="28"/>
    </row>
    <row r="38" spans="1:14" x14ac:dyDescent="0.2">
      <c r="A38" s="25"/>
      <c r="B38" s="372" t="s">
        <v>926</v>
      </c>
      <c r="C38" s="373"/>
      <c r="D38" s="373"/>
      <c r="E38" s="373"/>
      <c r="F38" s="373"/>
      <c r="G38" s="373"/>
      <c r="H38" s="373"/>
      <c r="I38" s="373"/>
      <c r="J38" s="373"/>
      <c r="K38" s="373"/>
      <c r="L38" s="373"/>
      <c r="M38" s="385"/>
      <c r="N38" s="28"/>
    </row>
    <row r="39" spans="1:14" x14ac:dyDescent="0.2">
      <c r="A39" s="25"/>
      <c r="B39" s="44" t="s">
        <v>707</v>
      </c>
      <c r="C39" s="155">
        <f>IF($B39=" ","",IFERROR(INDEX(MMWR_RATING_RO_ROLLUP[],MATCH($B39,MMWR_RATING_RO_ROLLUP[MMWR_RATING_RO_ROLLUP],0),MATCH(C$9,MMWR_RATING_RO_ROLLUP[#Headers],0)),"ERROR"))</f>
        <v>8845</v>
      </c>
      <c r="D39" s="156">
        <f>IF($B39=" ","",IFERROR(INDEX(MMWR_RATING_RO_ROLLUP[],MATCH($B39,MMWR_RATING_RO_ROLLUP[MMWR_RATING_RO_ROLLUP],0),MATCH(D$9,MMWR_RATING_RO_ROLLUP[#Headers],0)),"ERROR"))</f>
        <v>65.520293951400006</v>
      </c>
      <c r="E39" s="157">
        <f>IF($B39=" ","",IFERROR(INDEX(MMWR_RATING_RO_ROLLUP[],MATCH($B39,MMWR_RATING_RO_ROLLUP[MMWR_RATING_RO_ROLLUP],0),MATCH(E$9,MMWR_RATING_RO_ROLLUP[#Headers],0))/$C39,"ERROR"))</f>
        <v>0.13646127755794235</v>
      </c>
      <c r="F39" s="155">
        <f>IF($B39=" ","",IFERROR(INDEX(MMWR_RATING_RO_ROLLUP[],MATCH($B39,MMWR_RATING_RO_ROLLUP[MMWR_RATING_RO_ROLLUP],0),MATCH(F$9,MMWR_RATING_RO_ROLLUP[#Headers],0)),"ERROR"))</f>
        <v>268</v>
      </c>
      <c r="G39" s="155">
        <f>IF($B39=" ","",IFERROR(INDEX(MMWR_RATING_RO_ROLLUP[],MATCH($B39,MMWR_RATING_RO_ROLLUP[MMWR_RATING_RO_ROLLUP],0),MATCH(G$9,MMWR_RATING_RO_ROLLUP[#Headers],0)),"ERROR"))</f>
        <v>24004</v>
      </c>
      <c r="H39" s="156">
        <f>IF($B39=" ","",IFERROR(INDEX(MMWR_RATING_RO_ROLLUP[],MATCH($B39,MMWR_RATING_RO_ROLLUP[MMWR_RATING_RO_ROLLUP],0),MATCH(H$9,MMWR_RATING_RO_ROLLUP[#Headers],0)),"ERROR"))</f>
        <v>127.921641791</v>
      </c>
      <c r="I39" s="156">
        <f>IF($B39=" ","",IFERROR(INDEX(MMWR_RATING_RO_ROLLUP[],MATCH($B39,MMWR_RATING_RO_ROLLUP[MMWR_RATING_RO_ROLLUP],0),MATCH(I$9,MMWR_RATING_RO_ROLLUP[#Headers],0)),"ERROR"))</f>
        <v>132.96525579070001</v>
      </c>
      <c r="J39" s="42"/>
      <c r="K39" s="42"/>
      <c r="L39" s="42"/>
      <c r="M39" s="42"/>
      <c r="N39" s="28"/>
    </row>
    <row r="40" spans="1:14" x14ac:dyDescent="0.2">
      <c r="A40" s="25"/>
      <c r="B40" s="53" t="s">
        <v>968</v>
      </c>
      <c r="C40" s="155">
        <f>IF($B40=" ","",IFERROR(INDEX(MMWR_RATING_RO_ROLLUP[],MATCH($B40,MMWR_RATING_RO_ROLLUP[MMWR_RATING_RO_ROLLUP],0),MATCH(C$9,MMWR_RATING_RO_ROLLUP[#Headers],0)),"ERROR"))</f>
        <v>2879</v>
      </c>
      <c r="D40" s="156">
        <f>IF($B40=" ","",IFERROR(INDEX(MMWR_RATING_RO_ROLLUP[],MATCH($B40,MMWR_RATING_RO_ROLLUP[MMWR_RATING_RO_ROLLUP],0),MATCH(D$9,MMWR_RATING_RO_ROLLUP[#Headers],0)),"ERROR"))</f>
        <v>60.493226814899998</v>
      </c>
      <c r="E40" s="157">
        <f>IF($B40=" ","",IFERROR(INDEX(MMWR_RATING_RO_ROLLUP[],MATCH($B40,MMWR_RATING_RO_ROLLUP[MMWR_RATING_RO_ROLLUP],0),MATCH(E$9,MMWR_RATING_RO_ROLLUP[#Headers],0))/$C40,"ERROR"))</f>
        <v>0.11427579020493227</v>
      </c>
      <c r="F40" s="155">
        <f>IF($B40=" ","",IFERROR(INDEX(MMWR_RATING_RO_ROLLUP[],MATCH($B40,MMWR_RATING_RO_ROLLUP[MMWR_RATING_RO_ROLLUP],0),MATCH(F$9,MMWR_RATING_RO_ROLLUP[#Headers],0)),"ERROR"))</f>
        <v>123</v>
      </c>
      <c r="G40" s="155">
        <f>IF($B40=" ","",IFERROR(INDEX(MMWR_RATING_RO_ROLLUP[],MATCH($B40,MMWR_RATING_RO_ROLLUP[MMWR_RATING_RO_ROLLUP],0),MATCH(G$9,MMWR_RATING_RO_ROLLUP[#Headers],0)),"ERROR"))</f>
        <v>10010</v>
      </c>
      <c r="H40" s="156">
        <f>IF($B40=" ","",IFERROR(INDEX(MMWR_RATING_RO_ROLLUP[],MATCH($B40,MMWR_RATING_RO_ROLLUP[MMWR_RATING_RO_ROLLUP],0),MATCH(H$9,MMWR_RATING_RO_ROLLUP[#Headers],0)),"ERROR"))</f>
        <v>104.0325203252</v>
      </c>
      <c r="I40" s="156">
        <f>IF($B40=" ","",IFERROR(INDEX(MMWR_RATING_RO_ROLLUP[],MATCH($B40,MMWR_RATING_RO_ROLLUP[MMWR_RATING_RO_ROLLUP],0),MATCH(I$9,MMWR_RATING_RO_ROLLUP[#Headers],0)),"ERROR"))</f>
        <v>118.09780219779999</v>
      </c>
      <c r="J40" s="42"/>
      <c r="K40" s="42"/>
      <c r="L40" s="42"/>
      <c r="M40" s="42"/>
      <c r="N40" s="28"/>
    </row>
    <row r="41" spans="1:14" x14ac:dyDescent="0.2">
      <c r="A41" s="25"/>
      <c r="B41" s="53" t="s">
        <v>969</v>
      </c>
      <c r="C41" s="155">
        <f>IF($B41=" ","",IFERROR(INDEX(MMWR_RATING_RO_ROLLUP[],MATCH($B41,MMWR_RATING_RO_ROLLUP[MMWR_RATING_RO_ROLLUP],0),MATCH(C$9,MMWR_RATING_RO_ROLLUP[#Headers],0)),"ERROR"))</f>
        <v>2935</v>
      </c>
      <c r="D41" s="156">
        <f>IF($B41=" ","",IFERROR(INDEX(MMWR_RATING_RO_ROLLUP[],MATCH($B41,MMWR_RATING_RO_ROLLUP[MMWR_RATING_RO_ROLLUP],0),MATCH(D$9,MMWR_RATING_RO_ROLLUP[#Headers],0)),"ERROR"))</f>
        <v>76.336967631999997</v>
      </c>
      <c r="E41" s="157">
        <f>IF($B41=" ","",IFERROR(INDEX(MMWR_RATING_RO_ROLLUP[],MATCH($B41,MMWR_RATING_RO_ROLLUP[MMWR_RATING_RO_ROLLUP],0),MATCH(E$9,MMWR_RATING_RO_ROLLUP[#Headers],0))/$C41,"ERROR"))</f>
        <v>0.17444633730834752</v>
      </c>
      <c r="F41" s="155">
        <f>IF($B41=" ","",IFERROR(INDEX(MMWR_RATING_RO_ROLLUP[],MATCH($B41,MMWR_RATING_RO_ROLLUP[MMWR_RATING_RO_ROLLUP],0),MATCH(F$9,MMWR_RATING_RO_ROLLUP[#Headers],0)),"ERROR"))</f>
        <v>64</v>
      </c>
      <c r="G41" s="155">
        <f>IF($B41=" ","",IFERROR(INDEX(MMWR_RATING_RO_ROLLUP[],MATCH($B41,MMWR_RATING_RO_ROLLUP[MMWR_RATING_RO_ROLLUP],0),MATCH(G$9,MMWR_RATING_RO_ROLLUP[#Headers],0)),"ERROR"))</f>
        <v>10141</v>
      </c>
      <c r="H41" s="156">
        <f>IF($B41=" ","",IFERROR(INDEX(MMWR_RATING_RO_ROLLUP[],MATCH($B41,MMWR_RATING_RO_ROLLUP[MMWR_RATING_RO_ROLLUP],0),MATCH(H$9,MMWR_RATING_RO_ROLLUP[#Headers],0)),"ERROR"))</f>
        <v>160.703125</v>
      </c>
      <c r="I41" s="156">
        <f>IF($B41=" ","",IFERROR(INDEX(MMWR_RATING_RO_ROLLUP[],MATCH($B41,MMWR_RATING_RO_ROLLUP[MMWR_RATING_RO_ROLLUP],0),MATCH(I$9,MMWR_RATING_RO_ROLLUP[#Headers],0)),"ERROR"))</f>
        <v>151.19288038650001</v>
      </c>
      <c r="J41" s="42"/>
      <c r="K41" s="42"/>
      <c r="L41" s="42"/>
      <c r="M41" s="42"/>
      <c r="N41" s="28"/>
    </row>
    <row r="42" spans="1:14" x14ac:dyDescent="0.2">
      <c r="A42" s="25"/>
      <c r="B42" s="46" t="s">
        <v>316</v>
      </c>
      <c r="C42" s="155">
        <f>IF($B42=" ","",IFERROR(INDEX(MMWR_RATING_RO_ROLLUP[],MATCH($B42,MMWR_RATING_RO_ROLLUP[MMWR_RATING_RO_ROLLUP],0),MATCH(C$9,MMWR_RATING_RO_ROLLUP[#Headers],0)),"ERROR"))</f>
        <v>3031</v>
      </c>
      <c r="D42" s="156">
        <f>IF($B42=" ","",IFERROR(INDEX(MMWR_RATING_RO_ROLLUP[],MATCH($B42,MMWR_RATING_RO_ROLLUP[MMWR_RATING_RO_ROLLUP],0),MATCH(D$9,MMWR_RATING_RO_ROLLUP[#Headers],0)),"ERROR"))</f>
        <v>59.821181128299997</v>
      </c>
      <c r="E42" s="157">
        <f>IF($B42=" ","",IFERROR(INDEX(MMWR_RATING_RO_ROLLUP[],MATCH($B42,MMWR_RATING_RO_ROLLUP[MMWR_RATING_RO_ROLLUP],0),MATCH(E$9,MMWR_RATING_RO_ROLLUP[#Headers],0))/$C42,"ERROR"))</f>
        <v>0.12075222698779281</v>
      </c>
      <c r="F42" s="155">
        <f>IF($B42=" ","",IFERROR(INDEX(MMWR_RATING_RO_ROLLUP[],MATCH($B42,MMWR_RATING_RO_ROLLUP[MMWR_RATING_RO_ROLLUP],0),MATCH(F$9,MMWR_RATING_RO_ROLLUP[#Headers],0)),"ERROR"))</f>
        <v>81</v>
      </c>
      <c r="G42" s="155">
        <f>IF($B42=" ","",IFERROR(INDEX(MMWR_RATING_RO_ROLLUP[],MATCH($B42,MMWR_RATING_RO_ROLLUP[MMWR_RATING_RO_ROLLUP],0),MATCH(G$9,MMWR_RATING_RO_ROLLUP[#Headers],0)),"ERROR"))</f>
        <v>3853</v>
      </c>
      <c r="H42" s="156">
        <f>IF($B42=" ","",IFERROR(INDEX(MMWR_RATING_RO_ROLLUP[],MATCH($B42,MMWR_RATING_RO_ROLLUP[MMWR_RATING_RO_ROLLUP],0),MATCH(H$9,MMWR_RATING_RO_ROLLUP[#Headers],0)),"ERROR"))</f>
        <v>138.2962962963</v>
      </c>
      <c r="I42" s="156">
        <f>IF($B42=" ","",IFERROR(INDEX(MMWR_RATING_RO_ROLLUP[],MATCH($B42,MMWR_RATING_RO_ROLLUP[MMWR_RATING_RO_ROLLUP],0),MATCH(I$9,MMWR_RATING_RO_ROLLUP[#Headers],0)),"ERROR"))</f>
        <v>123.615883727</v>
      </c>
      <c r="J42" s="42"/>
      <c r="K42" s="42"/>
      <c r="L42" s="42"/>
      <c r="M42" s="42"/>
      <c r="N42" s="28"/>
    </row>
    <row r="43" spans="1:14" x14ac:dyDescent="0.2">
      <c r="A43" s="25"/>
      <c r="B43" s="372" t="s">
        <v>744</v>
      </c>
      <c r="C43" s="373"/>
      <c r="D43" s="373"/>
      <c r="E43" s="373"/>
      <c r="F43" s="373"/>
      <c r="G43" s="373"/>
      <c r="H43" s="373"/>
      <c r="I43" s="373"/>
      <c r="J43" s="373"/>
      <c r="K43" s="373"/>
      <c r="L43" s="373"/>
      <c r="M43" s="385"/>
      <c r="N43" s="28"/>
    </row>
    <row r="44" spans="1:14" x14ac:dyDescent="0.2">
      <c r="A44" s="25"/>
      <c r="B44" s="44" t="s">
        <v>705</v>
      </c>
      <c r="C44" s="155">
        <f>IF($B44=" ","",IFERROR(INDEX(MMWR_RATING_RO_ROLLUP[],MATCH($B44,MMWR_RATING_RO_ROLLUP[MMWR_RATING_RO_ROLLUP],0),MATCH(C$9,MMWR_RATING_RO_ROLLUP[#Headers],0)),"ERROR"))</f>
        <v>10607</v>
      </c>
      <c r="D44" s="156">
        <f>IF($B44=" ","",IFERROR(INDEX(MMWR_RATING_RO_ROLLUP[],MATCH($B44,MMWR_RATING_RO_ROLLUP[MMWR_RATING_RO_ROLLUP],0),MATCH(D$9,MMWR_RATING_RO_ROLLUP[#Headers],0)),"ERROR"))</f>
        <v>60.803337418700004</v>
      </c>
      <c r="E44" s="157">
        <f>IF($B44=" ","",IFERROR(INDEX(MMWR_RATING_RO_ROLLUP[],MATCH($B44,MMWR_RATING_RO_ROLLUP[MMWR_RATING_RO_ROLLUP],0),MATCH(E$9,MMWR_RATING_RO_ROLLUP[#Headers],0))/$C44,"ERROR"))</f>
        <v>0.11973225228622608</v>
      </c>
      <c r="F44" s="155">
        <f>IF($B44=" ","",IFERROR(INDEX(MMWR_RATING_RO_ROLLUP[],MATCH($B44,MMWR_RATING_RO_ROLLUP[MMWR_RATING_RO_ROLLUP],0),MATCH(F$9,MMWR_RATING_RO_ROLLUP[#Headers],0)),"ERROR"))</f>
        <v>244</v>
      </c>
      <c r="G44" s="155">
        <f>IF($B44=" ","",IFERROR(INDEX(MMWR_RATING_RO_ROLLUP[],MATCH($B44,MMWR_RATING_RO_ROLLUP[MMWR_RATING_RO_ROLLUP],0),MATCH(G$9,MMWR_RATING_RO_ROLLUP[#Headers],0)),"ERROR"))</f>
        <v>23860</v>
      </c>
      <c r="H44" s="156">
        <f>IF($B44=" ","",IFERROR(INDEX(MMWR_RATING_RO_ROLLUP[],MATCH($B44,MMWR_RATING_RO_ROLLUP[MMWR_RATING_RO_ROLLUP],0),MATCH(H$9,MMWR_RATING_RO_ROLLUP[#Headers],0)),"ERROR"))</f>
        <v>134.78688524590001</v>
      </c>
      <c r="I44" s="156">
        <f>IF($B44=" ","",IFERROR(INDEX(MMWR_RATING_RO_ROLLUP[],MATCH($B44,MMWR_RATING_RO_ROLLUP[MMWR_RATING_RO_ROLLUP],0),MATCH(I$9,MMWR_RATING_RO_ROLLUP[#Headers],0)),"ERROR"))</f>
        <v>150.68985750210001</v>
      </c>
      <c r="J44" s="42"/>
      <c r="K44" s="42"/>
      <c r="L44" s="42"/>
      <c r="M44" s="42"/>
      <c r="N44" s="28"/>
    </row>
    <row r="45" spans="1:14" x14ac:dyDescent="0.2">
      <c r="A45" s="25"/>
      <c r="B45" s="45" t="s">
        <v>219</v>
      </c>
      <c r="C45" s="155">
        <f>IF($B45=" ","",IFERROR(INDEX(MMWR_RATING_RO_ROLLUP[],MATCH($B45,MMWR_RATING_RO_ROLLUP[MMWR_RATING_RO_ROLLUP],0),MATCH(C$9,MMWR_RATING_RO_ROLLUP[#Headers],0)),"ERROR"))</f>
        <v>3563</v>
      </c>
      <c r="D45" s="156">
        <f>IF($B45=" ","",IFERROR(INDEX(MMWR_RATING_RO_ROLLUP[],MATCH($B45,MMWR_RATING_RO_ROLLUP[MMWR_RATING_RO_ROLLUP],0),MATCH(D$9,MMWR_RATING_RO_ROLLUP[#Headers],0)),"ERROR"))</f>
        <v>57.438955935999999</v>
      </c>
      <c r="E45" s="157">
        <f>IF($B45=" ","",IFERROR(INDEX(MMWR_RATING_RO_ROLLUP[],MATCH($B45,MMWR_RATING_RO_ROLLUP[MMWR_RATING_RO_ROLLUP],0),MATCH(E$9,MMWR_RATING_RO_ROLLUP[#Headers],0))/$C45,"ERROR"))</f>
        <v>8.3356721863598091E-2</v>
      </c>
      <c r="F45" s="155">
        <f>IF($B45=" ","",IFERROR(INDEX(MMWR_RATING_RO_ROLLUP[],MATCH($B45,MMWR_RATING_RO_ROLLUP[MMWR_RATING_RO_ROLLUP],0),MATCH(F$9,MMWR_RATING_RO_ROLLUP[#Headers],0)),"ERROR"))</f>
        <v>119</v>
      </c>
      <c r="G45" s="155">
        <f>IF($B45=" ","",IFERROR(INDEX(MMWR_RATING_RO_ROLLUP[],MATCH($B45,MMWR_RATING_RO_ROLLUP[MMWR_RATING_RO_ROLLUP],0),MATCH(G$9,MMWR_RATING_RO_ROLLUP[#Headers],0)),"ERROR"))</f>
        <v>12332</v>
      </c>
      <c r="H45" s="156">
        <f>IF($B45=" ","",IFERROR(INDEX(MMWR_RATING_RO_ROLLUP[],MATCH($B45,MMWR_RATING_RO_ROLLUP[MMWR_RATING_RO_ROLLUP],0),MATCH(H$9,MMWR_RATING_RO_ROLLUP[#Headers],0)),"ERROR"))</f>
        <v>128.54621848740001</v>
      </c>
      <c r="I45" s="156">
        <f>IF($B45=" ","",IFERROR(INDEX(MMWR_RATING_RO_ROLLUP[],MATCH($B45,MMWR_RATING_RO_ROLLUP[MMWR_RATING_RO_ROLLUP],0),MATCH(I$9,MMWR_RATING_RO_ROLLUP[#Headers],0)),"ERROR"))</f>
        <v>166.74635095689999</v>
      </c>
      <c r="J45" s="42"/>
      <c r="K45" s="42"/>
      <c r="L45" s="42"/>
      <c r="M45" s="42"/>
      <c r="N45" s="28"/>
    </row>
    <row r="46" spans="1:14" x14ac:dyDescent="0.2">
      <c r="A46" s="25"/>
      <c r="B46" s="45" t="s">
        <v>221</v>
      </c>
      <c r="C46" s="155">
        <f>IF($B46=" ","",IFERROR(INDEX(MMWR_RATING_RO_ROLLUP[],MATCH($B46,MMWR_RATING_RO_ROLLUP[MMWR_RATING_RO_ROLLUP],0),MATCH(C$9,MMWR_RATING_RO_ROLLUP[#Headers],0)),"ERROR"))</f>
        <v>4623</v>
      </c>
      <c r="D46" s="156">
        <f>IF($B46=" ","",IFERROR(INDEX(MMWR_RATING_RO_ROLLUP[],MATCH($B46,MMWR_RATING_RO_ROLLUP[MMWR_RATING_RO_ROLLUP],0),MATCH(D$9,MMWR_RATING_RO_ROLLUP[#Headers],0)),"ERROR"))</f>
        <v>68.216742375099997</v>
      </c>
      <c r="E46" s="157">
        <f>IF($B46=" ","",IFERROR(INDEX(MMWR_RATING_RO_ROLLUP[],MATCH($B46,MMWR_RATING_RO_ROLLUP[MMWR_RATING_RO_ROLLUP],0),MATCH(E$9,MMWR_RATING_RO_ROLLUP[#Headers],0))/$C46,"ERROR"))</f>
        <v>0.15704088254380272</v>
      </c>
      <c r="F46" s="155">
        <f>IF($B46=" ","",IFERROR(INDEX(MMWR_RATING_RO_ROLLUP[],MATCH($B46,MMWR_RATING_RO_ROLLUP[MMWR_RATING_RO_ROLLUP],0),MATCH(F$9,MMWR_RATING_RO_ROLLUP[#Headers],0)),"ERROR"))</f>
        <v>80</v>
      </c>
      <c r="G46" s="155">
        <f>IF($B46=" ","",IFERROR(INDEX(MMWR_RATING_RO_ROLLUP[],MATCH($B46,MMWR_RATING_RO_ROLLUP[MMWR_RATING_RO_ROLLUP],0),MATCH(G$9,MMWR_RATING_RO_ROLLUP[#Headers],0)),"ERROR"))</f>
        <v>9091</v>
      </c>
      <c r="H46" s="156">
        <f>IF($B46=" ","",IFERROR(INDEX(MMWR_RATING_RO_ROLLUP[],MATCH($B46,MMWR_RATING_RO_ROLLUP[MMWR_RATING_RO_ROLLUP],0),MATCH(H$9,MMWR_RATING_RO_ROLLUP[#Headers],0)),"ERROR"))</f>
        <v>148.11250000000001</v>
      </c>
      <c r="I46" s="156">
        <f>IF($B46=" ","",IFERROR(INDEX(MMWR_RATING_RO_ROLLUP[],MATCH($B46,MMWR_RATING_RO_ROLLUP[MMWR_RATING_RO_ROLLUP],0),MATCH(I$9,MMWR_RATING_RO_ROLLUP[#Headers],0)),"ERROR"))</f>
        <v>130.86151138490001</v>
      </c>
      <c r="J46" s="42"/>
      <c r="K46" s="42"/>
      <c r="L46" s="42"/>
      <c r="M46" s="42"/>
      <c r="N46" s="28"/>
    </row>
    <row r="47" spans="1:14" x14ac:dyDescent="0.2">
      <c r="A47" s="25"/>
      <c r="B47" s="47" t="s">
        <v>317</v>
      </c>
      <c r="C47" s="155">
        <f>IF($B47=" ","",IFERROR(INDEX(MMWR_RATING_RO_ROLLUP[],MATCH($B47,MMWR_RATING_RO_ROLLUP[MMWR_RATING_RO_ROLLUP],0),MATCH(C$9,MMWR_RATING_RO_ROLLUP[#Headers],0)),"ERROR"))</f>
        <v>2421</v>
      </c>
      <c r="D47" s="156">
        <f>IF($B47=" ","",IFERROR(INDEX(MMWR_RATING_RO_ROLLUP[],MATCH($B47,MMWR_RATING_RO_ROLLUP[MMWR_RATING_RO_ROLLUP],0),MATCH(D$9,MMWR_RATING_RO_ROLLUP[#Headers],0)),"ERROR"))</f>
        <v>51.598513011199998</v>
      </c>
      <c r="E47" s="157">
        <f>IF($B47=" ","",IFERROR(INDEX(MMWR_RATING_RO_ROLLUP[],MATCH($B47,MMWR_RATING_RO_ROLLUP[MMWR_RATING_RO_ROLLUP],0),MATCH(E$9,MMWR_RATING_RO_ROLLUP[#Headers],0))/$C47,"ERROR"))</f>
        <v>0.1020239570425444</v>
      </c>
      <c r="F47" s="155">
        <f>IF($B47=" ","",IFERROR(INDEX(MMWR_RATING_RO_ROLLUP[],MATCH($B47,MMWR_RATING_RO_ROLLUP[MMWR_RATING_RO_ROLLUP],0),MATCH(F$9,MMWR_RATING_RO_ROLLUP[#Headers],0)),"ERROR"))</f>
        <v>45</v>
      </c>
      <c r="G47" s="155">
        <f>IF($B47=" ","",IFERROR(INDEX(MMWR_RATING_RO_ROLLUP[],MATCH($B47,MMWR_RATING_RO_ROLLUP[MMWR_RATING_RO_ROLLUP],0),MATCH(G$9,MMWR_RATING_RO_ROLLUP[#Headers],0)),"ERROR"))</f>
        <v>2437</v>
      </c>
      <c r="H47" s="156">
        <f>IF($B47=" ","",IFERROR(INDEX(MMWR_RATING_RO_ROLLUP[],MATCH($B47,MMWR_RATING_RO_ROLLUP[MMWR_RATING_RO_ROLLUP],0),MATCH(H$9,MMWR_RATING_RO_ROLLUP[#Headers],0)),"ERROR"))</f>
        <v>127.6</v>
      </c>
      <c r="I47" s="156">
        <f>IF($B47=" ","",IFERROR(INDEX(MMWR_RATING_RO_ROLLUP[],MATCH($B47,MMWR_RATING_RO_ROLLUP[MMWR_RATING_RO_ROLLUP],0),MATCH(I$9,MMWR_RATING_RO_ROLLUP[#Headers],0)),"ERROR"))</f>
        <v>143.40664751739999</v>
      </c>
      <c r="J47" s="42"/>
      <c r="K47" s="42"/>
      <c r="L47" s="42"/>
      <c r="M47" s="42"/>
      <c r="N47" s="28"/>
    </row>
    <row r="48" spans="1:14" ht="12" customHeight="1" x14ac:dyDescent="0.2">
      <c r="A48" s="25"/>
      <c r="B48" s="26"/>
      <c r="C48" s="26"/>
      <c r="D48" s="26"/>
      <c r="E48" s="26"/>
      <c r="F48" s="26"/>
      <c r="G48" s="26"/>
      <c r="H48" s="26"/>
      <c r="I48" s="26"/>
      <c r="J48" s="26"/>
      <c r="K48" s="26"/>
      <c r="L48" s="26"/>
      <c r="M48" s="26"/>
      <c r="N48" s="28"/>
    </row>
    <row r="49" hidden="1" x14ac:dyDescent="0.2"/>
    <row r="50" hidden="1" x14ac:dyDescent="0.2"/>
    <row r="51" hidden="1" x14ac:dyDescent="0.2"/>
  </sheetData>
  <sheetProtection password="BD20" sheet="1" autoFilter="0"/>
  <protectedRanges>
    <protectedRange sqref="C12:I12 C33:I37 C44:I47 C39:I42 C14:I31" name="SOJ"/>
  </protectedRanges>
  <mergeCells count="20">
    <mergeCell ref="C2:I3"/>
    <mergeCell ref="J2:M2"/>
    <mergeCell ref="J3:M3"/>
    <mergeCell ref="D6:E6"/>
    <mergeCell ref="G6:H6"/>
    <mergeCell ref="L6:M6"/>
    <mergeCell ref="C4:M4"/>
    <mergeCell ref="C5:O5"/>
    <mergeCell ref="D7:E7"/>
    <mergeCell ref="G7:H7"/>
    <mergeCell ref="L7:M7"/>
    <mergeCell ref="D8:E8"/>
    <mergeCell ref="G8:H8"/>
    <mergeCell ref="L8:M8"/>
    <mergeCell ref="C10:M10"/>
    <mergeCell ref="B13:M13"/>
    <mergeCell ref="B32:M32"/>
    <mergeCell ref="B38:M38"/>
    <mergeCell ref="B43:M43"/>
    <mergeCell ref="J11:M11"/>
  </mergeCells>
  <conditionalFormatting sqref="A1:N3 A6:N48 A4 C4:N4 A5:B5">
    <cfRule type="expression" dxfId="434" priority="4">
      <formula>IF(OR(ISERROR(A1048576),A1="ERROR"),TRUE,FALSE)</formula>
    </cfRule>
  </conditionalFormatting>
  <conditionalFormatting sqref="B4">
    <cfRule type="expression" dxfId="433" priority="2">
      <formula>IF(OR(ISERROR(B4),B4="ERROR"),TRUE,FALSE)</formula>
    </cfRule>
  </conditionalFormatting>
  <conditionalFormatting sqref="C5:O5">
    <cfRule type="expression" dxfId="432" priority="1">
      <formula>IF(OR(ISERROR(C5),C5="ERROR"),TRUE,FALSE)</formula>
    </cfRule>
  </conditionalFormatting>
  <printOptions horizontalCentered="1" verticalCentered="1"/>
  <pageMargins left="0.25" right="0.25" top="0.75" bottom="0.75" header="0.3" footer="0.3"/>
  <pageSetup scale="66" fitToHeight="0" orientation="landscape" r:id="rId1"/>
  <headerFooter>
    <oddHeader>&amp;C&amp;14VBA Monday Morning Workload Report</oddHeader>
    <oddFooter>&amp;LPrepared by VBA Office of Performance Analysis &amp; Integrity&amp;R&amp;A
Page: &amp;P of &amp;N</oddFooter>
  </headerFooter>
  <rowBreaks count="2" manualBreakCount="2">
    <brk id="31" max="17" man="1"/>
    <brk id="48" max="17" man="1"/>
  </rowBreaks>
  <ignoredErrors>
    <ignoredError sqref="E12 E14:E31 E33:E37 E39:E42 E44:E47" formula="1"/>
  </ignoredErrors>
  <drawing r:id="rId2"/>
  <legacyDrawing r:id="rId3"/>
  <controls>
    <mc:AlternateContent xmlns:mc="http://schemas.openxmlformats.org/markup-compatibility/2006">
      <mc:Choice Requires="x14">
        <control shapeId="74754" r:id="rId4" name="ComboBox1">
          <controlPr locked="0" defaultSize="0" autoLine="0" linkedCell="B15" listFillRange="Districts" r:id="rId5">
            <anchor>
              <from>
                <xdr:col>1</xdr:col>
                <xdr:colOff>104775</xdr:colOff>
                <xdr:row>4</xdr:row>
                <xdr:rowOff>76200</xdr:rowOff>
              </from>
              <to>
                <xdr:col>1</xdr:col>
                <xdr:colOff>1905000</xdr:colOff>
                <xdr:row>5</xdr:row>
                <xdr:rowOff>133350</xdr:rowOff>
              </to>
            </anchor>
          </controlPr>
        </control>
      </mc:Choice>
      <mc:Fallback>
        <control shapeId="74754" r:id="rId4" name="ComboBox1"/>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O88"/>
  <sheetViews>
    <sheetView zoomScale="70" zoomScaleNormal="70" zoomScaleSheetLayoutView="80" workbookViewId="0"/>
  </sheetViews>
  <sheetFormatPr defaultColWidth="0" defaultRowHeight="12.75" customHeight="1" zeroHeight="1" x14ac:dyDescent="0.2"/>
  <cols>
    <col min="1" max="1" width="2.5703125" customWidth="1"/>
    <col min="2" max="2" width="32.5703125" customWidth="1"/>
    <col min="3" max="13" width="15" customWidth="1"/>
    <col min="14" max="14" width="2.85546875" customWidth="1"/>
    <col min="15" max="16384" width="9.140625" hidden="1"/>
  </cols>
  <sheetData>
    <row r="1" spans="1:15" ht="15" customHeight="1" thickBot="1" x14ac:dyDescent="0.25">
      <c r="A1" s="25"/>
      <c r="B1" s="26"/>
      <c r="C1" s="26"/>
      <c r="D1" s="26"/>
      <c r="E1" s="26"/>
      <c r="F1" s="26"/>
      <c r="G1" s="26"/>
      <c r="H1" s="26"/>
      <c r="I1" s="26"/>
      <c r="J1" s="26"/>
      <c r="K1" s="26"/>
      <c r="L1" s="26"/>
      <c r="M1" s="26"/>
      <c r="N1" s="28"/>
    </row>
    <row r="2" spans="1:15" ht="24" customHeight="1" x14ac:dyDescent="0.35">
      <c r="A2" s="25"/>
      <c r="B2" s="29"/>
      <c r="C2" s="352" t="s">
        <v>990</v>
      </c>
      <c r="D2" s="353"/>
      <c r="E2" s="353"/>
      <c r="F2" s="353"/>
      <c r="G2" s="353"/>
      <c r="H2" s="353"/>
      <c r="I2" s="353"/>
      <c r="J2" s="352" t="s">
        <v>309</v>
      </c>
      <c r="K2" s="353"/>
      <c r="L2" s="353"/>
      <c r="M2" s="354"/>
      <c r="N2" s="28"/>
    </row>
    <row r="3" spans="1:15" ht="24" customHeight="1" thickBot="1" x14ac:dyDescent="0.4">
      <c r="A3" s="25"/>
      <c r="B3" s="29"/>
      <c r="C3" s="355"/>
      <c r="D3" s="356"/>
      <c r="E3" s="356"/>
      <c r="F3" s="356"/>
      <c r="G3" s="356"/>
      <c r="H3" s="356"/>
      <c r="I3" s="356"/>
      <c r="J3" s="355" t="str">
        <f>Transformation!B4</f>
        <v>As of: September 05, 2015</v>
      </c>
      <c r="K3" s="356"/>
      <c r="L3" s="356"/>
      <c r="M3" s="357"/>
      <c r="N3" s="28"/>
    </row>
    <row r="4" spans="1:15" ht="51.75" customHeight="1" thickBot="1" x14ac:dyDescent="0.35">
      <c r="A4" s="30"/>
      <c r="B4" s="249" t="s">
        <v>465</v>
      </c>
      <c r="C4" s="358" t="s">
        <v>441</v>
      </c>
      <c r="D4" s="359"/>
      <c r="E4" s="359"/>
      <c r="F4" s="359"/>
      <c r="G4" s="359"/>
      <c r="H4" s="359"/>
      <c r="I4" s="359"/>
      <c r="J4" s="359"/>
      <c r="K4" s="359"/>
      <c r="L4" s="359"/>
      <c r="M4" s="360"/>
      <c r="N4" s="28"/>
    </row>
    <row r="5" spans="1:15" ht="27" customHeight="1" thickBot="1" x14ac:dyDescent="0.25">
      <c r="A5" s="30"/>
      <c r="B5" s="248" t="s">
        <v>379</v>
      </c>
      <c r="C5" s="361" t="s">
        <v>1054</v>
      </c>
      <c r="D5" s="362"/>
      <c r="E5" s="362"/>
      <c r="F5" s="362"/>
      <c r="G5" s="362"/>
      <c r="H5" s="362"/>
      <c r="I5" s="362"/>
      <c r="J5" s="362"/>
      <c r="K5" s="362"/>
      <c r="L5" s="362"/>
      <c r="M5" s="362"/>
      <c r="N5" s="362"/>
      <c r="O5" s="363"/>
    </row>
    <row r="6" spans="1:15" ht="55.5" customHeight="1" x14ac:dyDescent="0.2">
      <c r="A6" s="30"/>
      <c r="B6" s="31"/>
      <c r="C6" s="32" t="s">
        <v>198</v>
      </c>
      <c r="D6" s="364" t="s">
        <v>16</v>
      </c>
      <c r="E6" s="365"/>
      <c r="F6" s="33" t="s">
        <v>201</v>
      </c>
      <c r="G6" s="364" t="s">
        <v>206</v>
      </c>
      <c r="H6" s="366"/>
      <c r="I6" s="33" t="s">
        <v>204</v>
      </c>
      <c r="J6" s="49" t="s">
        <v>14</v>
      </c>
      <c r="K6" s="33" t="s">
        <v>209</v>
      </c>
      <c r="L6" s="370" t="s">
        <v>88</v>
      </c>
      <c r="M6" s="393"/>
      <c r="N6" s="28"/>
    </row>
    <row r="7" spans="1:15" ht="51.75" customHeight="1" x14ac:dyDescent="0.2">
      <c r="A7" s="30"/>
      <c r="B7" s="34"/>
      <c r="C7" s="35" t="s">
        <v>199</v>
      </c>
      <c r="D7" s="374" t="s">
        <v>0</v>
      </c>
      <c r="E7" s="375"/>
      <c r="F7" s="36" t="s">
        <v>202</v>
      </c>
      <c r="G7" s="376" t="s">
        <v>207</v>
      </c>
      <c r="H7" s="376"/>
      <c r="I7" s="36" t="s">
        <v>205</v>
      </c>
      <c r="J7" s="50" t="s">
        <v>19</v>
      </c>
      <c r="K7" s="36" t="s">
        <v>210</v>
      </c>
      <c r="L7" s="389" t="s">
        <v>90</v>
      </c>
      <c r="M7" s="390"/>
      <c r="N7" s="28"/>
    </row>
    <row r="8" spans="1:15" ht="51.75" customHeight="1" thickBot="1" x14ac:dyDescent="0.25">
      <c r="A8" s="25"/>
      <c r="B8" s="28"/>
      <c r="C8" s="37" t="s">
        <v>200</v>
      </c>
      <c r="D8" s="377" t="s">
        <v>18</v>
      </c>
      <c r="E8" s="378"/>
      <c r="F8" s="38" t="s">
        <v>203</v>
      </c>
      <c r="G8" s="379" t="s">
        <v>17</v>
      </c>
      <c r="H8" s="379"/>
      <c r="I8" s="38" t="s">
        <v>208</v>
      </c>
      <c r="J8" s="51" t="s">
        <v>87</v>
      </c>
      <c r="K8" s="38" t="s">
        <v>211</v>
      </c>
      <c r="L8" s="391" t="s">
        <v>89</v>
      </c>
      <c r="M8" s="392"/>
      <c r="N8" s="28"/>
    </row>
    <row r="9" spans="1:15" x14ac:dyDescent="0.2">
      <c r="A9" s="28"/>
      <c r="B9" s="39"/>
      <c r="C9" s="39" t="s">
        <v>724</v>
      </c>
      <c r="D9" s="39" t="s">
        <v>726</v>
      </c>
      <c r="E9" s="39" t="s">
        <v>725</v>
      </c>
      <c r="F9" s="39" t="s">
        <v>728</v>
      </c>
      <c r="G9" s="39" t="s">
        <v>727</v>
      </c>
      <c r="H9" s="39" t="s">
        <v>730</v>
      </c>
      <c r="I9" s="39" t="s">
        <v>729</v>
      </c>
      <c r="J9" s="39"/>
      <c r="K9" s="39"/>
      <c r="L9" s="39"/>
      <c r="M9" s="39"/>
      <c r="N9" s="39"/>
    </row>
    <row r="10" spans="1:15" ht="15.75" customHeight="1" x14ac:dyDescent="0.2">
      <c r="A10" s="25"/>
      <c r="B10" s="26"/>
      <c r="C10" s="380" t="s">
        <v>302</v>
      </c>
      <c r="D10" s="380"/>
      <c r="E10" s="380"/>
      <c r="F10" s="380"/>
      <c r="G10" s="380"/>
      <c r="H10" s="380"/>
      <c r="I10" s="380"/>
      <c r="J10" s="380"/>
      <c r="K10" s="380"/>
      <c r="L10" s="380"/>
      <c r="M10" s="384"/>
      <c r="N10" s="28"/>
    </row>
    <row r="11" spans="1:15" ht="63.75" customHeight="1" x14ac:dyDescent="0.2">
      <c r="A11" s="25"/>
      <c r="B11" s="26"/>
      <c r="C11" s="52" t="s">
        <v>234</v>
      </c>
      <c r="D11" s="52" t="s">
        <v>140</v>
      </c>
      <c r="E11" s="52" t="s">
        <v>235</v>
      </c>
      <c r="F11" s="52" t="s">
        <v>195</v>
      </c>
      <c r="G11" s="52" t="s">
        <v>212</v>
      </c>
      <c r="H11" s="52" t="s">
        <v>214</v>
      </c>
      <c r="I11" s="52" t="s">
        <v>215</v>
      </c>
      <c r="J11" s="386" t="s">
        <v>984</v>
      </c>
      <c r="K11" s="387"/>
      <c r="L11" s="387"/>
      <c r="M11" s="388"/>
      <c r="N11" s="28"/>
    </row>
    <row r="12" spans="1:15" x14ac:dyDescent="0.2">
      <c r="A12" s="25"/>
      <c r="B12" s="41" t="s">
        <v>739</v>
      </c>
      <c r="C12" s="155">
        <f>IF($B12=" ","",IFERROR(INDEX(MMWR_RATING_STATE_ROLLUP_VSC[],MATCH($B12,MMWR_RATING_STATE_ROLLUP_VSC[MMWR_RATING_STATE_ROLLUP_VSC],0),MATCH(C$9,MMWR_RATING_STATE_ROLLUP_VSC[#Headers],0)),"ERROR"))</f>
        <v>366703</v>
      </c>
      <c r="D12" s="156">
        <f>IF($B12=" ","",IFERROR(INDEX(MMWR_RATING_STATE_ROLLUP_VSC[],MATCH($B12,MMWR_RATING_STATE_ROLLUP_VSC[MMWR_RATING_STATE_ROLLUP_VSC],0),MATCH(D$9,MMWR_RATING_STATE_ROLLUP_VSC[#Headers],0)),"ERROR"))</f>
        <v>99.672825147300003</v>
      </c>
      <c r="E12" s="160">
        <f>IF($B12=" ","",IFERROR(INDEX(MMWR_RATING_STATE_ROLLUP_VSC[],MATCH($B12,MMWR_RATING_STATE_ROLLUP_VSC[MMWR_RATING_STATE_ROLLUP_VSC],0),MATCH(E$9,MMWR_RATING_STATE_ROLLUP_VSC[#Headers],0))/$C12,"ERROR"))</f>
        <v>0.25024065797116468</v>
      </c>
      <c r="F12" s="155">
        <f>IF($B12=" ","",IFERROR(INDEX(MMWR_RATING_STATE_ROLLUP_VSC[],MATCH($B12,MMWR_RATING_STATE_ROLLUP_VSC[MMWR_RATING_STATE_ROLLUP_VSC],0),MATCH(F$9,MMWR_RATING_STATE_ROLLUP_VSC[#Headers],0)),"ERROR"))</f>
        <v>16052</v>
      </c>
      <c r="G12" s="155">
        <f>IF($B12=" ","",IFERROR(INDEX(MMWR_RATING_STATE_ROLLUP_VSC[],MATCH($B12,MMWR_RATING_STATE_ROLLUP_VSC[MMWR_RATING_STATE_ROLLUP_VSC],0),MATCH(G$9,MMWR_RATING_STATE_ROLLUP_VSC[#Headers],0)),"ERROR"))</f>
        <v>1296846</v>
      </c>
      <c r="H12" s="156">
        <f>IF($B12=" ","",IFERROR(INDEX(MMWR_RATING_STATE_ROLLUP_VSC[],MATCH($B12,MMWR_RATING_STATE_ROLLUP_VSC[MMWR_RATING_STATE_ROLLUP_VSC],0),MATCH(H$9,MMWR_RATING_STATE_ROLLUP_VSC[#Headers],0)),"ERROR"))</f>
        <v>143.27952903069999</v>
      </c>
      <c r="I12" s="156">
        <f>IF($B12=" ","",IFERROR(INDEX(MMWR_RATING_STATE_ROLLUP_VSC[],MATCH($B12,MMWR_RATING_STATE_ROLLUP_VSC[MMWR_RATING_STATE_ROLLUP_VSC],0),MATCH(I$9,MMWR_RATING_STATE_ROLLUP_VSC[#Headers],0)),"ERROR"))</f>
        <v>171.00234646210001</v>
      </c>
      <c r="J12" s="42"/>
      <c r="K12" s="42"/>
      <c r="L12" s="42"/>
      <c r="M12" s="42"/>
      <c r="N12" s="28"/>
    </row>
    <row r="13" spans="1:15" x14ac:dyDescent="0.2">
      <c r="A13" s="25"/>
      <c r="B13" s="372" t="s">
        <v>970</v>
      </c>
      <c r="C13" s="373"/>
      <c r="D13" s="373"/>
      <c r="E13" s="373"/>
      <c r="F13" s="373"/>
      <c r="G13" s="373"/>
      <c r="H13" s="373"/>
      <c r="I13" s="373"/>
      <c r="J13" s="373"/>
      <c r="K13" s="373"/>
      <c r="L13" s="373"/>
      <c r="M13" s="385"/>
      <c r="N13" s="28"/>
    </row>
    <row r="14" spans="1:15" x14ac:dyDescent="0.2">
      <c r="A14" s="25"/>
      <c r="B14" s="41" t="s">
        <v>1048</v>
      </c>
      <c r="C14" s="155">
        <f>IF($B14=" ","",IFERROR(INDEX(MMWR_RATING_STATE_ROLLUP_VSC[],MATCH($B14,MMWR_RATING_STATE_ROLLUP_VSC[MMWR_RATING_STATE_ROLLUP_VSC],0),MATCH(C$9,MMWR_RATING_STATE_ROLLUP_VSC[#Headers],0)),"ERROR"))</f>
        <v>327199</v>
      </c>
      <c r="D14" s="156">
        <f>IF($B14=" ","",IFERROR(INDEX(MMWR_RATING_STATE_ROLLUP_VSC[],MATCH($B14,MMWR_RATING_STATE_ROLLUP_VSC[MMWR_RATING_STATE_ROLLUP_VSC],0),MATCH(D$9,MMWR_RATING_STATE_ROLLUP_VSC[#Headers],0)),"ERROR"))</f>
        <v>104.34102488089999</v>
      </c>
      <c r="E14" s="157">
        <f>IF($B14=" ","",IFERROR(INDEX(MMWR_RATING_STATE_ROLLUP_VSC[],MATCH($B14,MMWR_RATING_STATE_ROLLUP_VSC[MMWR_RATING_STATE_ROLLUP_VSC],0),MATCH(E$9,MMWR_RATING_STATE_ROLLUP_VSC[#Headers],0))/$C14,"ERROR"))</f>
        <v>0.26715851821063025</v>
      </c>
      <c r="F14" s="155">
        <f>IF($B14=" ","",IFERROR(INDEX(MMWR_RATING_STATE_ROLLUP_VSC[],MATCH($B14,MMWR_RATING_STATE_ROLLUP_VSC[MMWR_RATING_STATE_ROLLUP_VSC],0),MATCH(F$9,MMWR_RATING_STATE_ROLLUP_VSC[#Headers],0)),"ERROR"))</f>
        <v>13294</v>
      </c>
      <c r="G14" s="155">
        <f>IF($B14=" ","",IFERROR(INDEX(MMWR_RATING_STATE_ROLLUP_VSC[],MATCH($B14,MMWR_RATING_STATE_ROLLUP_VSC[MMWR_RATING_STATE_ROLLUP_VSC],0),MATCH(G$9,MMWR_RATING_STATE_ROLLUP_VSC[#Headers],0)),"ERROR"))</f>
        <v>1106066</v>
      </c>
      <c r="H14" s="156">
        <f>IF($B14=" ","",IFERROR(INDEX(MMWR_RATING_STATE_ROLLUP_VSC[],MATCH($B14,MMWR_RATING_STATE_ROLLUP_VSC[MMWR_RATING_STATE_ROLLUP_VSC],0),MATCH(H$9,MMWR_RATING_STATE_ROLLUP_VSC[#Headers],0)),"ERROR"))</f>
        <v>157.22295772530001</v>
      </c>
      <c r="I14" s="156">
        <f>IF($B14=" ","",IFERROR(INDEX(MMWR_RATING_STATE_ROLLUP_VSC[],MATCH($B14,MMWR_RATING_STATE_ROLLUP_VSC[MMWR_RATING_STATE_ROLLUP_VSC],0),MATCH(I$9,MMWR_RATING_STATE_ROLLUP_VSC[#Headers],0)),"ERROR"))</f>
        <v>186.02883553059999</v>
      </c>
      <c r="J14" s="42"/>
      <c r="K14" s="42"/>
      <c r="L14" s="42"/>
      <c r="M14" s="42"/>
      <c r="N14" s="28"/>
    </row>
    <row r="15" spans="1:15" x14ac:dyDescent="0.2">
      <c r="A15" s="25"/>
      <c r="B15" s="251" t="str">
        <f>INDEX(DISTRICT_STATES[],MATCH($B$5,DISTRICT_RO[District],0),1)</f>
        <v>North Atlantic</v>
      </c>
      <c r="C15" s="155">
        <f>IF($B15=" ","",IFERROR(INDEX(MMWR_RATING_STATE_ROLLUP_VSC[],MATCH($B15,MMWR_RATING_STATE_ROLLUP_VSC[MMWR_RATING_STATE_ROLLUP_VSC],0),MATCH(C$9,MMWR_RATING_STATE_ROLLUP_VSC[#Headers],0)),"ERROR"))</f>
        <v>70716</v>
      </c>
      <c r="D15" s="156">
        <f>IF($B15=" ","",IFERROR(INDEX(MMWR_RATING_STATE_ROLLUP_VSC[],MATCH($B15,MMWR_RATING_STATE_ROLLUP_VSC[MMWR_RATING_STATE_ROLLUP_VSC],0),MATCH(D$9,MMWR_RATING_STATE_ROLLUP_VSC[#Headers],0)),"ERROR"))</f>
        <v>105.7267096555</v>
      </c>
      <c r="E15" s="157">
        <f>IF($B15=" ","",IFERROR(INDEX(MMWR_RATING_STATE_ROLLUP_VSC[],MATCH($B15,MMWR_RATING_STATE_ROLLUP_VSC[MMWR_RATING_STATE_ROLLUP_VSC],0),MATCH(E$9,MMWR_RATING_STATE_ROLLUP_VSC[#Headers],0))/$C15,"ERROR"))</f>
        <v>0.27323378019118727</v>
      </c>
      <c r="F15" s="155">
        <f>IF($B15=" ","",IFERROR(INDEX(MMWR_RATING_STATE_ROLLUP_VSC[],MATCH($B15,MMWR_RATING_STATE_ROLLUP_VSC[MMWR_RATING_STATE_ROLLUP_VSC],0),MATCH(F$9,MMWR_RATING_STATE_ROLLUP_VSC[#Headers],0)),"ERROR"))</f>
        <v>2729</v>
      </c>
      <c r="G15" s="155">
        <f>IF($B15=" ","",IFERROR(INDEX(MMWR_RATING_STATE_ROLLUP_VSC[],MATCH($B15,MMWR_RATING_STATE_ROLLUP_VSC[MMWR_RATING_STATE_ROLLUP_VSC],0),MATCH(G$9,MMWR_RATING_STATE_ROLLUP_VSC[#Headers],0)),"ERROR"))</f>
        <v>236951</v>
      </c>
      <c r="H15" s="156">
        <f>IF($B15=" ","",IFERROR(INDEX(MMWR_RATING_STATE_ROLLUP_VSC[],MATCH($B15,MMWR_RATING_STATE_ROLLUP_VSC[MMWR_RATING_STATE_ROLLUP_VSC],0),MATCH(H$9,MMWR_RATING_STATE_ROLLUP_VSC[#Headers],0)),"ERROR"))</f>
        <v>160.22279223160001</v>
      </c>
      <c r="I15" s="156">
        <f>IF($B15=" ","",IFERROR(INDEX(MMWR_RATING_STATE_ROLLUP_VSC[],MATCH($B15,MMWR_RATING_STATE_ROLLUP_VSC[MMWR_RATING_STATE_ROLLUP_VSC],0),MATCH(I$9,MMWR_RATING_STATE_ROLLUP_VSC[#Headers],0)),"ERROR"))</f>
        <v>194.3141408983</v>
      </c>
      <c r="J15" s="42"/>
      <c r="K15" s="42"/>
      <c r="L15" s="42"/>
      <c r="M15" s="42"/>
      <c r="N15" s="28"/>
    </row>
    <row r="16" spans="1:15" x14ac:dyDescent="0.2">
      <c r="A16" s="25"/>
      <c r="B16" s="8" t="str">
        <f>VLOOKUP($B$15,DISTRICT_STATES[],2,0)</f>
        <v>Connecticut</v>
      </c>
      <c r="C16" s="155">
        <f>IF($B16=" ","",IFERROR(INDEX(MMWR_RATING_STATE_ROLLUP_VSC[],MATCH($B16,MMWR_RATING_STATE_ROLLUP_VSC[MMWR_RATING_STATE_ROLLUP_VSC],0),MATCH(C$9,MMWR_RATING_STATE_ROLLUP_VSC[#Headers],0)),"ERROR"))</f>
        <v>1830</v>
      </c>
      <c r="D16" s="156">
        <f>IF($B16=" ","",IFERROR(INDEX(MMWR_RATING_STATE_ROLLUP_VSC[],MATCH($B16,MMWR_RATING_STATE_ROLLUP_VSC[MMWR_RATING_STATE_ROLLUP_VSC],0),MATCH(D$9,MMWR_RATING_STATE_ROLLUP_VSC[#Headers],0)),"ERROR"))</f>
        <v>92.327322404399993</v>
      </c>
      <c r="E16" s="157">
        <f>IF($B16=" ","",IFERROR(INDEX(MMWR_RATING_STATE_ROLLUP_VSC[],MATCH($B16,MMWR_RATING_STATE_ROLLUP_VSC[MMWR_RATING_STATE_ROLLUP_VSC],0),MATCH(E$9,MMWR_RATING_STATE_ROLLUP_VSC[#Headers],0))/$C16,"ERROR"))</f>
        <v>0.22732240437158471</v>
      </c>
      <c r="F16" s="155">
        <f>IF($B16=" ","",IFERROR(INDEX(MMWR_RATING_STATE_ROLLUP_VSC[],MATCH($B16,MMWR_RATING_STATE_ROLLUP_VSC[MMWR_RATING_STATE_ROLLUP_VSC],0),MATCH(F$9,MMWR_RATING_STATE_ROLLUP_VSC[#Headers],0)),"ERROR"))</f>
        <v>75</v>
      </c>
      <c r="G16" s="155">
        <f>IF($B16=" ","",IFERROR(INDEX(MMWR_RATING_STATE_ROLLUP_VSC[],MATCH($B16,MMWR_RATING_STATE_ROLLUP_VSC[MMWR_RATING_STATE_ROLLUP_VSC],0),MATCH(G$9,MMWR_RATING_STATE_ROLLUP_VSC[#Headers],0)),"ERROR"))</f>
        <v>6413</v>
      </c>
      <c r="H16" s="156">
        <f>IF($B16=" ","",IFERROR(INDEX(MMWR_RATING_STATE_ROLLUP_VSC[],MATCH($B16,MMWR_RATING_STATE_ROLLUP_VSC[MMWR_RATING_STATE_ROLLUP_VSC],0),MATCH(H$9,MMWR_RATING_STATE_ROLLUP_VSC[#Headers],0)),"ERROR"))</f>
        <v>148.18666666670001</v>
      </c>
      <c r="I16" s="156">
        <f>IF($B16=" ","",IFERROR(INDEX(MMWR_RATING_STATE_ROLLUP_VSC[],MATCH($B16,MMWR_RATING_STATE_ROLLUP_VSC[MMWR_RATING_STATE_ROLLUP_VSC],0),MATCH(I$9,MMWR_RATING_STATE_ROLLUP_VSC[#Headers],0)),"ERROR"))</f>
        <v>151.57601746450001</v>
      </c>
      <c r="J16" s="42"/>
      <c r="K16" s="42"/>
      <c r="L16" s="42"/>
      <c r="M16" s="42"/>
      <c r="N16" s="28"/>
    </row>
    <row r="17" spans="1:14" x14ac:dyDescent="0.2">
      <c r="A17" s="25"/>
      <c r="B17" s="8" t="str">
        <f>VLOOKUP($B$15,DISTRICT_STATES[],3,0)</f>
        <v>Delaware</v>
      </c>
      <c r="C17" s="155">
        <f>IF($B17=" ","",IFERROR(INDEX(MMWR_RATING_STATE_ROLLUP_VSC[],MATCH($B17,MMWR_RATING_STATE_ROLLUP_VSC[MMWR_RATING_STATE_ROLLUP_VSC],0),MATCH(C$9,MMWR_RATING_STATE_ROLLUP_VSC[#Headers],0)),"ERROR"))</f>
        <v>954</v>
      </c>
      <c r="D17" s="156">
        <f>IF($B17=" ","",IFERROR(INDEX(MMWR_RATING_STATE_ROLLUP_VSC[],MATCH($B17,MMWR_RATING_STATE_ROLLUP_VSC[MMWR_RATING_STATE_ROLLUP_VSC],0),MATCH(D$9,MMWR_RATING_STATE_ROLLUP_VSC[#Headers],0)),"ERROR"))</f>
        <v>118.8008385744</v>
      </c>
      <c r="E17" s="157">
        <f>IF($B17=" ","",IFERROR(INDEX(MMWR_RATING_STATE_ROLLUP_VSC[],MATCH($B17,MMWR_RATING_STATE_ROLLUP_VSC[MMWR_RATING_STATE_ROLLUP_VSC],0),MATCH(E$9,MMWR_RATING_STATE_ROLLUP_VSC[#Headers],0))/$C17,"ERROR"))</f>
        <v>0.31656184486373168</v>
      </c>
      <c r="F17" s="155">
        <f>IF($B17=" ","",IFERROR(INDEX(MMWR_RATING_STATE_ROLLUP_VSC[],MATCH($B17,MMWR_RATING_STATE_ROLLUP_VSC[MMWR_RATING_STATE_ROLLUP_VSC],0),MATCH(F$9,MMWR_RATING_STATE_ROLLUP_VSC[#Headers],0)),"ERROR"))</f>
        <v>38</v>
      </c>
      <c r="G17" s="155">
        <f>IF($B17=" ","",IFERROR(INDEX(MMWR_RATING_STATE_ROLLUP_VSC[],MATCH($B17,MMWR_RATING_STATE_ROLLUP_VSC[MMWR_RATING_STATE_ROLLUP_VSC],0),MATCH(G$9,MMWR_RATING_STATE_ROLLUP_VSC[#Headers],0)),"ERROR"))</f>
        <v>3040</v>
      </c>
      <c r="H17" s="156">
        <f>IF($B17=" ","",IFERROR(INDEX(MMWR_RATING_STATE_ROLLUP_VSC[],MATCH($B17,MMWR_RATING_STATE_ROLLUP_VSC[MMWR_RATING_STATE_ROLLUP_VSC],0),MATCH(H$9,MMWR_RATING_STATE_ROLLUP_VSC[#Headers],0)),"ERROR"))</f>
        <v>148.81578947369999</v>
      </c>
      <c r="I17" s="156">
        <f>IF($B17=" ","",IFERROR(INDEX(MMWR_RATING_STATE_ROLLUP_VSC[],MATCH($B17,MMWR_RATING_STATE_ROLLUP_VSC[MMWR_RATING_STATE_ROLLUP_VSC],0),MATCH(I$9,MMWR_RATING_STATE_ROLLUP_VSC[#Headers],0)),"ERROR"))</f>
        <v>216.0542763158</v>
      </c>
      <c r="J17" s="42"/>
      <c r="K17" s="42"/>
      <c r="L17" s="42"/>
      <c r="M17" s="42"/>
      <c r="N17" s="28"/>
    </row>
    <row r="18" spans="1:14" x14ac:dyDescent="0.2">
      <c r="A18" s="25"/>
      <c r="B18" s="8" t="str">
        <f>VLOOKUP($B$15,DISTRICT_STATES[],4,0)</f>
        <v>District of Columbia</v>
      </c>
      <c r="C18" s="155">
        <f>IF($B18=" ","",IFERROR(INDEX(MMWR_RATING_STATE_ROLLUP_VSC[],MATCH($B18,MMWR_RATING_STATE_ROLLUP_VSC[MMWR_RATING_STATE_ROLLUP_VSC],0),MATCH(C$9,MMWR_RATING_STATE_ROLLUP_VSC[#Headers],0)),"ERROR"))</f>
        <v>447</v>
      </c>
      <c r="D18" s="156">
        <f>IF($B18=" ","",IFERROR(INDEX(MMWR_RATING_STATE_ROLLUP_VSC[],MATCH($B18,MMWR_RATING_STATE_ROLLUP_VSC[MMWR_RATING_STATE_ROLLUP_VSC],0),MATCH(D$9,MMWR_RATING_STATE_ROLLUP_VSC[#Headers],0)),"ERROR"))</f>
        <v>119.05816554810001</v>
      </c>
      <c r="E18" s="157">
        <f>IF($B18=" ","",IFERROR(INDEX(MMWR_RATING_STATE_ROLLUP_VSC[],MATCH($B18,MMWR_RATING_STATE_ROLLUP_VSC[MMWR_RATING_STATE_ROLLUP_VSC],0),MATCH(E$9,MMWR_RATING_STATE_ROLLUP_VSC[#Headers],0))/$C18,"ERROR"))</f>
        <v>0.34228187919463088</v>
      </c>
      <c r="F18" s="155">
        <f>IF($B18=" ","",IFERROR(INDEX(MMWR_RATING_STATE_ROLLUP_VSC[],MATCH($B18,MMWR_RATING_STATE_ROLLUP_VSC[MMWR_RATING_STATE_ROLLUP_VSC],0),MATCH(F$9,MMWR_RATING_STATE_ROLLUP_VSC[#Headers],0)),"ERROR"))</f>
        <v>21</v>
      </c>
      <c r="G18" s="155">
        <f>IF($B18=" ","",IFERROR(INDEX(MMWR_RATING_STATE_ROLLUP_VSC[],MATCH($B18,MMWR_RATING_STATE_ROLLUP_VSC[MMWR_RATING_STATE_ROLLUP_VSC],0),MATCH(G$9,MMWR_RATING_STATE_ROLLUP_VSC[#Headers],0)),"ERROR"))</f>
        <v>1526</v>
      </c>
      <c r="H18" s="156">
        <f>IF($B18=" ","",IFERROR(INDEX(MMWR_RATING_STATE_ROLLUP_VSC[],MATCH($B18,MMWR_RATING_STATE_ROLLUP_VSC[MMWR_RATING_STATE_ROLLUP_VSC],0),MATCH(H$9,MMWR_RATING_STATE_ROLLUP_VSC[#Headers],0)),"ERROR"))</f>
        <v>123.42857142859999</v>
      </c>
      <c r="I18" s="156">
        <f>IF($B18=" ","",IFERROR(INDEX(MMWR_RATING_STATE_ROLLUP_VSC[],MATCH($B18,MMWR_RATING_STATE_ROLLUP_VSC[MMWR_RATING_STATE_ROLLUP_VSC],0),MATCH(I$9,MMWR_RATING_STATE_ROLLUP_VSC[#Headers],0)),"ERROR"))</f>
        <v>211.36959370899999</v>
      </c>
      <c r="J18" s="42"/>
      <c r="K18" s="42"/>
      <c r="L18" s="42"/>
      <c r="M18" s="42"/>
      <c r="N18" s="28"/>
    </row>
    <row r="19" spans="1:14" x14ac:dyDescent="0.2">
      <c r="A19" s="25"/>
      <c r="B19" s="8" t="str">
        <f>VLOOKUP($B$15,DISTRICT_STATES[],5,0)</f>
        <v>Maine</v>
      </c>
      <c r="C19" s="155">
        <f>IF($B19=" ","",IFERROR(INDEX(MMWR_RATING_STATE_ROLLUP_VSC[],MATCH($B19,MMWR_RATING_STATE_ROLLUP_VSC[MMWR_RATING_STATE_ROLLUP_VSC],0),MATCH(C$9,MMWR_RATING_STATE_ROLLUP_VSC[#Headers],0)),"ERROR"))</f>
        <v>1448</v>
      </c>
      <c r="D19" s="156">
        <f>IF($B19=" ","",IFERROR(INDEX(MMWR_RATING_STATE_ROLLUP_VSC[],MATCH($B19,MMWR_RATING_STATE_ROLLUP_VSC[MMWR_RATING_STATE_ROLLUP_VSC],0),MATCH(D$9,MMWR_RATING_STATE_ROLLUP_VSC[#Headers],0)),"ERROR"))</f>
        <v>71.339779005500006</v>
      </c>
      <c r="E19" s="157">
        <f>IF($B19=" ","",IFERROR(INDEX(MMWR_RATING_STATE_ROLLUP_VSC[],MATCH($B19,MMWR_RATING_STATE_ROLLUP_VSC[MMWR_RATING_STATE_ROLLUP_VSC],0),MATCH(E$9,MMWR_RATING_STATE_ROLLUP_VSC[#Headers],0))/$C19,"ERROR"))</f>
        <v>0.12638121546961326</v>
      </c>
      <c r="F19" s="155">
        <f>IF($B19=" ","",IFERROR(INDEX(MMWR_RATING_STATE_ROLLUP_VSC[],MATCH($B19,MMWR_RATING_STATE_ROLLUP_VSC[MMWR_RATING_STATE_ROLLUP_VSC],0),MATCH(F$9,MMWR_RATING_STATE_ROLLUP_VSC[#Headers],0)),"ERROR"))</f>
        <v>48</v>
      </c>
      <c r="G19" s="155">
        <f>IF($B19=" ","",IFERROR(INDEX(MMWR_RATING_STATE_ROLLUP_VSC[],MATCH($B19,MMWR_RATING_STATE_ROLLUP_VSC[MMWR_RATING_STATE_ROLLUP_VSC],0),MATCH(G$9,MMWR_RATING_STATE_ROLLUP_VSC[#Headers],0)),"ERROR"))</f>
        <v>4324</v>
      </c>
      <c r="H19" s="156">
        <f>IF($B19=" ","",IFERROR(INDEX(MMWR_RATING_STATE_ROLLUP_VSC[],MATCH($B19,MMWR_RATING_STATE_ROLLUP_VSC[MMWR_RATING_STATE_ROLLUP_VSC],0),MATCH(H$9,MMWR_RATING_STATE_ROLLUP_VSC[#Headers],0)),"ERROR"))</f>
        <v>159.0416666667</v>
      </c>
      <c r="I19" s="156">
        <f>IF($B19=" ","",IFERROR(INDEX(MMWR_RATING_STATE_ROLLUP_VSC[],MATCH($B19,MMWR_RATING_STATE_ROLLUP_VSC[MMWR_RATING_STATE_ROLLUP_VSC],0),MATCH(I$9,MMWR_RATING_STATE_ROLLUP_VSC[#Headers],0)),"ERROR"))</f>
        <v>127.848519889</v>
      </c>
      <c r="J19" s="42"/>
      <c r="K19" s="42"/>
      <c r="L19" s="42"/>
      <c r="M19" s="42"/>
      <c r="N19" s="28"/>
    </row>
    <row r="20" spans="1:14" x14ac:dyDescent="0.2">
      <c r="A20" s="25"/>
      <c r="B20" s="8" t="str">
        <f>VLOOKUP($B$15,DISTRICT_STATES[],6,0)</f>
        <v>Maryland</v>
      </c>
      <c r="C20" s="155">
        <f>IF($B20=" ","",IFERROR(INDEX(MMWR_RATING_STATE_ROLLUP_VSC[],MATCH($B20,MMWR_RATING_STATE_ROLLUP_VSC[MMWR_RATING_STATE_ROLLUP_VSC],0),MATCH(C$9,MMWR_RATING_STATE_ROLLUP_VSC[#Headers],0)),"ERROR"))</f>
        <v>5244</v>
      </c>
      <c r="D20" s="156">
        <f>IF($B20=" ","",IFERROR(INDEX(MMWR_RATING_STATE_ROLLUP_VSC[],MATCH($B20,MMWR_RATING_STATE_ROLLUP_VSC[MMWR_RATING_STATE_ROLLUP_VSC],0),MATCH(D$9,MMWR_RATING_STATE_ROLLUP_VSC[#Headers],0)),"ERROR"))</f>
        <v>110.38005339439999</v>
      </c>
      <c r="E20" s="157">
        <f>IF($B20=" ","",IFERROR(INDEX(MMWR_RATING_STATE_ROLLUP_VSC[],MATCH($B20,MMWR_RATING_STATE_ROLLUP_VSC[MMWR_RATING_STATE_ROLLUP_VSC],0),MATCH(E$9,MMWR_RATING_STATE_ROLLUP_VSC[#Headers],0))/$C20,"ERROR"))</f>
        <v>0.26029748283752863</v>
      </c>
      <c r="F20" s="155">
        <f>IF($B20=" ","",IFERROR(INDEX(MMWR_RATING_STATE_ROLLUP_VSC[],MATCH($B20,MMWR_RATING_STATE_ROLLUP_VSC[MMWR_RATING_STATE_ROLLUP_VSC],0),MATCH(F$9,MMWR_RATING_STATE_ROLLUP_VSC[#Headers],0)),"ERROR"))</f>
        <v>173</v>
      </c>
      <c r="G20" s="155">
        <f>IF($B20=" ","",IFERROR(INDEX(MMWR_RATING_STATE_ROLLUP_VSC[],MATCH($B20,MMWR_RATING_STATE_ROLLUP_VSC[MMWR_RATING_STATE_ROLLUP_VSC],0),MATCH(G$9,MMWR_RATING_STATE_ROLLUP_VSC[#Headers],0)),"ERROR"))</f>
        <v>20188</v>
      </c>
      <c r="H20" s="156">
        <f>IF($B20=" ","",IFERROR(INDEX(MMWR_RATING_STATE_ROLLUP_VSC[],MATCH($B20,MMWR_RATING_STATE_ROLLUP_VSC[MMWR_RATING_STATE_ROLLUP_VSC],0),MATCH(H$9,MMWR_RATING_STATE_ROLLUP_VSC[#Headers],0)),"ERROR"))</f>
        <v>179.4219653179</v>
      </c>
      <c r="I20" s="156">
        <f>IF($B20=" ","",IFERROR(INDEX(MMWR_RATING_STATE_ROLLUP_VSC[],MATCH($B20,MMWR_RATING_STATE_ROLLUP_VSC[MMWR_RATING_STATE_ROLLUP_VSC],0),MATCH(I$9,MMWR_RATING_STATE_ROLLUP_VSC[#Headers],0)),"ERROR"))</f>
        <v>230.72523281159999</v>
      </c>
      <c r="J20" s="42"/>
      <c r="K20" s="42"/>
      <c r="L20" s="42"/>
      <c r="M20" s="42"/>
      <c r="N20" s="28"/>
    </row>
    <row r="21" spans="1:14" x14ac:dyDescent="0.2">
      <c r="A21" s="25"/>
      <c r="B21" s="8" t="str">
        <f>VLOOKUP($B$15,DISTRICT_STATES[],7,0)</f>
        <v>Massachusetts</v>
      </c>
      <c r="C21" s="155">
        <f>IF($B21=" ","",IFERROR(INDEX(MMWR_RATING_STATE_ROLLUP_VSC[],MATCH($B21,MMWR_RATING_STATE_ROLLUP_VSC[MMWR_RATING_STATE_ROLLUP_VSC],0),MATCH(C$9,MMWR_RATING_STATE_ROLLUP_VSC[#Headers],0)),"ERROR"))</f>
        <v>4554</v>
      </c>
      <c r="D21" s="156">
        <f>IF($B21=" ","",IFERROR(INDEX(MMWR_RATING_STATE_ROLLUP_VSC[],MATCH($B21,MMWR_RATING_STATE_ROLLUP_VSC[MMWR_RATING_STATE_ROLLUP_VSC],0),MATCH(D$9,MMWR_RATING_STATE_ROLLUP_VSC[#Headers],0)),"ERROR"))</f>
        <v>102.6313131313</v>
      </c>
      <c r="E21" s="157">
        <f>IF($B21=" ","",IFERROR(INDEX(MMWR_RATING_STATE_ROLLUP_VSC[],MATCH($B21,MMWR_RATING_STATE_ROLLUP_VSC[MMWR_RATING_STATE_ROLLUP_VSC],0),MATCH(E$9,MMWR_RATING_STATE_ROLLUP_VSC[#Headers],0))/$C21,"ERROR"))</f>
        <v>0.27667984189723321</v>
      </c>
      <c r="F21" s="155">
        <f>IF($B21=" ","",IFERROR(INDEX(MMWR_RATING_STATE_ROLLUP_VSC[],MATCH($B21,MMWR_RATING_STATE_ROLLUP_VSC[MMWR_RATING_STATE_ROLLUP_VSC],0),MATCH(F$9,MMWR_RATING_STATE_ROLLUP_VSC[#Headers],0)),"ERROR"))</f>
        <v>166</v>
      </c>
      <c r="G21" s="155">
        <f>IF($B21=" ","",IFERROR(INDEX(MMWR_RATING_STATE_ROLLUP_VSC[],MATCH($B21,MMWR_RATING_STATE_ROLLUP_VSC[MMWR_RATING_STATE_ROLLUP_VSC],0),MATCH(G$9,MMWR_RATING_STATE_ROLLUP_VSC[#Headers],0)),"ERROR"))</f>
        <v>14300</v>
      </c>
      <c r="H21" s="156">
        <f>IF($B21=" ","",IFERROR(INDEX(MMWR_RATING_STATE_ROLLUP_VSC[],MATCH($B21,MMWR_RATING_STATE_ROLLUP_VSC[MMWR_RATING_STATE_ROLLUP_VSC],0),MATCH(H$9,MMWR_RATING_STATE_ROLLUP_VSC[#Headers],0)),"ERROR"))</f>
        <v>154.53012048190001</v>
      </c>
      <c r="I21" s="156">
        <f>IF($B21=" ","",IFERROR(INDEX(MMWR_RATING_STATE_ROLLUP_VSC[],MATCH($B21,MMWR_RATING_STATE_ROLLUP_VSC[MMWR_RATING_STATE_ROLLUP_VSC],0),MATCH(I$9,MMWR_RATING_STATE_ROLLUP_VSC[#Headers],0)),"ERROR"))</f>
        <v>192.7497202797</v>
      </c>
      <c r="J21" s="42"/>
      <c r="K21" s="42"/>
      <c r="L21" s="42"/>
      <c r="M21" s="42"/>
      <c r="N21" s="28"/>
    </row>
    <row r="22" spans="1:14" x14ac:dyDescent="0.2">
      <c r="A22" s="25"/>
      <c r="B22" s="8" t="str">
        <f>VLOOKUP($B$15,DISTRICT_STATES[],8,0)</f>
        <v>New Hampshire</v>
      </c>
      <c r="C22" s="155">
        <f>IF($B22=" ","",IFERROR(INDEX(MMWR_RATING_STATE_ROLLUP_VSC[],MATCH($B22,MMWR_RATING_STATE_ROLLUP_VSC[MMWR_RATING_STATE_ROLLUP_VSC],0),MATCH(C$9,MMWR_RATING_STATE_ROLLUP_VSC[#Headers],0)),"ERROR"))</f>
        <v>1323</v>
      </c>
      <c r="D22" s="156">
        <f>IF($B22=" ","",IFERROR(INDEX(MMWR_RATING_STATE_ROLLUP_VSC[],MATCH($B22,MMWR_RATING_STATE_ROLLUP_VSC[MMWR_RATING_STATE_ROLLUP_VSC],0),MATCH(D$9,MMWR_RATING_STATE_ROLLUP_VSC[#Headers],0)),"ERROR"))</f>
        <v>90.727135298600004</v>
      </c>
      <c r="E22" s="157">
        <f>IF($B22=" ","",IFERROR(INDEX(MMWR_RATING_STATE_ROLLUP_VSC[],MATCH($B22,MMWR_RATING_STATE_ROLLUP_VSC[MMWR_RATING_STATE_ROLLUP_VSC],0),MATCH(E$9,MMWR_RATING_STATE_ROLLUP_VSC[#Headers],0))/$C22,"ERROR"))</f>
        <v>0.19954648526077098</v>
      </c>
      <c r="F22" s="155">
        <f>IF($B22=" ","",IFERROR(INDEX(MMWR_RATING_STATE_ROLLUP_VSC[],MATCH($B22,MMWR_RATING_STATE_ROLLUP_VSC[MMWR_RATING_STATE_ROLLUP_VSC],0),MATCH(F$9,MMWR_RATING_STATE_ROLLUP_VSC[#Headers],0)),"ERROR"))</f>
        <v>35</v>
      </c>
      <c r="G22" s="155">
        <f>IF($B22=" ","",IFERROR(INDEX(MMWR_RATING_STATE_ROLLUP_VSC[],MATCH($B22,MMWR_RATING_STATE_ROLLUP_VSC[MMWR_RATING_STATE_ROLLUP_VSC],0),MATCH(G$9,MMWR_RATING_STATE_ROLLUP_VSC[#Headers],0)),"ERROR"))</f>
        <v>3901</v>
      </c>
      <c r="H22" s="156">
        <f>IF($B22=" ","",IFERROR(INDEX(MMWR_RATING_STATE_ROLLUP_VSC[],MATCH($B22,MMWR_RATING_STATE_ROLLUP_VSC[MMWR_RATING_STATE_ROLLUP_VSC],0),MATCH(H$9,MMWR_RATING_STATE_ROLLUP_VSC[#Headers],0)),"ERROR"))</f>
        <v>138</v>
      </c>
      <c r="I22" s="156">
        <f>IF($B22=" ","",IFERROR(INDEX(MMWR_RATING_STATE_ROLLUP_VSC[],MATCH($B22,MMWR_RATING_STATE_ROLLUP_VSC[MMWR_RATING_STATE_ROLLUP_VSC],0),MATCH(I$9,MMWR_RATING_STATE_ROLLUP_VSC[#Headers],0)),"ERROR"))</f>
        <v>173.53370930529999</v>
      </c>
      <c r="J22" s="42"/>
      <c r="K22" s="42"/>
      <c r="L22" s="42"/>
      <c r="M22" s="42"/>
      <c r="N22" s="28"/>
    </row>
    <row r="23" spans="1:14" x14ac:dyDescent="0.2">
      <c r="A23" s="25"/>
      <c r="B23" s="8" t="str">
        <f>VLOOKUP($B$15,DISTRICT_STATES[],9,0)</f>
        <v>New Jersey</v>
      </c>
      <c r="C23" s="155">
        <f>IF($B23=" ","",IFERROR(INDEX(MMWR_RATING_STATE_ROLLUP_VSC[],MATCH($B23,MMWR_RATING_STATE_ROLLUP_VSC[MMWR_RATING_STATE_ROLLUP_VSC],0),MATCH(C$9,MMWR_RATING_STATE_ROLLUP_VSC[#Headers],0)),"ERROR"))</f>
        <v>4252</v>
      </c>
      <c r="D23" s="156">
        <f>IF($B23=" ","",IFERROR(INDEX(MMWR_RATING_STATE_ROLLUP_VSC[],MATCH($B23,MMWR_RATING_STATE_ROLLUP_VSC[MMWR_RATING_STATE_ROLLUP_VSC],0),MATCH(D$9,MMWR_RATING_STATE_ROLLUP_VSC[#Headers],0)),"ERROR"))</f>
        <v>107.506349953</v>
      </c>
      <c r="E23" s="157">
        <f>IF($B23=" ","",IFERROR(INDEX(MMWR_RATING_STATE_ROLLUP_VSC[],MATCH($B23,MMWR_RATING_STATE_ROLLUP_VSC[MMWR_RATING_STATE_ROLLUP_VSC],0),MATCH(E$9,MMWR_RATING_STATE_ROLLUP_VSC[#Headers],0))/$C23,"ERROR"))</f>
        <v>0.28080903104421451</v>
      </c>
      <c r="F23" s="155">
        <f>IF($B23=" ","",IFERROR(INDEX(MMWR_RATING_STATE_ROLLUP_VSC[],MATCH($B23,MMWR_RATING_STATE_ROLLUP_VSC[MMWR_RATING_STATE_ROLLUP_VSC],0),MATCH(F$9,MMWR_RATING_STATE_ROLLUP_VSC[#Headers],0)),"ERROR"))</f>
        <v>149</v>
      </c>
      <c r="G23" s="155">
        <f>IF($B23=" ","",IFERROR(INDEX(MMWR_RATING_STATE_ROLLUP_VSC[],MATCH($B23,MMWR_RATING_STATE_ROLLUP_VSC[MMWR_RATING_STATE_ROLLUP_VSC],0),MATCH(G$9,MMWR_RATING_STATE_ROLLUP_VSC[#Headers],0)),"ERROR"))</f>
        <v>12885</v>
      </c>
      <c r="H23" s="156">
        <f>IF($B23=" ","",IFERROR(INDEX(MMWR_RATING_STATE_ROLLUP_VSC[],MATCH($B23,MMWR_RATING_STATE_ROLLUP_VSC[MMWR_RATING_STATE_ROLLUP_VSC],0),MATCH(H$9,MMWR_RATING_STATE_ROLLUP_VSC[#Headers],0)),"ERROR"))</f>
        <v>163.6040268456</v>
      </c>
      <c r="I23" s="156">
        <f>IF($B23=" ","",IFERROR(INDEX(MMWR_RATING_STATE_ROLLUP_VSC[],MATCH($B23,MMWR_RATING_STATE_ROLLUP_VSC[MMWR_RATING_STATE_ROLLUP_VSC],0),MATCH(I$9,MMWR_RATING_STATE_ROLLUP_VSC[#Headers],0)),"ERROR"))</f>
        <v>190.44090027159999</v>
      </c>
      <c r="J23" s="42"/>
      <c r="K23" s="42"/>
      <c r="L23" s="42"/>
      <c r="M23" s="42"/>
      <c r="N23" s="28"/>
    </row>
    <row r="24" spans="1:14" x14ac:dyDescent="0.2">
      <c r="A24" s="25"/>
      <c r="B24" s="8" t="str">
        <f>VLOOKUP($B$15,DISTRICT_STATES[],10,0)</f>
        <v>New York</v>
      </c>
      <c r="C24" s="155">
        <f>IF($B24=" ","",IFERROR(INDEX(MMWR_RATING_STATE_ROLLUP_VSC[],MATCH($B24,MMWR_RATING_STATE_ROLLUP_VSC[MMWR_RATING_STATE_ROLLUP_VSC],0),MATCH(C$9,MMWR_RATING_STATE_ROLLUP_VSC[#Headers],0)),"ERROR"))</f>
        <v>9235</v>
      </c>
      <c r="D24" s="156">
        <f>IF($B24=" ","",IFERROR(INDEX(MMWR_RATING_STATE_ROLLUP_VSC[],MATCH($B24,MMWR_RATING_STATE_ROLLUP_VSC[MMWR_RATING_STATE_ROLLUP_VSC],0),MATCH(D$9,MMWR_RATING_STATE_ROLLUP_VSC[#Headers],0)),"ERROR"))</f>
        <v>105.5212777477</v>
      </c>
      <c r="E24" s="157">
        <f>IF($B24=" ","",IFERROR(INDEX(MMWR_RATING_STATE_ROLLUP_VSC[],MATCH($B24,MMWR_RATING_STATE_ROLLUP_VSC[MMWR_RATING_STATE_ROLLUP_VSC],0),MATCH(E$9,MMWR_RATING_STATE_ROLLUP_VSC[#Headers],0))/$C24,"ERROR"))</f>
        <v>0.25695722793719544</v>
      </c>
      <c r="F24" s="155">
        <f>IF($B24=" ","",IFERROR(INDEX(MMWR_RATING_STATE_ROLLUP_VSC[],MATCH($B24,MMWR_RATING_STATE_ROLLUP_VSC[MMWR_RATING_STATE_ROLLUP_VSC],0),MATCH(F$9,MMWR_RATING_STATE_ROLLUP_VSC[#Headers],0)),"ERROR"))</f>
        <v>371</v>
      </c>
      <c r="G24" s="155">
        <f>IF($B24=" ","",IFERROR(INDEX(MMWR_RATING_STATE_ROLLUP_VSC[],MATCH($B24,MMWR_RATING_STATE_ROLLUP_VSC[MMWR_RATING_STATE_ROLLUP_VSC],0),MATCH(G$9,MMWR_RATING_STATE_ROLLUP_VSC[#Headers],0)),"ERROR"))</f>
        <v>30355</v>
      </c>
      <c r="H24" s="156">
        <f>IF($B24=" ","",IFERROR(INDEX(MMWR_RATING_STATE_ROLLUP_VSC[],MATCH($B24,MMWR_RATING_STATE_ROLLUP_VSC[MMWR_RATING_STATE_ROLLUP_VSC],0),MATCH(H$9,MMWR_RATING_STATE_ROLLUP_VSC[#Headers],0)),"ERROR"))</f>
        <v>171.44474393530001</v>
      </c>
      <c r="I24" s="156">
        <f>IF($B24=" ","",IFERROR(INDEX(MMWR_RATING_STATE_ROLLUP_VSC[],MATCH($B24,MMWR_RATING_STATE_ROLLUP_VSC[MMWR_RATING_STATE_ROLLUP_VSC],0),MATCH(I$9,MMWR_RATING_STATE_ROLLUP_VSC[#Headers],0)),"ERROR"))</f>
        <v>197.1360237193</v>
      </c>
      <c r="J24" s="42"/>
      <c r="K24" s="42"/>
      <c r="L24" s="42"/>
      <c r="M24" s="42"/>
      <c r="N24" s="28"/>
    </row>
    <row r="25" spans="1:14" x14ac:dyDescent="0.2">
      <c r="A25" s="25"/>
      <c r="B25" s="8" t="str">
        <f>VLOOKUP($B$15,DISTRICT_STATES[],11,0)</f>
        <v>North Carolina</v>
      </c>
      <c r="C25" s="155">
        <f>IF($B25=" ","",IFERROR(INDEX(MMWR_RATING_STATE_ROLLUP_VSC[],MATCH($B25,MMWR_RATING_STATE_ROLLUP_VSC[MMWR_RATING_STATE_ROLLUP_VSC],0),MATCH(C$9,MMWR_RATING_STATE_ROLLUP_VSC[#Headers],0)),"ERROR"))</f>
        <v>17352</v>
      </c>
      <c r="D25" s="156">
        <f>IF($B25=" ","",IFERROR(INDEX(MMWR_RATING_STATE_ROLLUP_VSC[],MATCH($B25,MMWR_RATING_STATE_ROLLUP_VSC[MMWR_RATING_STATE_ROLLUP_VSC],0),MATCH(D$9,MMWR_RATING_STATE_ROLLUP_VSC[#Headers],0)),"ERROR"))</f>
        <v>109.2438335639</v>
      </c>
      <c r="E25" s="157">
        <f>IF($B25=" ","",IFERROR(INDEX(MMWR_RATING_STATE_ROLLUP_VSC[],MATCH($B25,MMWR_RATING_STATE_ROLLUP_VSC[MMWR_RATING_STATE_ROLLUP_VSC],0),MATCH(E$9,MMWR_RATING_STATE_ROLLUP_VSC[#Headers],0))/$C25,"ERROR"))</f>
        <v>0.29523974181650531</v>
      </c>
      <c r="F25" s="155">
        <f>IF($B25=" ","",IFERROR(INDEX(MMWR_RATING_STATE_ROLLUP_VSC[],MATCH($B25,MMWR_RATING_STATE_ROLLUP_VSC[MMWR_RATING_STATE_ROLLUP_VSC],0),MATCH(F$9,MMWR_RATING_STATE_ROLLUP_VSC[#Headers],0)),"ERROR"))</f>
        <v>657</v>
      </c>
      <c r="G25" s="155">
        <f>IF($B25=" ","",IFERROR(INDEX(MMWR_RATING_STATE_ROLLUP_VSC[],MATCH($B25,MMWR_RATING_STATE_ROLLUP_VSC[MMWR_RATING_STATE_ROLLUP_VSC],0),MATCH(G$9,MMWR_RATING_STATE_ROLLUP_VSC[#Headers],0)),"ERROR"))</f>
        <v>55893</v>
      </c>
      <c r="H25" s="156">
        <f>IF($B25=" ","",IFERROR(INDEX(MMWR_RATING_STATE_ROLLUP_VSC[],MATCH($B25,MMWR_RATING_STATE_ROLLUP_VSC[MMWR_RATING_STATE_ROLLUP_VSC],0),MATCH(H$9,MMWR_RATING_STATE_ROLLUP_VSC[#Headers],0)),"ERROR"))</f>
        <v>157.31506849319999</v>
      </c>
      <c r="I25" s="156">
        <f>IF($B25=" ","",IFERROR(INDEX(MMWR_RATING_STATE_ROLLUP_VSC[],MATCH($B25,MMWR_RATING_STATE_ROLLUP_VSC[MMWR_RATING_STATE_ROLLUP_VSC],0),MATCH(I$9,MMWR_RATING_STATE_ROLLUP_VSC[#Headers],0)),"ERROR"))</f>
        <v>194.0416689031</v>
      </c>
      <c r="J25" s="42"/>
      <c r="K25" s="42"/>
      <c r="L25" s="42"/>
      <c r="M25" s="42"/>
      <c r="N25" s="28"/>
    </row>
    <row r="26" spans="1:14" x14ac:dyDescent="0.2">
      <c r="A26" s="25"/>
      <c r="B26" s="8" t="str">
        <f>VLOOKUP($B$15,DISTRICT_STATES[],12,0)</f>
        <v>Pennsylvania</v>
      </c>
      <c r="C26" s="155">
        <f>IF($B26=" ","",IFERROR(INDEX(MMWR_RATING_STATE_ROLLUP_VSC[],MATCH($B26,MMWR_RATING_STATE_ROLLUP_VSC[MMWR_RATING_STATE_ROLLUP_VSC],0),MATCH(C$9,MMWR_RATING_STATE_ROLLUP_VSC[#Headers],0)),"ERROR"))</f>
        <v>9503</v>
      </c>
      <c r="D26" s="156">
        <f>IF($B26=" ","",IFERROR(INDEX(MMWR_RATING_STATE_ROLLUP_VSC[],MATCH($B26,MMWR_RATING_STATE_ROLLUP_VSC[MMWR_RATING_STATE_ROLLUP_VSC],0),MATCH(D$9,MMWR_RATING_STATE_ROLLUP_VSC[#Headers],0)),"ERROR"))</f>
        <v>118.79185520359999</v>
      </c>
      <c r="E26" s="157">
        <f>IF($B26=" ","",IFERROR(INDEX(MMWR_RATING_STATE_ROLLUP_VSC[],MATCH($B26,MMWR_RATING_STATE_ROLLUP_VSC[MMWR_RATING_STATE_ROLLUP_VSC],0),MATCH(E$9,MMWR_RATING_STATE_ROLLUP_VSC[#Headers],0))/$C26,"ERROR"))</f>
        <v>0.31695254130274653</v>
      </c>
      <c r="F26" s="155">
        <f>IF($B26=" ","",IFERROR(INDEX(MMWR_RATING_STATE_ROLLUP_VSC[],MATCH($B26,MMWR_RATING_STATE_ROLLUP_VSC[MMWR_RATING_STATE_ROLLUP_VSC],0),MATCH(F$9,MMWR_RATING_STATE_ROLLUP_VSC[#Headers],0)),"ERROR"))</f>
        <v>358</v>
      </c>
      <c r="G26" s="155">
        <f>IF($B26=" ","",IFERROR(INDEX(MMWR_RATING_STATE_ROLLUP_VSC[],MATCH($B26,MMWR_RATING_STATE_ROLLUP_VSC[MMWR_RATING_STATE_ROLLUP_VSC],0),MATCH(G$9,MMWR_RATING_STATE_ROLLUP_VSC[#Headers],0)),"ERROR"))</f>
        <v>31398</v>
      </c>
      <c r="H26" s="156">
        <f>IF($B26=" ","",IFERROR(INDEX(MMWR_RATING_STATE_ROLLUP_VSC[],MATCH($B26,MMWR_RATING_STATE_ROLLUP_VSC[MMWR_RATING_STATE_ROLLUP_VSC],0),MATCH(H$9,MMWR_RATING_STATE_ROLLUP_VSC[#Headers],0)),"ERROR"))</f>
        <v>176.1312849162</v>
      </c>
      <c r="I26" s="156">
        <f>IF($B26=" ","",IFERROR(INDEX(MMWR_RATING_STATE_ROLLUP_VSC[],MATCH($B26,MMWR_RATING_STATE_ROLLUP_VSC[MMWR_RATING_STATE_ROLLUP_VSC],0),MATCH(I$9,MMWR_RATING_STATE_ROLLUP_VSC[#Headers],0)),"ERROR"))</f>
        <v>208.54946174919999</v>
      </c>
      <c r="J26" s="42"/>
      <c r="K26" s="42"/>
      <c r="L26" s="42"/>
      <c r="M26" s="42"/>
      <c r="N26" s="28"/>
    </row>
    <row r="27" spans="1:14" x14ac:dyDescent="0.2">
      <c r="A27" s="25"/>
      <c r="B27" s="8" t="str">
        <f>VLOOKUP($B$15,DISTRICT_STATES[],13,0)</f>
        <v>Rhode Island</v>
      </c>
      <c r="C27" s="155">
        <f>IF($B27=" ","",IFERROR(INDEX(MMWR_RATING_STATE_ROLLUP_VSC[],MATCH($B27,MMWR_RATING_STATE_ROLLUP_VSC[MMWR_RATING_STATE_ROLLUP_VSC],0),MATCH(C$9,MMWR_RATING_STATE_ROLLUP_VSC[#Headers],0)),"ERROR"))</f>
        <v>934</v>
      </c>
      <c r="D27" s="156">
        <f>IF($B27=" ","",IFERROR(INDEX(MMWR_RATING_STATE_ROLLUP_VSC[],MATCH($B27,MMWR_RATING_STATE_ROLLUP_VSC[MMWR_RATING_STATE_ROLLUP_VSC],0),MATCH(D$9,MMWR_RATING_STATE_ROLLUP_VSC[#Headers],0)),"ERROR"))</f>
        <v>94.4817987152</v>
      </c>
      <c r="E27" s="157">
        <f>IF($B27=" ","",IFERROR(INDEX(MMWR_RATING_STATE_ROLLUP_VSC[],MATCH($B27,MMWR_RATING_STATE_ROLLUP_VSC[MMWR_RATING_STATE_ROLLUP_VSC],0),MATCH(E$9,MMWR_RATING_STATE_ROLLUP_VSC[#Headers],0))/$C27,"ERROR"))</f>
        <v>0.26552462526766596</v>
      </c>
      <c r="F27" s="155">
        <f>IF($B27=" ","",IFERROR(INDEX(MMWR_RATING_STATE_ROLLUP_VSC[],MATCH($B27,MMWR_RATING_STATE_ROLLUP_VSC[MMWR_RATING_STATE_ROLLUP_VSC],0),MATCH(F$9,MMWR_RATING_STATE_ROLLUP_VSC[#Headers],0)),"ERROR"))</f>
        <v>56</v>
      </c>
      <c r="G27" s="155">
        <f>IF($B27=" ","",IFERROR(INDEX(MMWR_RATING_STATE_ROLLUP_VSC[],MATCH($B27,MMWR_RATING_STATE_ROLLUP_VSC[MMWR_RATING_STATE_ROLLUP_VSC],0),MATCH(G$9,MMWR_RATING_STATE_ROLLUP_VSC[#Headers],0)),"ERROR"))</f>
        <v>2918</v>
      </c>
      <c r="H27" s="156">
        <f>IF($B27=" ","",IFERROR(INDEX(MMWR_RATING_STATE_ROLLUP_VSC[],MATCH($B27,MMWR_RATING_STATE_ROLLUP_VSC[MMWR_RATING_STATE_ROLLUP_VSC],0),MATCH(H$9,MMWR_RATING_STATE_ROLLUP_VSC[#Headers],0)),"ERROR"))</f>
        <v>137.46428571429999</v>
      </c>
      <c r="I27" s="156">
        <f>IF($B27=" ","",IFERROR(INDEX(MMWR_RATING_STATE_ROLLUP_VSC[],MATCH($B27,MMWR_RATING_STATE_ROLLUP_VSC[MMWR_RATING_STATE_ROLLUP_VSC],0),MATCH(I$9,MMWR_RATING_STATE_ROLLUP_VSC[#Headers],0)),"ERROR"))</f>
        <v>116.4599040439</v>
      </c>
      <c r="J27" s="42"/>
      <c r="K27" s="42"/>
      <c r="L27" s="42"/>
      <c r="M27" s="42"/>
      <c r="N27" s="28"/>
    </row>
    <row r="28" spans="1:14" x14ac:dyDescent="0.2">
      <c r="A28" s="25"/>
      <c r="B28" s="8" t="str">
        <f>VLOOKUP($B$15,DISTRICT_STATES[],14,0)</f>
        <v>Vermont</v>
      </c>
      <c r="C28" s="155">
        <f>IF($B28=" ","",IFERROR(INDEX(MMWR_RATING_STATE_ROLLUP_VSC[],MATCH($B28,MMWR_RATING_STATE_ROLLUP_VSC[MMWR_RATING_STATE_ROLLUP_VSC],0),MATCH(C$9,MMWR_RATING_STATE_ROLLUP_VSC[#Headers],0)),"ERROR"))</f>
        <v>413</v>
      </c>
      <c r="D28" s="156">
        <f>IF($B28=" ","",IFERROR(INDEX(MMWR_RATING_STATE_ROLLUP_VSC[],MATCH($B28,MMWR_RATING_STATE_ROLLUP_VSC[MMWR_RATING_STATE_ROLLUP_VSC],0),MATCH(D$9,MMWR_RATING_STATE_ROLLUP_VSC[#Headers],0)),"ERROR"))</f>
        <v>97.6004842615</v>
      </c>
      <c r="E28" s="157">
        <f>IF($B28=" ","",IFERROR(INDEX(MMWR_RATING_STATE_ROLLUP_VSC[],MATCH($B28,MMWR_RATING_STATE_ROLLUP_VSC[MMWR_RATING_STATE_ROLLUP_VSC],0),MATCH(E$9,MMWR_RATING_STATE_ROLLUP_VSC[#Headers],0))/$C28,"ERROR"))</f>
        <v>0.29055690072639223</v>
      </c>
      <c r="F28" s="155">
        <f>IF($B28=" ","",IFERROR(INDEX(MMWR_RATING_STATE_ROLLUP_VSC[],MATCH($B28,MMWR_RATING_STATE_ROLLUP_VSC[MMWR_RATING_STATE_ROLLUP_VSC],0),MATCH(F$9,MMWR_RATING_STATE_ROLLUP_VSC[#Headers],0)),"ERROR"))</f>
        <v>14</v>
      </c>
      <c r="G28" s="155">
        <f>IF($B28=" ","",IFERROR(INDEX(MMWR_RATING_STATE_ROLLUP_VSC[],MATCH($B28,MMWR_RATING_STATE_ROLLUP_VSC[MMWR_RATING_STATE_ROLLUP_VSC],0),MATCH(G$9,MMWR_RATING_STATE_ROLLUP_VSC[#Headers],0)),"ERROR"))</f>
        <v>1457</v>
      </c>
      <c r="H28" s="156">
        <f>IF($B28=" ","",IFERROR(INDEX(MMWR_RATING_STATE_ROLLUP_VSC[],MATCH($B28,MMWR_RATING_STATE_ROLLUP_VSC[MMWR_RATING_STATE_ROLLUP_VSC],0),MATCH(H$9,MMWR_RATING_STATE_ROLLUP_VSC[#Headers],0)),"ERROR"))</f>
        <v>124.3571428571</v>
      </c>
      <c r="I28" s="156">
        <f>IF($B28=" ","",IFERROR(INDEX(MMWR_RATING_STATE_ROLLUP_VSC[],MATCH($B28,MMWR_RATING_STATE_ROLLUP_VSC[MMWR_RATING_STATE_ROLLUP_VSC],0),MATCH(I$9,MMWR_RATING_STATE_ROLLUP_VSC[#Headers],0)),"ERROR"))</f>
        <v>161.38503774879999</v>
      </c>
      <c r="J28" s="42"/>
      <c r="K28" s="42"/>
      <c r="L28" s="42"/>
      <c r="M28" s="42"/>
      <c r="N28" s="28"/>
    </row>
    <row r="29" spans="1:14" x14ac:dyDescent="0.2">
      <c r="A29" s="25"/>
      <c r="B29" s="8" t="str">
        <f>VLOOKUP($B$15,DISTRICT_STATES[],15,0)</f>
        <v>Virginia</v>
      </c>
      <c r="C29" s="155">
        <f>IF($B29=" ","",IFERROR(INDEX(MMWR_RATING_STATE_ROLLUP_VSC[],MATCH($B29,MMWR_RATING_STATE_ROLLUP_VSC[MMWR_RATING_STATE_ROLLUP_VSC],0),MATCH(C$9,MMWR_RATING_STATE_ROLLUP_VSC[#Headers],0)),"ERROR"))</f>
        <v>10983</v>
      </c>
      <c r="D29" s="156">
        <f>IF($B29=" ","",IFERROR(INDEX(MMWR_RATING_STATE_ROLLUP_VSC[],MATCH($B29,MMWR_RATING_STATE_ROLLUP_VSC[MMWR_RATING_STATE_ROLLUP_VSC],0),MATCH(D$9,MMWR_RATING_STATE_ROLLUP_VSC[#Headers],0)),"ERROR"))</f>
        <v>98.402075935499994</v>
      </c>
      <c r="E29" s="157">
        <f>IF($B29=" ","",IFERROR(INDEX(MMWR_RATING_STATE_ROLLUP_VSC[],MATCH($B29,MMWR_RATING_STATE_ROLLUP_VSC[MMWR_RATING_STATE_ROLLUP_VSC],0),MATCH(E$9,MMWR_RATING_STATE_ROLLUP_VSC[#Headers],0))/$C29,"ERROR"))</f>
        <v>0.25657834835655102</v>
      </c>
      <c r="F29" s="155">
        <f>IF($B29=" ","",IFERROR(INDEX(MMWR_RATING_STATE_ROLLUP_VSC[],MATCH($B29,MMWR_RATING_STATE_ROLLUP_VSC[MMWR_RATING_STATE_ROLLUP_VSC],0),MATCH(F$9,MMWR_RATING_STATE_ROLLUP_VSC[#Headers],0)),"ERROR"))</f>
        <v>480</v>
      </c>
      <c r="G29" s="155">
        <f>IF($B29=" ","",IFERROR(INDEX(MMWR_RATING_STATE_ROLLUP_VSC[],MATCH($B29,MMWR_RATING_STATE_ROLLUP_VSC[MMWR_RATING_STATE_ROLLUP_VSC],0),MATCH(G$9,MMWR_RATING_STATE_ROLLUP_VSC[#Headers],0)),"ERROR"))</f>
        <v>39195</v>
      </c>
      <c r="H29" s="156">
        <f>IF($B29=" ","",IFERROR(INDEX(MMWR_RATING_STATE_ROLLUP_VSC[],MATCH($B29,MMWR_RATING_STATE_ROLLUP_VSC[MMWR_RATING_STATE_ROLLUP_VSC],0),MATCH(H$9,MMWR_RATING_STATE_ROLLUP_VSC[#Headers],0)),"ERROR"))</f>
        <v>153.83541666670001</v>
      </c>
      <c r="I29" s="156">
        <f>IF($B29=" ","",IFERROR(INDEX(MMWR_RATING_STATE_ROLLUP_VSC[],MATCH($B29,MMWR_RATING_STATE_ROLLUP_VSC[MMWR_RATING_STATE_ROLLUP_VSC],0),MATCH(I$9,MMWR_RATING_STATE_ROLLUP_VSC[#Headers],0)),"ERROR"))</f>
        <v>196.5443041204</v>
      </c>
      <c r="J29" s="42"/>
      <c r="K29" s="42"/>
      <c r="L29" s="42"/>
      <c r="M29" s="42"/>
      <c r="N29" s="28"/>
    </row>
    <row r="30" spans="1:14" x14ac:dyDescent="0.2">
      <c r="A30" s="25"/>
      <c r="B30" s="8" t="str">
        <f>VLOOKUP($B$15,DISTRICT_STATES[],16,0)</f>
        <v>West Virginia</v>
      </c>
      <c r="C30" s="155">
        <f>IF($B30=" ","",IFERROR(INDEX(MMWR_RATING_STATE_ROLLUP_VSC[],MATCH($B30,MMWR_RATING_STATE_ROLLUP_VSC[MMWR_RATING_STATE_ROLLUP_VSC],0),MATCH(C$9,MMWR_RATING_STATE_ROLLUP_VSC[#Headers],0)),"ERROR"))</f>
        <v>2244</v>
      </c>
      <c r="D30" s="156">
        <f>IF($B30=" ","",IFERROR(INDEX(MMWR_RATING_STATE_ROLLUP_VSC[],MATCH($B30,MMWR_RATING_STATE_ROLLUP_VSC[MMWR_RATING_STATE_ROLLUP_VSC],0),MATCH(D$9,MMWR_RATING_STATE_ROLLUP_VSC[#Headers],0)),"ERROR"))</f>
        <v>91.853386809300005</v>
      </c>
      <c r="E30" s="157">
        <f>IF($B30=" ","",IFERROR(INDEX(MMWR_RATING_STATE_ROLLUP_VSC[],MATCH($B30,MMWR_RATING_STATE_ROLLUP_VSC[MMWR_RATING_STATE_ROLLUP_VSC],0),MATCH(E$9,MMWR_RATING_STATE_ROLLUP_VSC[#Headers],0))/$C30,"ERROR"))</f>
        <v>0.21880570409982175</v>
      </c>
      <c r="F30" s="155">
        <f>IF($B30=" ","",IFERROR(INDEX(MMWR_RATING_STATE_ROLLUP_VSC[],MATCH($B30,MMWR_RATING_STATE_ROLLUP_VSC[MMWR_RATING_STATE_ROLLUP_VSC],0),MATCH(F$9,MMWR_RATING_STATE_ROLLUP_VSC[#Headers],0)),"ERROR"))</f>
        <v>88</v>
      </c>
      <c r="G30" s="155">
        <f>IF($B30=" ","",IFERROR(INDEX(MMWR_RATING_STATE_ROLLUP_VSC[],MATCH($B30,MMWR_RATING_STATE_ROLLUP_VSC[MMWR_RATING_STATE_ROLLUP_VSC],0),MATCH(G$9,MMWR_RATING_STATE_ROLLUP_VSC[#Headers],0)),"ERROR"))</f>
        <v>9158</v>
      </c>
      <c r="H30" s="156">
        <f>IF($B30=" ","",IFERROR(INDEX(MMWR_RATING_STATE_ROLLUP_VSC[],MATCH($B30,MMWR_RATING_STATE_ROLLUP_VSC[MMWR_RATING_STATE_ROLLUP_VSC],0),MATCH(H$9,MMWR_RATING_STATE_ROLLUP_VSC[#Headers],0)),"ERROR"))</f>
        <v>125.6477272727</v>
      </c>
      <c r="I30" s="156">
        <f>IF($B30=" ","",IFERROR(INDEX(MMWR_RATING_STATE_ROLLUP_VSC[],MATCH($B30,MMWR_RATING_STATE_ROLLUP_VSC[MMWR_RATING_STATE_ROLLUP_VSC],0),MATCH(I$9,MMWR_RATING_STATE_ROLLUP_VSC[#Headers],0)),"ERROR"))</f>
        <v>146.0493557545</v>
      </c>
      <c r="J30" s="42"/>
      <c r="K30" s="42"/>
      <c r="L30" s="42"/>
      <c r="M30" s="42"/>
      <c r="N30" s="28"/>
    </row>
    <row r="31" spans="1:14" x14ac:dyDescent="0.2">
      <c r="A31" s="25"/>
      <c r="B31" s="372" t="s">
        <v>971</v>
      </c>
      <c r="C31" s="373"/>
      <c r="D31" s="373"/>
      <c r="E31" s="373"/>
      <c r="F31" s="373"/>
      <c r="G31" s="373"/>
      <c r="H31" s="373"/>
      <c r="I31" s="373"/>
      <c r="J31" s="373"/>
      <c r="K31" s="373"/>
      <c r="L31" s="373"/>
      <c r="M31" s="385"/>
      <c r="N31" s="28"/>
    </row>
    <row r="32" spans="1:14" x14ac:dyDescent="0.2">
      <c r="A32" s="25"/>
      <c r="B32" s="41" t="s">
        <v>1050</v>
      </c>
      <c r="C32" s="155">
        <f>IF($B32=" ","",IFERROR(INDEX(MMWR_RATING_STATE_ROLLUP_PMC[],MATCH($B32,MMWR_RATING_STATE_ROLLUP_PMC[MMWR_RATING_STATE_ROLLUP_PMC],0),MATCH(C$9,MMWR_RATING_STATE_ROLLUP_PMC[#Headers],0)),"ERROR"))</f>
        <v>20052</v>
      </c>
      <c r="D32" s="156">
        <f>IF($B32=" ","",IFERROR(INDEX(MMWR_RATING_STATE_ROLLUP_PMC[],MATCH($B32,MMWR_RATING_STATE_ROLLUP_PMC[MMWR_RATING_STATE_ROLLUP_PMC],0),MATCH(D$9,MMWR_RATING_STATE_ROLLUP_PMC[#Headers],0)),"ERROR"))</f>
        <v>59.125124675800002</v>
      </c>
      <c r="E32" s="157">
        <f>IF($B32=" ","",IFERROR(INDEX(MMWR_RATING_STATE_ROLLUP_PMC[],MATCH($B32,MMWR_RATING_STATE_ROLLUP_PMC[MMWR_RATING_STATE_ROLLUP_PMC],0),MATCH(E$9,MMWR_RATING_STATE_ROLLUP_PMC[#Headers],0))/$C32,"ERROR"))</f>
        <v>9.3407141432276089E-2</v>
      </c>
      <c r="F32" s="155">
        <f>IF($B32=" ","",IFERROR(INDEX(MMWR_RATING_STATE_ROLLUP_PMC[],MATCH($B32,MMWR_RATING_STATE_ROLLUP_PMC[MMWR_RATING_STATE_ROLLUP_PMC],0),MATCH(F$9,MMWR_RATING_STATE_ROLLUP_PMC[#Headers],0)),"ERROR"))</f>
        <v>2246</v>
      </c>
      <c r="G32" s="155">
        <f>IF($B32=" ","",IFERROR(INDEX(MMWR_RATING_STATE_ROLLUP_PMC[],MATCH($B32,MMWR_RATING_STATE_ROLLUP_PMC[MMWR_RATING_STATE_ROLLUP_PMC],0),MATCH(G$9,MMWR_RATING_STATE_ROLLUP_PMC[#Headers],0)),"ERROR"))</f>
        <v>142916</v>
      </c>
      <c r="H32" s="156">
        <f>IF($B32=" ","",IFERROR(INDEX(MMWR_RATING_STATE_ROLLUP_PMC[],MATCH($B32,MMWR_RATING_STATE_ROLLUP_PMC[MMWR_RATING_STATE_ROLLUP_PMC],0),MATCH(H$9,MMWR_RATING_STATE_ROLLUP_PMC[#Headers],0)),"ERROR"))</f>
        <v>63.504007123800001</v>
      </c>
      <c r="I32" s="156">
        <f>IF($B32=" ","",IFERROR(INDEX(MMWR_RATING_STATE_ROLLUP_PMC[],MATCH($B32,MMWR_RATING_STATE_ROLLUP_PMC[MMWR_RATING_STATE_ROLLUP_PMC],0),MATCH(I$9,MMWR_RATING_STATE_ROLLUP_PMC[#Headers],0)),"ERROR"))</f>
        <v>64.488097903699995</v>
      </c>
      <c r="J32" s="42"/>
      <c r="K32" s="42"/>
      <c r="L32" s="42"/>
      <c r="M32" s="42"/>
      <c r="N32" s="28"/>
    </row>
    <row r="33" spans="1:14" x14ac:dyDescent="0.2">
      <c r="A33" s="25"/>
      <c r="B33" s="251" t="str">
        <f>INDEX(DISTRICT_STATES[],MATCH($B$5,DISTRICT_RO[District],0),1)</f>
        <v>North Atlantic</v>
      </c>
      <c r="C33" s="155">
        <f>IF($B33=" ","",IFERROR(INDEX(MMWR_RATING_STATE_ROLLUP_PMC[],MATCH($B33,MMWR_RATING_STATE_ROLLUP_PMC[MMWR_RATING_STATE_ROLLUP_PMC],0),MATCH(C$9,MMWR_RATING_STATE_ROLLUP_PMC[#Headers],0)),"ERROR"))</f>
        <v>3852</v>
      </c>
      <c r="D33" s="156">
        <f>IF($B33=" ","",IFERROR(INDEX(MMWR_RATING_STATE_ROLLUP_PMC[],MATCH($B33,MMWR_RATING_STATE_ROLLUP_PMC[MMWR_RATING_STATE_ROLLUP_PMC],0),MATCH(D$9,MMWR_RATING_STATE_ROLLUP_PMC[#Headers],0)),"ERROR"))</f>
        <v>68.168743509899997</v>
      </c>
      <c r="E33" s="157">
        <f>IF($B33=" ","",IFERROR(INDEX(MMWR_RATING_STATE_ROLLUP_PMC[],MATCH($B33,MMWR_RATING_STATE_ROLLUP_PMC[MMWR_RATING_STATE_ROLLUP_PMC],0),MATCH(E$9,MMWR_RATING_STATE_ROLLUP_PMC[#Headers],0))/$C33,"ERROR"))</f>
        <v>0.117601246105919</v>
      </c>
      <c r="F33" s="155">
        <f>IF($B33=" ","",IFERROR(INDEX(MMWR_RATING_STATE_ROLLUP_PMC[],MATCH($B33,MMWR_RATING_STATE_ROLLUP_PMC[MMWR_RATING_STATE_ROLLUP_PMC],0),MATCH(F$9,MMWR_RATING_STATE_ROLLUP_PMC[#Headers],0)),"ERROR"))</f>
        <v>438</v>
      </c>
      <c r="G33" s="155">
        <f>IF($B33=" ","",IFERROR(INDEX(MMWR_RATING_STATE_ROLLUP_PMC[],MATCH($B33,MMWR_RATING_STATE_ROLLUP_PMC[MMWR_RATING_STATE_ROLLUP_PMC],0),MATCH(G$9,MMWR_RATING_STATE_ROLLUP_PMC[#Headers],0)),"ERROR"))</f>
        <v>27513</v>
      </c>
      <c r="H33" s="156">
        <f>IF($B33=" ","",IFERROR(INDEX(MMWR_RATING_STATE_ROLLUP_PMC[],MATCH($B33,MMWR_RATING_STATE_ROLLUP_PMC[MMWR_RATING_STATE_ROLLUP_PMC],0),MATCH(H$9,MMWR_RATING_STATE_ROLLUP_PMC[#Headers],0)),"ERROR"))</f>
        <v>72.269406392700006</v>
      </c>
      <c r="I33" s="156">
        <f>IF($B33=" ","",IFERROR(INDEX(MMWR_RATING_STATE_ROLLUP_PMC[],MATCH($B33,MMWR_RATING_STATE_ROLLUP_PMC[MMWR_RATING_STATE_ROLLUP_PMC],0),MATCH(I$9,MMWR_RATING_STATE_ROLLUP_PMC[#Headers],0)),"ERROR"))</f>
        <v>74.497728346599999</v>
      </c>
      <c r="J33" s="42"/>
      <c r="K33" s="42"/>
      <c r="L33" s="42"/>
      <c r="M33" s="42"/>
      <c r="N33" s="28"/>
    </row>
    <row r="34" spans="1:14" x14ac:dyDescent="0.2">
      <c r="A34" s="25"/>
      <c r="B34" s="8" t="str">
        <f>VLOOKUP($B$15,DISTRICT_STATES[],2,0)</f>
        <v>Connecticut</v>
      </c>
      <c r="C34" s="155">
        <f>IF($B34=" ","",IFERROR(INDEX(MMWR_RATING_STATE_ROLLUP_PMC[],MATCH($B34,MMWR_RATING_STATE_ROLLUP_PMC[MMWR_RATING_STATE_ROLLUP_PMC],0),MATCH(C$9,MMWR_RATING_STATE_ROLLUP_PMC[#Headers],0)),"ERROR"))</f>
        <v>105</v>
      </c>
      <c r="D34" s="156">
        <f>IF($B34=" ","",IFERROR(INDEX(MMWR_RATING_STATE_ROLLUP_PMC[],MATCH($B34,MMWR_RATING_STATE_ROLLUP_PMC[MMWR_RATING_STATE_ROLLUP_PMC],0),MATCH(D$9,MMWR_RATING_STATE_ROLLUP_PMC[#Headers],0)),"ERROR"))</f>
        <v>74.038095238099999</v>
      </c>
      <c r="E34" s="157">
        <f>IF($B34=" ","",IFERROR(INDEX(MMWR_RATING_STATE_ROLLUP_PMC[],MATCH($B34,MMWR_RATING_STATE_ROLLUP_PMC[MMWR_RATING_STATE_ROLLUP_PMC],0),MATCH(E$9,MMWR_RATING_STATE_ROLLUP_PMC[#Headers],0))/$C34,"ERROR"))</f>
        <v>0.12380952380952381</v>
      </c>
      <c r="F34" s="155">
        <f>IF($B34=" ","",IFERROR(INDEX(MMWR_RATING_STATE_ROLLUP_PMC[],MATCH($B34,MMWR_RATING_STATE_ROLLUP_PMC[MMWR_RATING_STATE_ROLLUP_PMC],0),MATCH(F$9,MMWR_RATING_STATE_ROLLUP_PMC[#Headers],0)),"ERROR"))</f>
        <v>9</v>
      </c>
      <c r="G34" s="155">
        <f>IF($B34=" ","",IFERROR(INDEX(MMWR_RATING_STATE_ROLLUP_PMC[],MATCH($B34,MMWR_RATING_STATE_ROLLUP_PMC[MMWR_RATING_STATE_ROLLUP_PMC],0),MATCH(G$9,MMWR_RATING_STATE_ROLLUP_PMC[#Headers],0)),"ERROR"))</f>
        <v>834</v>
      </c>
      <c r="H34" s="156">
        <f>IF($B34=" ","",IFERROR(INDEX(MMWR_RATING_STATE_ROLLUP_PMC[],MATCH($B34,MMWR_RATING_STATE_ROLLUP_PMC[MMWR_RATING_STATE_ROLLUP_PMC],0),MATCH(H$9,MMWR_RATING_STATE_ROLLUP_PMC[#Headers],0)),"ERROR"))</f>
        <v>49.555555555600002</v>
      </c>
      <c r="I34" s="156">
        <f>IF($B34=" ","",IFERROR(INDEX(MMWR_RATING_STATE_ROLLUP_PMC[],MATCH($B34,MMWR_RATING_STATE_ROLLUP_PMC[MMWR_RATING_STATE_ROLLUP_PMC],0),MATCH(I$9,MMWR_RATING_STATE_ROLLUP_PMC[#Headers],0)),"ERROR"))</f>
        <v>75.482014388500005</v>
      </c>
      <c r="J34" s="42"/>
      <c r="K34" s="42"/>
      <c r="L34" s="42"/>
      <c r="M34" s="42"/>
      <c r="N34" s="28"/>
    </row>
    <row r="35" spans="1:14" x14ac:dyDescent="0.2">
      <c r="A35" s="25"/>
      <c r="B35" s="8" t="str">
        <f>VLOOKUP($B$15,DISTRICT_STATES[],3,0)</f>
        <v>Delaware</v>
      </c>
      <c r="C35" s="155">
        <f>IF($B35=" ","",IFERROR(INDEX(MMWR_RATING_STATE_ROLLUP_PMC[],MATCH($B35,MMWR_RATING_STATE_ROLLUP_PMC[MMWR_RATING_STATE_ROLLUP_PMC],0),MATCH(C$9,MMWR_RATING_STATE_ROLLUP_PMC[#Headers],0)),"ERROR"))</f>
        <v>33</v>
      </c>
      <c r="D35" s="156">
        <f>IF($B35=" ","",IFERROR(INDEX(MMWR_RATING_STATE_ROLLUP_PMC[],MATCH($B35,MMWR_RATING_STATE_ROLLUP_PMC[MMWR_RATING_STATE_ROLLUP_PMC],0),MATCH(D$9,MMWR_RATING_STATE_ROLLUP_PMC[#Headers],0)),"ERROR"))</f>
        <v>80.454545454500007</v>
      </c>
      <c r="E35" s="157">
        <f>IF($B35=" ","",IFERROR(INDEX(MMWR_RATING_STATE_ROLLUP_PMC[],MATCH($B35,MMWR_RATING_STATE_ROLLUP_PMC[MMWR_RATING_STATE_ROLLUP_PMC],0),MATCH(E$9,MMWR_RATING_STATE_ROLLUP_PMC[#Headers],0))/$C35,"ERROR"))</f>
        <v>0.18181818181818182</v>
      </c>
      <c r="F35" s="155">
        <f>IF($B35=" ","",IFERROR(INDEX(MMWR_RATING_STATE_ROLLUP_PMC[],MATCH($B35,MMWR_RATING_STATE_ROLLUP_PMC[MMWR_RATING_STATE_ROLLUP_PMC],0),MATCH(F$9,MMWR_RATING_STATE_ROLLUP_PMC[#Headers],0)),"ERROR"))</f>
        <v>1</v>
      </c>
      <c r="G35" s="155">
        <f>IF($B35=" ","",IFERROR(INDEX(MMWR_RATING_STATE_ROLLUP_PMC[],MATCH($B35,MMWR_RATING_STATE_ROLLUP_PMC[MMWR_RATING_STATE_ROLLUP_PMC],0),MATCH(G$9,MMWR_RATING_STATE_ROLLUP_PMC[#Headers],0)),"ERROR"))</f>
        <v>291</v>
      </c>
      <c r="H35" s="156">
        <f>IF($B35=" ","",IFERROR(INDEX(MMWR_RATING_STATE_ROLLUP_PMC[],MATCH($B35,MMWR_RATING_STATE_ROLLUP_PMC[MMWR_RATING_STATE_ROLLUP_PMC],0),MATCH(H$9,MMWR_RATING_STATE_ROLLUP_PMC[#Headers],0)),"ERROR"))</f>
        <v>44</v>
      </c>
      <c r="I35" s="156">
        <f>IF($B35=" ","",IFERROR(INDEX(MMWR_RATING_STATE_ROLLUP_PMC[],MATCH($B35,MMWR_RATING_STATE_ROLLUP_PMC[MMWR_RATING_STATE_ROLLUP_PMC],0),MATCH(I$9,MMWR_RATING_STATE_ROLLUP_PMC[#Headers],0)),"ERROR"))</f>
        <v>83.690721649500006</v>
      </c>
      <c r="J35" s="42"/>
      <c r="K35" s="42"/>
      <c r="L35" s="42"/>
      <c r="M35" s="42"/>
      <c r="N35" s="28"/>
    </row>
    <row r="36" spans="1:14" x14ac:dyDescent="0.2">
      <c r="A36" s="25"/>
      <c r="B36" s="8" t="str">
        <f>VLOOKUP($B$15,DISTRICT_STATES[],4,0)</f>
        <v>District of Columbia</v>
      </c>
      <c r="C36" s="155">
        <f>IF($B36=" ","",IFERROR(INDEX(MMWR_RATING_STATE_ROLLUP_PMC[],MATCH($B36,MMWR_RATING_STATE_ROLLUP_PMC[MMWR_RATING_STATE_ROLLUP_PMC],0),MATCH(C$9,MMWR_RATING_STATE_ROLLUP_PMC[#Headers],0)),"ERROR"))</f>
        <v>48</v>
      </c>
      <c r="D36" s="156">
        <f>IF($B36=" ","",IFERROR(INDEX(MMWR_RATING_STATE_ROLLUP_PMC[],MATCH($B36,MMWR_RATING_STATE_ROLLUP_PMC[MMWR_RATING_STATE_ROLLUP_PMC],0),MATCH(D$9,MMWR_RATING_STATE_ROLLUP_PMC[#Headers],0)),"ERROR"))</f>
        <v>56.291666666700003</v>
      </c>
      <c r="E36" s="157">
        <f>IF($B36=" ","",IFERROR(INDEX(MMWR_RATING_STATE_ROLLUP_PMC[],MATCH($B36,MMWR_RATING_STATE_ROLLUP_PMC[MMWR_RATING_STATE_ROLLUP_PMC],0),MATCH(E$9,MMWR_RATING_STATE_ROLLUP_PMC[#Headers],0))/$C36,"ERROR"))</f>
        <v>6.25E-2</v>
      </c>
      <c r="F36" s="155">
        <f>IF($B36=" ","",IFERROR(INDEX(MMWR_RATING_STATE_ROLLUP_PMC[],MATCH($B36,MMWR_RATING_STATE_ROLLUP_PMC[MMWR_RATING_STATE_ROLLUP_PMC],0),MATCH(F$9,MMWR_RATING_STATE_ROLLUP_PMC[#Headers],0)),"ERROR"))</f>
        <v>6</v>
      </c>
      <c r="G36" s="155">
        <f>IF($B36=" ","",IFERROR(INDEX(MMWR_RATING_STATE_ROLLUP_PMC[],MATCH($B36,MMWR_RATING_STATE_ROLLUP_PMC[MMWR_RATING_STATE_ROLLUP_PMC],0),MATCH(G$9,MMWR_RATING_STATE_ROLLUP_PMC[#Headers],0)),"ERROR"))</f>
        <v>180</v>
      </c>
      <c r="H36" s="156">
        <f>IF($B36=" ","",IFERROR(INDEX(MMWR_RATING_STATE_ROLLUP_PMC[],MATCH($B36,MMWR_RATING_STATE_ROLLUP_PMC[MMWR_RATING_STATE_ROLLUP_PMC],0),MATCH(H$9,MMWR_RATING_STATE_ROLLUP_PMC[#Headers],0)),"ERROR"))</f>
        <v>77.166666666699996</v>
      </c>
      <c r="I36" s="156">
        <f>IF($B36=" ","",IFERROR(INDEX(MMWR_RATING_STATE_ROLLUP_PMC[],MATCH($B36,MMWR_RATING_STATE_ROLLUP_PMC[MMWR_RATING_STATE_ROLLUP_PMC],0),MATCH(I$9,MMWR_RATING_STATE_ROLLUP_PMC[#Headers],0)),"ERROR"))</f>
        <v>87.311111111100004</v>
      </c>
      <c r="J36" s="42"/>
      <c r="K36" s="42"/>
      <c r="L36" s="42"/>
      <c r="M36" s="42"/>
      <c r="N36" s="28"/>
    </row>
    <row r="37" spans="1:14" x14ac:dyDescent="0.2">
      <c r="A37" s="25"/>
      <c r="B37" s="8" t="str">
        <f>VLOOKUP($B$15,DISTRICT_STATES[],5,0)</f>
        <v>Maine</v>
      </c>
      <c r="C37" s="155">
        <f>IF($B37=" ","",IFERROR(INDEX(MMWR_RATING_STATE_ROLLUP_PMC[],MATCH($B37,MMWR_RATING_STATE_ROLLUP_PMC[MMWR_RATING_STATE_ROLLUP_PMC],0),MATCH(C$9,MMWR_RATING_STATE_ROLLUP_PMC[#Headers],0)),"ERROR"))</f>
        <v>51</v>
      </c>
      <c r="D37" s="156">
        <f>IF($B37=" ","",IFERROR(INDEX(MMWR_RATING_STATE_ROLLUP_PMC[],MATCH($B37,MMWR_RATING_STATE_ROLLUP_PMC[MMWR_RATING_STATE_ROLLUP_PMC],0),MATCH(D$9,MMWR_RATING_STATE_ROLLUP_PMC[#Headers],0)),"ERROR"))</f>
        <v>55.333333333299997</v>
      </c>
      <c r="E37" s="157">
        <f>IF($B37=" ","",IFERROR(INDEX(MMWR_RATING_STATE_ROLLUP_PMC[],MATCH($B37,MMWR_RATING_STATE_ROLLUP_PMC[MMWR_RATING_STATE_ROLLUP_PMC],0),MATCH(E$9,MMWR_RATING_STATE_ROLLUP_PMC[#Headers],0))/$C37,"ERROR"))</f>
        <v>3.9215686274509803E-2</v>
      </c>
      <c r="F37" s="155">
        <f>IF($B37=" ","",IFERROR(INDEX(MMWR_RATING_STATE_ROLLUP_PMC[],MATCH($B37,MMWR_RATING_STATE_ROLLUP_PMC[MMWR_RATING_STATE_ROLLUP_PMC],0),MATCH(F$9,MMWR_RATING_STATE_ROLLUP_PMC[#Headers],0)),"ERROR"))</f>
        <v>6</v>
      </c>
      <c r="G37" s="155">
        <f>IF($B37=" ","",IFERROR(INDEX(MMWR_RATING_STATE_ROLLUP_PMC[],MATCH($B37,MMWR_RATING_STATE_ROLLUP_PMC[MMWR_RATING_STATE_ROLLUP_PMC],0),MATCH(G$9,MMWR_RATING_STATE_ROLLUP_PMC[#Headers],0)),"ERROR"))</f>
        <v>521</v>
      </c>
      <c r="H37" s="156">
        <f>IF($B37=" ","",IFERROR(INDEX(MMWR_RATING_STATE_ROLLUP_PMC[],MATCH($B37,MMWR_RATING_STATE_ROLLUP_PMC[MMWR_RATING_STATE_ROLLUP_PMC],0),MATCH(H$9,MMWR_RATING_STATE_ROLLUP_PMC[#Headers],0)),"ERROR"))</f>
        <v>47.166666666700003</v>
      </c>
      <c r="I37" s="156">
        <f>IF($B37=" ","",IFERROR(INDEX(MMWR_RATING_STATE_ROLLUP_PMC[],MATCH($B37,MMWR_RATING_STATE_ROLLUP_PMC[MMWR_RATING_STATE_ROLLUP_PMC],0),MATCH(I$9,MMWR_RATING_STATE_ROLLUP_PMC[#Headers],0)),"ERROR"))</f>
        <v>65.262955854099999</v>
      </c>
      <c r="J37" s="42"/>
      <c r="K37" s="42"/>
      <c r="L37" s="42"/>
      <c r="M37" s="42"/>
      <c r="N37" s="28"/>
    </row>
    <row r="38" spans="1:14" x14ac:dyDescent="0.2">
      <c r="A38" s="25"/>
      <c r="B38" s="8" t="str">
        <f>VLOOKUP($B$15,DISTRICT_STATES[],6,0)</f>
        <v>Maryland</v>
      </c>
      <c r="C38" s="155">
        <f>IF($B38=" ","",IFERROR(INDEX(MMWR_RATING_STATE_ROLLUP_PMC[],MATCH($B38,MMWR_RATING_STATE_ROLLUP_PMC[MMWR_RATING_STATE_ROLLUP_PMC],0),MATCH(C$9,MMWR_RATING_STATE_ROLLUP_PMC[#Headers],0)),"ERROR"))</f>
        <v>266</v>
      </c>
      <c r="D38" s="156">
        <f>IF($B38=" ","",IFERROR(INDEX(MMWR_RATING_STATE_ROLLUP_PMC[],MATCH($B38,MMWR_RATING_STATE_ROLLUP_PMC[MMWR_RATING_STATE_ROLLUP_PMC],0),MATCH(D$9,MMWR_RATING_STATE_ROLLUP_PMC[#Headers],0)),"ERROR"))</f>
        <v>70.9812030075</v>
      </c>
      <c r="E38" s="157">
        <f>IF($B38=" ","",IFERROR(INDEX(MMWR_RATING_STATE_ROLLUP_PMC[],MATCH($B38,MMWR_RATING_STATE_ROLLUP_PMC[MMWR_RATING_STATE_ROLLUP_PMC],0),MATCH(E$9,MMWR_RATING_STATE_ROLLUP_PMC[#Headers],0))/$C38,"ERROR"))</f>
        <v>0.10902255639097744</v>
      </c>
      <c r="F38" s="155">
        <f>IF($B38=" ","",IFERROR(INDEX(MMWR_RATING_STATE_ROLLUP_PMC[],MATCH($B38,MMWR_RATING_STATE_ROLLUP_PMC[MMWR_RATING_STATE_ROLLUP_PMC],0),MATCH(F$9,MMWR_RATING_STATE_ROLLUP_PMC[#Headers],0)),"ERROR"))</f>
        <v>27</v>
      </c>
      <c r="G38" s="155">
        <f>IF($B38=" ","",IFERROR(INDEX(MMWR_RATING_STATE_ROLLUP_PMC[],MATCH($B38,MMWR_RATING_STATE_ROLLUP_PMC[MMWR_RATING_STATE_ROLLUP_PMC],0),MATCH(G$9,MMWR_RATING_STATE_ROLLUP_PMC[#Headers],0)),"ERROR"))</f>
        <v>1791</v>
      </c>
      <c r="H38" s="156">
        <f>IF($B38=" ","",IFERROR(INDEX(MMWR_RATING_STATE_ROLLUP_PMC[],MATCH($B38,MMWR_RATING_STATE_ROLLUP_PMC[MMWR_RATING_STATE_ROLLUP_PMC],0),MATCH(H$9,MMWR_RATING_STATE_ROLLUP_PMC[#Headers],0)),"ERROR"))</f>
        <v>76.222222222200003</v>
      </c>
      <c r="I38" s="156">
        <f>IF($B38=" ","",IFERROR(INDEX(MMWR_RATING_STATE_ROLLUP_PMC[],MATCH($B38,MMWR_RATING_STATE_ROLLUP_PMC[MMWR_RATING_STATE_ROLLUP_PMC],0),MATCH(I$9,MMWR_RATING_STATE_ROLLUP_PMC[#Headers],0)),"ERROR"))</f>
        <v>85.171412618600002</v>
      </c>
      <c r="J38" s="42"/>
      <c r="K38" s="42"/>
      <c r="L38" s="42"/>
      <c r="M38" s="42"/>
      <c r="N38" s="28"/>
    </row>
    <row r="39" spans="1:14" x14ac:dyDescent="0.2">
      <c r="A39" s="25"/>
      <c r="B39" s="8" t="str">
        <f>VLOOKUP($B$15,DISTRICT_STATES[],7,0)</f>
        <v>Massachusetts</v>
      </c>
      <c r="C39" s="155">
        <f>IF($B39=" ","",IFERROR(INDEX(MMWR_RATING_STATE_ROLLUP_PMC[],MATCH($B39,MMWR_RATING_STATE_ROLLUP_PMC[MMWR_RATING_STATE_ROLLUP_PMC],0),MATCH(C$9,MMWR_RATING_STATE_ROLLUP_PMC[#Headers],0)),"ERROR"))</f>
        <v>214</v>
      </c>
      <c r="D39" s="156">
        <f>IF($B39=" ","",IFERROR(INDEX(MMWR_RATING_STATE_ROLLUP_PMC[],MATCH($B39,MMWR_RATING_STATE_ROLLUP_PMC[MMWR_RATING_STATE_ROLLUP_PMC],0),MATCH(D$9,MMWR_RATING_STATE_ROLLUP_PMC[#Headers],0)),"ERROR"))</f>
        <v>63.098130841100001</v>
      </c>
      <c r="E39" s="157">
        <f>IF($B39=" ","",IFERROR(INDEX(MMWR_RATING_STATE_ROLLUP_PMC[],MATCH($B39,MMWR_RATING_STATE_ROLLUP_PMC[MMWR_RATING_STATE_ROLLUP_PMC],0),MATCH(E$9,MMWR_RATING_STATE_ROLLUP_PMC[#Headers],0))/$C39,"ERROR"))</f>
        <v>0.10747663551401869</v>
      </c>
      <c r="F39" s="155">
        <f>IF($B39=" ","",IFERROR(INDEX(MMWR_RATING_STATE_ROLLUP_PMC[],MATCH($B39,MMWR_RATING_STATE_ROLLUP_PMC[MMWR_RATING_STATE_ROLLUP_PMC],0),MATCH(F$9,MMWR_RATING_STATE_ROLLUP_PMC[#Headers],0)),"ERROR"))</f>
        <v>28</v>
      </c>
      <c r="G39" s="155">
        <f>IF($B39=" ","",IFERROR(INDEX(MMWR_RATING_STATE_ROLLUP_PMC[],MATCH($B39,MMWR_RATING_STATE_ROLLUP_PMC[MMWR_RATING_STATE_ROLLUP_PMC],0),MATCH(G$9,MMWR_RATING_STATE_ROLLUP_PMC[#Headers],0)),"ERROR"))</f>
        <v>1566</v>
      </c>
      <c r="H39" s="156">
        <f>IF($B39=" ","",IFERROR(INDEX(MMWR_RATING_STATE_ROLLUP_PMC[],MATCH($B39,MMWR_RATING_STATE_ROLLUP_PMC[MMWR_RATING_STATE_ROLLUP_PMC],0),MATCH(H$9,MMWR_RATING_STATE_ROLLUP_PMC[#Headers],0)),"ERROR"))</f>
        <v>71.785714285699996</v>
      </c>
      <c r="I39" s="156">
        <f>IF($B39=" ","",IFERROR(INDEX(MMWR_RATING_STATE_ROLLUP_PMC[],MATCH($B39,MMWR_RATING_STATE_ROLLUP_PMC[MMWR_RATING_STATE_ROLLUP_PMC],0),MATCH(I$9,MMWR_RATING_STATE_ROLLUP_PMC[#Headers],0)),"ERROR"))</f>
        <v>70.184546615599999</v>
      </c>
      <c r="J39" s="42"/>
      <c r="K39" s="42"/>
      <c r="L39" s="42"/>
      <c r="M39" s="42"/>
      <c r="N39" s="28"/>
    </row>
    <row r="40" spans="1:14" x14ac:dyDescent="0.2">
      <c r="A40" s="25"/>
      <c r="B40" s="8" t="str">
        <f>VLOOKUP($B$15,DISTRICT_STATES[],8,0)</f>
        <v>New Hampshire</v>
      </c>
      <c r="C40" s="155">
        <f>IF($B40=" ","",IFERROR(INDEX(MMWR_RATING_STATE_ROLLUP_PMC[],MATCH($B40,MMWR_RATING_STATE_ROLLUP_PMC[MMWR_RATING_STATE_ROLLUP_PMC],0),MATCH(C$9,MMWR_RATING_STATE_ROLLUP_PMC[#Headers],0)),"ERROR"))</f>
        <v>54</v>
      </c>
      <c r="D40" s="156">
        <f>IF($B40=" ","",IFERROR(INDEX(MMWR_RATING_STATE_ROLLUP_PMC[],MATCH($B40,MMWR_RATING_STATE_ROLLUP_PMC[MMWR_RATING_STATE_ROLLUP_PMC],0),MATCH(D$9,MMWR_RATING_STATE_ROLLUP_PMC[#Headers],0)),"ERROR"))</f>
        <v>75.370370370399996</v>
      </c>
      <c r="E40" s="157">
        <f>IF($B40=" ","",IFERROR(INDEX(MMWR_RATING_STATE_ROLLUP_PMC[],MATCH($B40,MMWR_RATING_STATE_ROLLUP_PMC[MMWR_RATING_STATE_ROLLUP_PMC],0),MATCH(E$9,MMWR_RATING_STATE_ROLLUP_PMC[#Headers],0))/$C40,"ERROR"))</f>
        <v>0.14814814814814814</v>
      </c>
      <c r="F40" s="155">
        <f>IF($B40=" ","",IFERROR(INDEX(MMWR_RATING_STATE_ROLLUP_PMC[],MATCH($B40,MMWR_RATING_STATE_ROLLUP_PMC[MMWR_RATING_STATE_ROLLUP_PMC],0),MATCH(F$9,MMWR_RATING_STATE_ROLLUP_PMC[#Headers],0)),"ERROR"))</f>
        <v>5</v>
      </c>
      <c r="G40" s="155">
        <f>IF($B40=" ","",IFERROR(INDEX(MMWR_RATING_STATE_ROLLUP_PMC[],MATCH($B40,MMWR_RATING_STATE_ROLLUP_PMC[MMWR_RATING_STATE_ROLLUP_PMC],0),MATCH(G$9,MMWR_RATING_STATE_ROLLUP_PMC[#Headers],0)),"ERROR"))</f>
        <v>440</v>
      </c>
      <c r="H40" s="156">
        <f>IF($B40=" ","",IFERROR(INDEX(MMWR_RATING_STATE_ROLLUP_PMC[],MATCH($B40,MMWR_RATING_STATE_ROLLUP_PMC[MMWR_RATING_STATE_ROLLUP_PMC],0),MATCH(H$9,MMWR_RATING_STATE_ROLLUP_PMC[#Headers],0)),"ERROR"))</f>
        <v>79.2</v>
      </c>
      <c r="I40" s="156">
        <f>IF($B40=" ","",IFERROR(INDEX(MMWR_RATING_STATE_ROLLUP_PMC[],MATCH($B40,MMWR_RATING_STATE_ROLLUP_PMC[MMWR_RATING_STATE_ROLLUP_PMC],0),MATCH(I$9,MMWR_RATING_STATE_ROLLUP_PMC[#Headers],0)),"ERROR"))</f>
        <v>73.193181818200003</v>
      </c>
      <c r="J40" s="42"/>
      <c r="K40" s="42"/>
      <c r="L40" s="42"/>
      <c r="M40" s="42"/>
      <c r="N40" s="28"/>
    </row>
    <row r="41" spans="1:14" x14ac:dyDescent="0.2">
      <c r="A41" s="25"/>
      <c r="B41" s="8" t="str">
        <f>VLOOKUP($B$15,DISTRICT_STATES[],9,0)</f>
        <v>New Jersey</v>
      </c>
      <c r="C41" s="155">
        <f>IF($B41=" ","",IFERROR(INDEX(MMWR_RATING_STATE_ROLLUP_PMC[],MATCH($B41,MMWR_RATING_STATE_ROLLUP_PMC[MMWR_RATING_STATE_ROLLUP_PMC],0),MATCH(C$9,MMWR_RATING_STATE_ROLLUP_PMC[#Headers],0)),"ERROR"))</f>
        <v>286</v>
      </c>
      <c r="D41" s="156">
        <f>IF($B41=" ","",IFERROR(INDEX(MMWR_RATING_STATE_ROLLUP_PMC[],MATCH($B41,MMWR_RATING_STATE_ROLLUP_PMC[MMWR_RATING_STATE_ROLLUP_PMC],0),MATCH(D$9,MMWR_RATING_STATE_ROLLUP_PMC[#Headers],0)),"ERROR"))</f>
        <v>66.632867132900003</v>
      </c>
      <c r="E41" s="157">
        <f>IF($B41=" ","",IFERROR(INDEX(MMWR_RATING_STATE_ROLLUP_PMC[],MATCH($B41,MMWR_RATING_STATE_ROLLUP_PMC[MMWR_RATING_STATE_ROLLUP_PMC],0),MATCH(E$9,MMWR_RATING_STATE_ROLLUP_PMC[#Headers],0))/$C41,"ERROR"))</f>
        <v>0.11538461538461539</v>
      </c>
      <c r="F41" s="155">
        <f>IF($B41=" ","",IFERROR(INDEX(MMWR_RATING_STATE_ROLLUP_PMC[],MATCH($B41,MMWR_RATING_STATE_ROLLUP_PMC[MMWR_RATING_STATE_ROLLUP_PMC],0),MATCH(F$9,MMWR_RATING_STATE_ROLLUP_PMC[#Headers],0)),"ERROR"))</f>
        <v>33</v>
      </c>
      <c r="G41" s="155">
        <f>IF($B41=" ","",IFERROR(INDEX(MMWR_RATING_STATE_ROLLUP_PMC[],MATCH($B41,MMWR_RATING_STATE_ROLLUP_PMC[MMWR_RATING_STATE_ROLLUP_PMC],0),MATCH(G$9,MMWR_RATING_STATE_ROLLUP_PMC[#Headers],0)),"ERROR"))</f>
        <v>1965</v>
      </c>
      <c r="H41" s="156">
        <f>IF($B41=" ","",IFERROR(INDEX(MMWR_RATING_STATE_ROLLUP_PMC[],MATCH($B41,MMWR_RATING_STATE_ROLLUP_PMC[MMWR_RATING_STATE_ROLLUP_PMC],0),MATCH(H$9,MMWR_RATING_STATE_ROLLUP_PMC[#Headers],0)),"ERROR"))</f>
        <v>81.727272727300004</v>
      </c>
      <c r="I41" s="156">
        <f>IF($B41=" ","",IFERROR(INDEX(MMWR_RATING_STATE_ROLLUP_PMC[],MATCH($B41,MMWR_RATING_STATE_ROLLUP_PMC[MMWR_RATING_STATE_ROLLUP_PMC],0),MATCH(I$9,MMWR_RATING_STATE_ROLLUP_PMC[#Headers],0)),"ERROR"))</f>
        <v>79.1679389313</v>
      </c>
      <c r="J41" s="42"/>
      <c r="K41" s="42"/>
      <c r="L41" s="42"/>
      <c r="M41" s="42"/>
      <c r="N41" s="28"/>
    </row>
    <row r="42" spans="1:14" x14ac:dyDescent="0.2">
      <c r="A42" s="25"/>
      <c r="B42" s="8" t="str">
        <f>VLOOKUP($B$15,DISTRICT_STATES[],10,0)</f>
        <v>New York</v>
      </c>
      <c r="C42" s="155">
        <f>IF($B42=" ","",IFERROR(INDEX(MMWR_RATING_STATE_ROLLUP_PMC[],MATCH($B42,MMWR_RATING_STATE_ROLLUP_PMC[MMWR_RATING_STATE_ROLLUP_PMC],0),MATCH(C$9,MMWR_RATING_STATE_ROLLUP_PMC[#Headers],0)),"ERROR"))</f>
        <v>627</v>
      </c>
      <c r="D42" s="156">
        <f>IF($B42=" ","",IFERROR(INDEX(MMWR_RATING_STATE_ROLLUP_PMC[],MATCH($B42,MMWR_RATING_STATE_ROLLUP_PMC[MMWR_RATING_STATE_ROLLUP_PMC],0),MATCH(D$9,MMWR_RATING_STATE_ROLLUP_PMC[#Headers],0)),"ERROR"))</f>
        <v>70.684210526300006</v>
      </c>
      <c r="E42" s="157">
        <f>IF($B42=" ","",IFERROR(INDEX(MMWR_RATING_STATE_ROLLUP_PMC[],MATCH($B42,MMWR_RATING_STATE_ROLLUP_PMC[MMWR_RATING_STATE_ROLLUP_PMC],0),MATCH(E$9,MMWR_RATING_STATE_ROLLUP_PMC[#Headers],0))/$C42,"ERROR"))</f>
        <v>0.12121212121212122</v>
      </c>
      <c r="F42" s="155">
        <f>IF($B42=" ","",IFERROR(INDEX(MMWR_RATING_STATE_ROLLUP_PMC[],MATCH($B42,MMWR_RATING_STATE_ROLLUP_PMC[MMWR_RATING_STATE_ROLLUP_PMC],0),MATCH(F$9,MMWR_RATING_STATE_ROLLUP_PMC[#Headers],0)),"ERROR"))</f>
        <v>80</v>
      </c>
      <c r="G42" s="155">
        <f>IF($B42=" ","",IFERROR(INDEX(MMWR_RATING_STATE_ROLLUP_PMC[],MATCH($B42,MMWR_RATING_STATE_ROLLUP_PMC[MMWR_RATING_STATE_ROLLUP_PMC],0),MATCH(G$9,MMWR_RATING_STATE_ROLLUP_PMC[#Headers],0)),"ERROR"))</f>
        <v>4716</v>
      </c>
      <c r="H42" s="156">
        <f>IF($B42=" ","",IFERROR(INDEX(MMWR_RATING_STATE_ROLLUP_PMC[],MATCH($B42,MMWR_RATING_STATE_ROLLUP_PMC[MMWR_RATING_STATE_ROLLUP_PMC],0),MATCH(H$9,MMWR_RATING_STATE_ROLLUP_PMC[#Headers],0)),"ERROR"))</f>
        <v>69.174999999999997</v>
      </c>
      <c r="I42" s="156">
        <f>IF($B42=" ","",IFERROR(INDEX(MMWR_RATING_STATE_ROLLUP_PMC[],MATCH($B42,MMWR_RATING_STATE_ROLLUP_PMC[MMWR_RATING_STATE_ROLLUP_PMC],0),MATCH(I$9,MMWR_RATING_STATE_ROLLUP_PMC[#Headers],0)),"ERROR"))</f>
        <v>70.149703138299998</v>
      </c>
      <c r="J42" s="42"/>
      <c r="K42" s="42"/>
      <c r="L42" s="42"/>
      <c r="M42" s="42"/>
      <c r="N42" s="28"/>
    </row>
    <row r="43" spans="1:14" x14ac:dyDescent="0.2">
      <c r="A43" s="25"/>
      <c r="B43" s="8" t="str">
        <f>VLOOKUP($B$15,DISTRICT_STATES[],11,0)</f>
        <v>North Carolina</v>
      </c>
      <c r="C43" s="155">
        <f>IF($B43=" ","",IFERROR(INDEX(MMWR_RATING_STATE_ROLLUP_PMC[],MATCH($B43,MMWR_RATING_STATE_ROLLUP_PMC[MMWR_RATING_STATE_ROLLUP_PMC],0),MATCH(C$9,MMWR_RATING_STATE_ROLLUP_PMC[#Headers],0)),"ERROR"))</f>
        <v>647</v>
      </c>
      <c r="D43" s="156">
        <f>IF($B43=" ","",IFERROR(INDEX(MMWR_RATING_STATE_ROLLUP_PMC[],MATCH($B43,MMWR_RATING_STATE_ROLLUP_PMC[MMWR_RATING_STATE_ROLLUP_PMC],0),MATCH(D$9,MMWR_RATING_STATE_ROLLUP_PMC[#Headers],0)),"ERROR"))</f>
        <v>67.986089644499998</v>
      </c>
      <c r="E43" s="157">
        <f>IF($B43=" ","",IFERROR(INDEX(MMWR_RATING_STATE_ROLLUP_PMC[],MATCH($B43,MMWR_RATING_STATE_ROLLUP_PMC[MMWR_RATING_STATE_ROLLUP_PMC],0),MATCH(E$9,MMWR_RATING_STATE_ROLLUP_PMC[#Headers],0))/$C43,"ERROR"))</f>
        <v>0.13292117465224113</v>
      </c>
      <c r="F43" s="155">
        <f>IF($B43=" ","",IFERROR(INDEX(MMWR_RATING_STATE_ROLLUP_PMC[],MATCH($B43,MMWR_RATING_STATE_ROLLUP_PMC[MMWR_RATING_STATE_ROLLUP_PMC],0),MATCH(F$9,MMWR_RATING_STATE_ROLLUP_PMC[#Headers],0)),"ERROR"))</f>
        <v>84</v>
      </c>
      <c r="G43" s="155">
        <f>IF($B43=" ","",IFERROR(INDEX(MMWR_RATING_STATE_ROLLUP_PMC[],MATCH($B43,MMWR_RATING_STATE_ROLLUP_PMC[MMWR_RATING_STATE_ROLLUP_PMC],0),MATCH(G$9,MMWR_RATING_STATE_ROLLUP_PMC[#Headers],0)),"ERROR"))</f>
        <v>5080</v>
      </c>
      <c r="H43" s="156">
        <f>IF($B43=" ","",IFERROR(INDEX(MMWR_RATING_STATE_ROLLUP_PMC[],MATCH($B43,MMWR_RATING_STATE_ROLLUP_PMC[MMWR_RATING_STATE_ROLLUP_PMC],0),MATCH(H$9,MMWR_RATING_STATE_ROLLUP_PMC[#Headers],0)),"ERROR"))</f>
        <v>67.797619047599994</v>
      </c>
      <c r="I43" s="156">
        <f>IF($B43=" ","",IFERROR(INDEX(MMWR_RATING_STATE_ROLLUP_PMC[],MATCH($B43,MMWR_RATING_STATE_ROLLUP_PMC[MMWR_RATING_STATE_ROLLUP_PMC],0),MATCH(I$9,MMWR_RATING_STATE_ROLLUP_PMC[#Headers],0)),"ERROR"))</f>
        <v>76.065354330700004</v>
      </c>
      <c r="J43" s="42"/>
      <c r="K43" s="42"/>
      <c r="L43" s="42"/>
      <c r="M43" s="42"/>
      <c r="N43" s="28"/>
    </row>
    <row r="44" spans="1:14" x14ac:dyDescent="0.2">
      <c r="A44" s="25"/>
      <c r="B44" s="8" t="str">
        <f>VLOOKUP($B$15,DISTRICT_STATES[],12,0)</f>
        <v>Pennsylvania</v>
      </c>
      <c r="C44" s="155">
        <f>IF($B44=" ","",IFERROR(INDEX(MMWR_RATING_STATE_ROLLUP_PMC[],MATCH($B44,MMWR_RATING_STATE_ROLLUP_PMC[MMWR_RATING_STATE_ROLLUP_PMC],0),MATCH(C$9,MMWR_RATING_STATE_ROLLUP_PMC[#Headers],0)),"ERROR"))</f>
        <v>822</v>
      </c>
      <c r="D44" s="156">
        <f>IF($B44=" ","",IFERROR(INDEX(MMWR_RATING_STATE_ROLLUP_PMC[],MATCH($B44,MMWR_RATING_STATE_ROLLUP_PMC[MMWR_RATING_STATE_ROLLUP_PMC],0),MATCH(D$9,MMWR_RATING_STATE_ROLLUP_PMC[#Headers],0)),"ERROR"))</f>
        <v>63.773722627700003</v>
      </c>
      <c r="E44" s="157">
        <f>IF($B44=" ","",IFERROR(INDEX(MMWR_RATING_STATE_ROLLUP_PMC[],MATCH($B44,MMWR_RATING_STATE_ROLLUP_PMC[MMWR_RATING_STATE_ROLLUP_PMC],0),MATCH(E$9,MMWR_RATING_STATE_ROLLUP_PMC[#Headers],0))/$C44,"ERROR"))</f>
        <v>9.9756690997566913E-2</v>
      </c>
      <c r="F44" s="155">
        <f>IF($B44=" ","",IFERROR(INDEX(MMWR_RATING_STATE_ROLLUP_PMC[],MATCH($B44,MMWR_RATING_STATE_ROLLUP_PMC[MMWR_RATING_STATE_ROLLUP_PMC],0),MATCH(F$9,MMWR_RATING_STATE_ROLLUP_PMC[#Headers],0)),"ERROR"))</f>
        <v>79</v>
      </c>
      <c r="G44" s="155">
        <f>IF($B44=" ","",IFERROR(INDEX(MMWR_RATING_STATE_ROLLUP_PMC[],MATCH($B44,MMWR_RATING_STATE_ROLLUP_PMC[MMWR_RATING_STATE_ROLLUP_PMC],0),MATCH(G$9,MMWR_RATING_STATE_ROLLUP_PMC[#Headers],0)),"ERROR"))</f>
        <v>5600</v>
      </c>
      <c r="H44" s="156">
        <f>IF($B44=" ","",IFERROR(INDEX(MMWR_RATING_STATE_ROLLUP_PMC[],MATCH($B44,MMWR_RATING_STATE_ROLLUP_PMC[MMWR_RATING_STATE_ROLLUP_PMC],0),MATCH(H$9,MMWR_RATING_STATE_ROLLUP_PMC[#Headers],0)),"ERROR"))</f>
        <v>75.518987341799999</v>
      </c>
      <c r="I44" s="156">
        <f>IF($B44=" ","",IFERROR(INDEX(MMWR_RATING_STATE_ROLLUP_PMC[],MATCH($B44,MMWR_RATING_STATE_ROLLUP_PMC[MMWR_RATING_STATE_ROLLUP_PMC],0),MATCH(I$9,MMWR_RATING_STATE_ROLLUP_PMC[#Headers],0)),"ERROR"))</f>
        <v>68.840535714300003</v>
      </c>
      <c r="J44" s="42"/>
      <c r="K44" s="42"/>
      <c r="L44" s="42"/>
      <c r="M44" s="42"/>
      <c r="N44" s="28"/>
    </row>
    <row r="45" spans="1:14" x14ac:dyDescent="0.2">
      <c r="A45" s="25"/>
      <c r="B45" s="8" t="str">
        <f>VLOOKUP($B$15,DISTRICT_STATES[],13,0)</f>
        <v>Rhode Island</v>
      </c>
      <c r="C45" s="155">
        <f>IF($B45=" ","",IFERROR(INDEX(MMWR_RATING_STATE_ROLLUP_PMC[],MATCH($B45,MMWR_RATING_STATE_ROLLUP_PMC[MMWR_RATING_STATE_ROLLUP_PMC],0),MATCH(C$9,MMWR_RATING_STATE_ROLLUP_PMC[#Headers],0)),"ERROR"))</f>
        <v>74</v>
      </c>
      <c r="D45" s="156">
        <f>IF($B45=" ","",IFERROR(INDEX(MMWR_RATING_STATE_ROLLUP_PMC[],MATCH($B45,MMWR_RATING_STATE_ROLLUP_PMC[MMWR_RATING_STATE_ROLLUP_PMC],0),MATCH(D$9,MMWR_RATING_STATE_ROLLUP_PMC[#Headers],0)),"ERROR"))</f>
        <v>61.5540540541</v>
      </c>
      <c r="E45" s="157">
        <f>IF($B45=" ","",IFERROR(INDEX(MMWR_RATING_STATE_ROLLUP_PMC[],MATCH($B45,MMWR_RATING_STATE_ROLLUP_PMC[MMWR_RATING_STATE_ROLLUP_PMC],0),MATCH(E$9,MMWR_RATING_STATE_ROLLUP_PMC[#Headers],0))/$C45,"ERROR"))</f>
        <v>9.45945945945946E-2</v>
      </c>
      <c r="F45" s="155">
        <f>IF($B45=" ","",IFERROR(INDEX(MMWR_RATING_STATE_ROLLUP_PMC[],MATCH($B45,MMWR_RATING_STATE_ROLLUP_PMC[MMWR_RATING_STATE_ROLLUP_PMC],0),MATCH(F$9,MMWR_RATING_STATE_ROLLUP_PMC[#Headers],0)),"ERROR"))</f>
        <v>4</v>
      </c>
      <c r="G45" s="155">
        <f>IF($B45=" ","",IFERROR(INDEX(MMWR_RATING_STATE_ROLLUP_PMC[],MATCH($B45,MMWR_RATING_STATE_ROLLUP_PMC[MMWR_RATING_STATE_ROLLUP_PMC],0),MATCH(G$9,MMWR_RATING_STATE_ROLLUP_PMC[#Headers],0)),"ERROR"))</f>
        <v>344</v>
      </c>
      <c r="H45" s="156">
        <f>IF($B45=" ","",IFERROR(INDEX(MMWR_RATING_STATE_ROLLUP_PMC[],MATCH($B45,MMWR_RATING_STATE_ROLLUP_PMC[MMWR_RATING_STATE_ROLLUP_PMC],0),MATCH(H$9,MMWR_RATING_STATE_ROLLUP_PMC[#Headers],0)),"ERROR"))</f>
        <v>43</v>
      </c>
      <c r="I45" s="156">
        <f>IF($B45=" ","",IFERROR(INDEX(MMWR_RATING_STATE_ROLLUP_PMC[],MATCH($B45,MMWR_RATING_STATE_ROLLUP_PMC[MMWR_RATING_STATE_ROLLUP_PMC],0),MATCH(I$9,MMWR_RATING_STATE_ROLLUP_PMC[#Headers],0)),"ERROR"))</f>
        <v>68.212209302299996</v>
      </c>
      <c r="J45" s="42"/>
      <c r="K45" s="42"/>
      <c r="L45" s="42"/>
      <c r="M45" s="42"/>
      <c r="N45" s="28"/>
    </row>
    <row r="46" spans="1:14" x14ac:dyDescent="0.2">
      <c r="A46" s="25"/>
      <c r="B46" s="8" t="str">
        <f>VLOOKUP($B$15,DISTRICT_STATES[],14,0)</f>
        <v>Vermont</v>
      </c>
      <c r="C46" s="155">
        <f>IF($B46=" ","",IFERROR(INDEX(MMWR_RATING_STATE_ROLLUP_PMC[],MATCH($B46,MMWR_RATING_STATE_ROLLUP_PMC[MMWR_RATING_STATE_ROLLUP_PMC],0),MATCH(C$9,MMWR_RATING_STATE_ROLLUP_PMC[#Headers],0)),"ERROR"))</f>
        <v>16</v>
      </c>
      <c r="D46" s="156">
        <f>IF($B46=" ","",IFERROR(INDEX(MMWR_RATING_STATE_ROLLUP_PMC[],MATCH($B46,MMWR_RATING_STATE_ROLLUP_PMC[MMWR_RATING_STATE_ROLLUP_PMC],0),MATCH(D$9,MMWR_RATING_STATE_ROLLUP_PMC[#Headers],0)),"ERROR"))</f>
        <v>59.5</v>
      </c>
      <c r="E46" s="157">
        <f>IF($B46=" ","",IFERROR(INDEX(MMWR_RATING_STATE_ROLLUP_PMC[],MATCH($B46,MMWR_RATING_STATE_ROLLUP_PMC[MMWR_RATING_STATE_ROLLUP_PMC],0),MATCH(E$9,MMWR_RATING_STATE_ROLLUP_PMC[#Headers],0))/$C46,"ERROR"))</f>
        <v>0.125</v>
      </c>
      <c r="F46" s="155">
        <f>IF($B46=" ","",IFERROR(INDEX(MMWR_RATING_STATE_ROLLUP_PMC[],MATCH($B46,MMWR_RATING_STATE_ROLLUP_PMC[MMWR_RATING_STATE_ROLLUP_PMC],0),MATCH(F$9,MMWR_RATING_STATE_ROLLUP_PMC[#Headers],0)),"ERROR"))</f>
        <v>2</v>
      </c>
      <c r="G46" s="155">
        <f>IF($B46=" ","",IFERROR(INDEX(MMWR_RATING_STATE_ROLLUP_PMC[],MATCH($B46,MMWR_RATING_STATE_ROLLUP_PMC[MMWR_RATING_STATE_ROLLUP_PMC],0),MATCH(G$9,MMWR_RATING_STATE_ROLLUP_PMC[#Headers],0)),"ERROR"))</f>
        <v>127</v>
      </c>
      <c r="H46" s="156">
        <f>IF($B46=" ","",IFERROR(INDEX(MMWR_RATING_STATE_ROLLUP_PMC[],MATCH($B46,MMWR_RATING_STATE_ROLLUP_PMC[MMWR_RATING_STATE_ROLLUP_PMC],0),MATCH(H$9,MMWR_RATING_STATE_ROLLUP_PMC[#Headers],0)),"ERROR"))</f>
        <v>102</v>
      </c>
      <c r="I46" s="156">
        <f>IF($B46=" ","",IFERROR(INDEX(MMWR_RATING_STATE_ROLLUP_PMC[],MATCH($B46,MMWR_RATING_STATE_ROLLUP_PMC[MMWR_RATING_STATE_ROLLUP_PMC],0),MATCH(I$9,MMWR_RATING_STATE_ROLLUP_PMC[#Headers],0)),"ERROR"))</f>
        <v>85.283464566899994</v>
      </c>
      <c r="J46" s="42"/>
      <c r="K46" s="42"/>
      <c r="L46" s="42"/>
      <c r="M46" s="42"/>
      <c r="N46" s="28"/>
    </row>
    <row r="47" spans="1:14" x14ac:dyDescent="0.2">
      <c r="A47" s="25"/>
      <c r="B47" s="8" t="str">
        <f>VLOOKUP($B$15,DISTRICT_STATES[],15,0)</f>
        <v>Virginia</v>
      </c>
      <c r="C47" s="155">
        <f>IF($B47=" ","",IFERROR(INDEX(MMWR_RATING_STATE_ROLLUP_PMC[],MATCH($B47,MMWR_RATING_STATE_ROLLUP_PMC[MMWR_RATING_STATE_ROLLUP_PMC],0),MATCH(C$9,MMWR_RATING_STATE_ROLLUP_PMC[#Headers],0)),"ERROR"))</f>
        <v>480</v>
      </c>
      <c r="D47" s="156">
        <f>IF($B47=" ","",IFERROR(INDEX(MMWR_RATING_STATE_ROLLUP_PMC[],MATCH($B47,MMWR_RATING_STATE_ROLLUP_PMC[MMWR_RATING_STATE_ROLLUP_PMC],0),MATCH(D$9,MMWR_RATING_STATE_ROLLUP_PMC[#Headers],0)),"ERROR"))</f>
        <v>75.45</v>
      </c>
      <c r="E47" s="157">
        <f>IF($B47=" ","",IFERROR(INDEX(MMWR_RATING_STATE_ROLLUP_PMC[],MATCH($B47,MMWR_RATING_STATE_ROLLUP_PMC[MMWR_RATING_STATE_ROLLUP_PMC],0),MATCH(E$9,MMWR_RATING_STATE_ROLLUP_PMC[#Headers],0))/$C47,"ERROR"))</f>
        <v>0.13750000000000001</v>
      </c>
      <c r="F47" s="155">
        <f>IF($B47=" ","",IFERROR(INDEX(MMWR_RATING_STATE_ROLLUP_PMC[],MATCH($B47,MMWR_RATING_STATE_ROLLUP_PMC[MMWR_RATING_STATE_ROLLUP_PMC],0),MATCH(F$9,MMWR_RATING_STATE_ROLLUP_PMC[#Headers],0)),"ERROR"))</f>
        <v>52</v>
      </c>
      <c r="G47" s="155">
        <f>IF($B47=" ","",IFERROR(INDEX(MMWR_RATING_STATE_ROLLUP_PMC[],MATCH($B47,MMWR_RATING_STATE_ROLLUP_PMC[MMWR_RATING_STATE_ROLLUP_PMC],0),MATCH(G$9,MMWR_RATING_STATE_ROLLUP_PMC[#Headers],0)),"ERROR"))</f>
        <v>3139</v>
      </c>
      <c r="H47" s="156">
        <f>IF($B47=" ","",IFERROR(INDEX(MMWR_RATING_STATE_ROLLUP_PMC[],MATCH($B47,MMWR_RATING_STATE_ROLLUP_PMC[MMWR_RATING_STATE_ROLLUP_PMC],0),MATCH(H$9,MMWR_RATING_STATE_ROLLUP_PMC[#Headers],0)),"ERROR"))</f>
        <v>60.173076923099998</v>
      </c>
      <c r="I47" s="156">
        <f>IF($B47=" ","",IFERROR(INDEX(MMWR_RATING_STATE_ROLLUP_PMC[],MATCH($B47,MMWR_RATING_STATE_ROLLUP_PMC[MMWR_RATING_STATE_ROLLUP_PMC],0),MATCH(I$9,MMWR_RATING_STATE_ROLLUP_PMC[#Headers],0)),"ERROR"))</f>
        <v>80.712010194300007</v>
      </c>
      <c r="J47" s="42"/>
      <c r="K47" s="42"/>
      <c r="L47" s="42"/>
      <c r="M47" s="42"/>
      <c r="N47" s="28"/>
    </row>
    <row r="48" spans="1:14" x14ac:dyDescent="0.2">
      <c r="A48" s="25"/>
      <c r="B48" s="8" t="str">
        <f>VLOOKUP($B$15,DISTRICT_STATES[],16,0)</f>
        <v>West Virginia</v>
      </c>
      <c r="C48" s="155">
        <f>IF($B48=" ","",IFERROR(INDEX(MMWR_RATING_STATE_ROLLUP_PMC[],MATCH($B48,MMWR_RATING_STATE_ROLLUP_PMC[MMWR_RATING_STATE_ROLLUP_PMC],0),MATCH(C$9,MMWR_RATING_STATE_ROLLUP_PMC[#Headers],0)),"ERROR"))</f>
        <v>129</v>
      </c>
      <c r="D48" s="156">
        <f>IF($B48=" ","",IFERROR(INDEX(MMWR_RATING_STATE_ROLLUP_PMC[],MATCH($B48,MMWR_RATING_STATE_ROLLUP_PMC[MMWR_RATING_STATE_ROLLUP_PMC],0),MATCH(D$9,MMWR_RATING_STATE_ROLLUP_PMC[#Headers],0)),"ERROR"))</f>
        <v>67.217054263600005</v>
      </c>
      <c r="E48" s="157">
        <f>IF($B48=" ","",IFERROR(INDEX(MMWR_RATING_STATE_ROLLUP_PMC[],MATCH($B48,MMWR_RATING_STATE_ROLLUP_PMC[MMWR_RATING_STATE_ROLLUP_PMC],0),MATCH(E$9,MMWR_RATING_STATE_ROLLUP_PMC[#Headers],0))/$C48,"ERROR"))</f>
        <v>0.13178294573643412</v>
      </c>
      <c r="F48" s="155">
        <f>IF($B48=" ","",IFERROR(INDEX(MMWR_RATING_STATE_ROLLUP_PMC[],MATCH($B48,MMWR_RATING_STATE_ROLLUP_PMC[MMWR_RATING_STATE_ROLLUP_PMC],0),MATCH(F$9,MMWR_RATING_STATE_ROLLUP_PMC[#Headers],0)),"ERROR"))</f>
        <v>22</v>
      </c>
      <c r="G48" s="155">
        <f>IF($B48=" ","",IFERROR(INDEX(MMWR_RATING_STATE_ROLLUP_PMC[],MATCH($B48,MMWR_RATING_STATE_ROLLUP_PMC[MMWR_RATING_STATE_ROLLUP_PMC],0),MATCH(G$9,MMWR_RATING_STATE_ROLLUP_PMC[#Headers],0)),"ERROR"))</f>
        <v>919</v>
      </c>
      <c r="H48" s="156">
        <f>IF($B48=" ","",IFERROR(INDEX(MMWR_RATING_STATE_ROLLUP_PMC[],MATCH($B48,MMWR_RATING_STATE_ROLLUP_PMC[MMWR_RATING_STATE_ROLLUP_PMC],0),MATCH(H$9,MMWR_RATING_STATE_ROLLUP_PMC[#Headers],0)),"ERROR"))</f>
        <v>116.2272727273</v>
      </c>
      <c r="I48" s="156">
        <f>IF($B48=" ","",IFERROR(INDEX(MMWR_RATING_STATE_ROLLUP_PMC[],MATCH($B48,MMWR_RATING_STATE_ROLLUP_PMC[MMWR_RATING_STATE_ROLLUP_PMC],0),MATCH(I$9,MMWR_RATING_STATE_ROLLUP_PMC[#Headers],0)),"ERROR"))</f>
        <v>78.362350380799995</v>
      </c>
      <c r="J48" s="42"/>
      <c r="K48" s="42"/>
      <c r="L48" s="42"/>
      <c r="M48" s="42"/>
      <c r="N48" s="28"/>
    </row>
    <row r="49" spans="1:14" x14ac:dyDescent="0.2">
      <c r="A49" s="25"/>
      <c r="B49" s="372" t="s">
        <v>1052</v>
      </c>
      <c r="C49" s="373"/>
      <c r="D49" s="373"/>
      <c r="E49" s="373"/>
      <c r="F49" s="373"/>
      <c r="G49" s="373"/>
      <c r="H49" s="373"/>
      <c r="I49" s="373"/>
      <c r="J49" s="373"/>
      <c r="K49" s="373"/>
      <c r="L49" s="373"/>
      <c r="M49" s="385"/>
      <c r="N49" s="28"/>
    </row>
    <row r="50" spans="1:14" x14ac:dyDescent="0.2">
      <c r="A50" s="25"/>
      <c r="B50" s="41" t="s">
        <v>1051</v>
      </c>
      <c r="C50" s="155">
        <f>IF($B50=" ","",IFERROR(INDEX(MMWR_RATING_STATE_ROLLUP_QST[],MATCH($B50,MMWR_RATING_STATE_ROLLUP_QST[MMWR_RATING_STATE_ROLLUP_QST],0),MATCH(C$9,MMWR_RATING_STATE_ROLLUP_QST[#Headers],0)),"ERROR"))</f>
        <v>8845</v>
      </c>
      <c r="D50" s="156">
        <f>IF($B50=" ","",IFERROR(INDEX(MMWR_RATING_STATE_ROLLUP_QST[],MATCH($B50,MMWR_RATING_STATE_ROLLUP_QST[MMWR_RATING_STATE_ROLLUP_QST],0),MATCH(D$9,MMWR_RATING_STATE_ROLLUP_QST[#Headers],0)),"ERROR"))</f>
        <v>65.520293951400006</v>
      </c>
      <c r="E50" s="157">
        <f>IF($B50=" ","",IFERROR(INDEX(MMWR_RATING_STATE_ROLLUP_QST[],MATCH($B50,MMWR_RATING_STATE_ROLLUP_QST[MMWR_RATING_STATE_ROLLUP_QST],0),MATCH(E$9,MMWR_RATING_STATE_ROLLUP_QST[#Headers],0))/$C50,"ERROR"))</f>
        <v>0.13646127755794235</v>
      </c>
      <c r="F50" s="155">
        <f>IF($B50=" ","",IFERROR(INDEX(MMWR_RATING_STATE_ROLLUP_QST[],MATCH($B50,MMWR_RATING_STATE_ROLLUP_QST[MMWR_RATING_STATE_ROLLUP_QST],0),MATCH(F$9,MMWR_RATING_STATE_ROLLUP_QST[#Headers],0)),"ERROR"))</f>
        <v>268</v>
      </c>
      <c r="G50" s="155">
        <f>IF($B50=" ","",IFERROR(INDEX(MMWR_RATING_STATE_ROLLUP_QST[],MATCH($B50,MMWR_RATING_STATE_ROLLUP_QST[MMWR_RATING_STATE_ROLLUP_QST],0),MATCH(G$9,MMWR_RATING_STATE_ROLLUP_QST[#Headers],0)),"ERROR"))</f>
        <v>24004</v>
      </c>
      <c r="H50" s="156">
        <f>IF($B50=" ","",IFERROR(INDEX(MMWR_RATING_STATE_ROLLUP_QST[],MATCH($B50,MMWR_RATING_STATE_ROLLUP_QST[MMWR_RATING_STATE_ROLLUP_QST],0),MATCH(H$9,MMWR_RATING_STATE_ROLLUP_QST[#Headers],0)),"ERROR"))</f>
        <v>127.921641791</v>
      </c>
      <c r="I50" s="156">
        <f>IF($B50=" ","",IFERROR(INDEX(MMWR_RATING_STATE_ROLLUP_QST[],MATCH($B50,MMWR_RATING_STATE_ROLLUP_QST[MMWR_RATING_STATE_ROLLUP_QST],0),MATCH(I$9,MMWR_RATING_STATE_ROLLUP_QST[#Headers],0)),"ERROR"))</f>
        <v>132.96525579070001</v>
      </c>
      <c r="J50" s="42"/>
      <c r="K50" s="42"/>
      <c r="L50" s="42"/>
      <c r="M50" s="42"/>
      <c r="N50" s="28"/>
    </row>
    <row r="51" spans="1:14" x14ac:dyDescent="0.2">
      <c r="A51" s="25"/>
      <c r="B51" s="251" t="str">
        <f>INDEX(DISTRICT_STATES[],MATCH($B$5,DISTRICT_RO[District],0),1)</f>
        <v>North Atlantic</v>
      </c>
      <c r="C51" s="155">
        <f>IF($B51=" ","",IFERROR(INDEX(MMWR_RATING_STATE_ROLLUP_QST[],MATCH($B51,MMWR_RATING_STATE_ROLLUP_QST[MMWR_RATING_STATE_ROLLUP_QST],0),MATCH(C$9,MMWR_RATING_STATE_ROLLUP_QST[#Headers],0)),"ERROR"))</f>
        <v>2090</v>
      </c>
      <c r="D51" s="156">
        <f>IF($B51=" ","",IFERROR(INDEX(MMWR_RATING_STATE_ROLLUP_QST[],MATCH($B51,MMWR_RATING_STATE_ROLLUP_QST[MMWR_RATING_STATE_ROLLUP_QST],0),MATCH(D$9,MMWR_RATING_STATE_ROLLUP_QST[#Headers],0)),"ERROR"))</f>
        <v>68.311961722500001</v>
      </c>
      <c r="E51" s="157">
        <f>IF($B51=" ","",IFERROR(INDEX(MMWR_RATING_STATE_ROLLUP_QST[],MATCH($B51,MMWR_RATING_STATE_ROLLUP_QST[MMWR_RATING_STATE_ROLLUP_QST],0),MATCH(E$9,MMWR_RATING_STATE_ROLLUP_QST[#Headers],0))/$C51,"ERROR"))</f>
        <v>0.145933014354067</v>
      </c>
      <c r="F51" s="155">
        <f>IF($B51=" ","",IFERROR(INDEX(MMWR_RATING_STATE_ROLLUP_QST[],MATCH($B51,MMWR_RATING_STATE_ROLLUP_QST[MMWR_RATING_STATE_ROLLUP_QST],0),MATCH(F$9,MMWR_RATING_STATE_ROLLUP_QST[#Headers],0)),"ERROR"))</f>
        <v>48</v>
      </c>
      <c r="G51" s="155">
        <f>IF($B51=" ","",IFERROR(INDEX(MMWR_RATING_STATE_ROLLUP_QST[],MATCH($B51,MMWR_RATING_STATE_ROLLUP_QST[MMWR_RATING_STATE_ROLLUP_QST],0),MATCH(G$9,MMWR_RATING_STATE_ROLLUP_QST[#Headers],0)),"ERROR"))</f>
        <v>5122</v>
      </c>
      <c r="H51" s="156">
        <f>IF($B51=" ","",IFERROR(INDEX(MMWR_RATING_STATE_ROLLUP_QST[],MATCH($B51,MMWR_RATING_STATE_ROLLUP_QST[MMWR_RATING_STATE_ROLLUP_QST],0),MATCH(H$9,MMWR_RATING_STATE_ROLLUP_QST[#Headers],0)),"ERROR"))</f>
        <v>144.1666666667</v>
      </c>
      <c r="I51" s="156">
        <f>IF($B51=" ","",IFERROR(INDEX(MMWR_RATING_STATE_ROLLUP_QST[],MATCH($B51,MMWR_RATING_STATE_ROLLUP_QST[MMWR_RATING_STATE_ROLLUP_QST],0),MATCH(I$9,MMWR_RATING_STATE_ROLLUP_QST[#Headers],0)),"ERROR"))</f>
        <v>139.8276064037</v>
      </c>
      <c r="J51" s="42"/>
      <c r="K51" s="42"/>
      <c r="L51" s="42"/>
      <c r="M51" s="42"/>
      <c r="N51" s="28"/>
    </row>
    <row r="52" spans="1:14" x14ac:dyDescent="0.2">
      <c r="A52" s="25"/>
      <c r="B52" s="8" t="str">
        <f>VLOOKUP($B$15,DISTRICT_STATES[],2,0)</f>
        <v>Connecticut</v>
      </c>
      <c r="C52" s="155">
        <f>IF($B52=" ","",IFERROR(INDEX(MMWR_RATING_STATE_ROLLUP_QST[],MATCH($B52,MMWR_RATING_STATE_ROLLUP_QST[MMWR_RATING_STATE_ROLLUP_QST],0),MATCH(C$9,MMWR_RATING_STATE_ROLLUP_QST[#Headers],0)),"ERROR"))</f>
        <v>47</v>
      </c>
      <c r="D52" s="156">
        <f>IF($B52=" ","",IFERROR(INDEX(MMWR_RATING_STATE_ROLLUP_QST[],MATCH($B52,MMWR_RATING_STATE_ROLLUP_QST[MMWR_RATING_STATE_ROLLUP_QST],0),MATCH(D$9,MMWR_RATING_STATE_ROLLUP_QST[#Headers],0)),"ERROR"))</f>
        <v>54.680851063799999</v>
      </c>
      <c r="E52" s="157">
        <f>IF($B52=" ","",IFERROR(INDEX(MMWR_RATING_STATE_ROLLUP_QST[],MATCH($B52,MMWR_RATING_STATE_ROLLUP_QST[MMWR_RATING_STATE_ROLLUP_QST],0),MATCH(E$9,MMWR_RATING_STATE_ROLLUP_QST[#Headers],0))/$C52,"ERROR"))</f>
        <v>4.2553191489361701E-2</v>
      </c>
      <c r="F52" s="155">
        <f>IF($B52=" ","",IFERROR(INDEX(MMWR_RATING_STATE_ROLLUP_QST[],MATCH($B52,MMWR_RATING_STATE_ROLLUP_QST[MMWR_RATING_STATE_ROLLUP_QST],0),MATCH(F$9,MMWR_RATING_STATE_ROLLUP_QST[#Headers],0)),"ERROR"))</f>
        <v>0</v>
      </c>
      <c r="G52" s="155">
        <f>IF($B52=" ","",IFERROR(INDEX(MMWR_RATING_STATE_ROLLUP_QST[],MATCH($B52,MMWR_RATING_STATE_ROLLUP_QST[MMWR_RATING_STATE_ROLLUP_QST],0),MATCH(G$9,MMWR_RATING_STATE_ROLLUP_QST[#Headers],0)),"ERROR"))</f>
        <v>140</v>
      </c>
      <c r="H52" s="156">
        <f>IF($B52=" ","",IFERROR(INDEX(MMWR_RATING_STATE_ROLLUP_QST[],MATCH($B52,MMWR_RATING_STATE_ROLLUP_QST[MMWR_RATING_STATE_ROLLUP_QST],0),MATCH(H$9,MMWR_RATING_STATE_ROLLUP_QST[#Headers],0)),"ERROR"))</f>
        <v>0</v>
      </c>
      <c r="I52" s="156">
        <f>IF($B52=" ","",IFERROR(INDEX(MMWR_RATING_STATE_ROLLUP_QST[],MATCH($B52,MMWR_RATING_STATE_ROLLUP_QST[MMWR_RATING_STATE_ROLLUP_QST],0),MATCH(I$9,MMWR_RATING_STATE_ROLLUP_QST[#Headers],0)),"ERROR"))</f>
        <v>137.4714285714</v>
      </c>
      <c r="J52" s="42"/>
      <c r="K52" s="42"/>
      <c r="L52" s="42"/>
      <c r="M52" s="42"/>
      <c r="N52" s="28"/>
    </row>
    <row r="53" spans="1:14" x14ac:dyDescent="0.2">
      <c r="A53" s="25"/>
      <c r="B53" s="8" t="str">
        <f>VLOOKUP($B$15,DISTRICT_STATES[],3,0)</f>
        <v>Delaware</v>
      </c>
      <c r="C53" s="155">
        <f>IF($B53=" ","",IFERROR(INDEX(MMWR_RATING_STATE_ROLLUP_QST[],MATCH($B53,MMWR_RATING_STATE_ROLLUP_QST[MMWR_RATING_STATE_ROLLUP_QST],0),MATCH(C$9,MMWR_RATING_STATE_ROLLUP_QST[#Headers],0)),"ERROR"))</f>
        <v>17</v>
      </c>
      <c r="D53" s="156">
        <f>IF($B53=" ","",IFERROR(INDEX(MMWR_RATING_STATE_ROLLUP_QST[],MATCH($B53,MMWR_RATING_STATE_ROLLUP_QST[MMWR_RATING_STATE_ROLLUP_QST],0),MATCH(D$9,MMWR_RATING_STATE_ROLLUP_QST[#Headers],0)),"ERROR"))</f>
        <v>64.352941176499996</v>
      </c>
      <c r="E53" s="157">
        <f>IF($B53=" ","",IFERROR(INDEX(MMWR_RATING_STATE_ROLLUP_QST[],MATCH($B53,MMWR_RATING_STATE_ROLLUP_QST[MMWR_RATING_STATE_ROLLUP_QST],0),MATCH(E$9,MMWR_RATING_STATE_ROLLUP_QST[#Headers],0))/$C53,"ERROR"))</f>
        <v>0.17647058823529413</v>
      </c>
      <c r="F53" s="155">
        <f>IF($B53=" ","",IFERROR(INDEX(MMWR_RATING_STATE_ROLLUP_QST[],MATCH($B53,MMWR_RATING_STATE_ROLLUP_QST[MMWR_RATING_STATE_ROLLUP_QST],0),MATCH(F$9,MMWR_RATING_STATE_ROLLUP_QST[#Headers],0)),"ERROR"))</f>
        <v>0</v>
      </c>
      <c r="G53" s="155">
        <f>IF($B53=" ","",IFERROR(INDEX(MMWR_RATING_STATE_ROLLUP_QST[],MATCH($B53,MMWR_RATING_STATE_ROLLUP_QST[MMWR_RATING_STATE_ROLLUP_QST],0),MATCH(G$9,MMWR_RATING_STATE_ROLLUP_QST[#Headers],0)),"ERROR"))</f>
        <v>44</v>
      </c>
      <c r="H53" s="156">
        <f>IF($B53=" ","",IFERROR(INDEX(MMWR_RATING_STATE_ROLLUP_QST[],MATCH($B53,MMWR_RATING_STATE_ROLLUP_QST[MMWR_RATING_STATE_ROLLUP_QST],0),MATCH(H$9,MMWR_RATING_STATE_ROLLUP_QST[#Headers],0)),"ERROR"))</f>
        <v>0</v>
      </c>
      <c r="I53" s="156">
        <f>IF($B53=" ","",IFERROR(INDEX(MMWR_RATING_STATE_ROLLUP_QST[],MATCH($B53,MMWR_RATING_STATE_ROLLUP_QST[MMWR_RATING_STATE_ROLLUP_QST],0),MATCH(I$9,MMWR_RATING_STATE_ROLLUP_QST[#Headers],0)),"ERROR"))</f>
        <v>118.9772727273</v>
      </c>
      <c r="J53" s="42"/>
      <c r="K53" s="42"/>
      <c r="L53" s="42"/>
      <c r="M53" s="42"/>
      <c r="N53" s="28"/>
    </row>
    <row r="54" spans="1:14" x14ac:dyDescent="0.2">
      <c r="A54" s="25"/>
      <c r="B54" s="8" t="str">
        <f>VLOOKUP($B$15,DISTRICT_STATES[],4,0)</f>
        <v>District of Columbia</v>
      </c>
      <c r="C54" s="155">
        <f>IF($B54=" ","",IFERROR(INDEX(MMWR_RATING_STATE_ROLLUP_QST[],MATCH($B54,MMWR_RATING_STATE_ROLLUP_QST[MMWR_RATING_STATE_ROLLUP_QST],0),MATCH(C$9,MMWR_RATING_STATE_ROLLUP_QST[#Headers],0)),"ERROR"))</f>
        <v>20</v>
      </c>
      <c r="D54" s="156">
        <f>IF($B54=" ","",IFERROR(INDEX(MMWR_RATING_STATE_ROLLUP_QST[],MATCH($B54,MMWR_RATING_STATE_ROLLUP_QST[MMWR_RATING_STATE_ROLLUP_QST],0),MATCH(D$9,MMWR_RATING_STATE_ROLLUP_QST[#Headers],0)),"ERROR"))</f>
        <v>65.05</v>
      </c>
      <c r="E54" s="157">
        <f>IF($B54=" ","",IFERROR(INDEX(MMWR_RATING_STATE_ROLLUP_QST[],MATCH($B54,MMWR_RATING_STATE_ROLLUP_QST[MMWR_RATING_STATE_ROLLUP_QST],0),MATCH(E$9,MMWR_RATING_STATE_ROLLUP_QST[#Headers],0))/$C54,"ERROR"))</f>
        <v>0.15</v>
      </c>
      <c r="F54" s="155">
        <f>IF($B54=" ","",IFERROR(INDEX(MMWR_RATING_STATE_ROLLUP_QST[],MATCH($B54,MMWR_RATING_STATE_ROLLUP_QST[MMWR_RATING_STATE_ROLLUP_QST],0),MATCH(F$9,MMWR_RATING_STATE_ROLLUP_QST[#Headers],0)),"ERROR"))</f>
        <v>0</v>
      </c>
      <c r="G54" s="155">
        <f>IF($B54=" ","",IFERROR(INDEX(MMWR_RATING_STATE_ROLLUP_QST[],MATCH($B54,MMWR_RATING_STATE_ROLLUP_QST[MMWR_RATING_STATE_ROLLUP_QST],0),MATCH(G$9,MMWR_RATING_STATE_ROLLUP_QST[#Headers],0)),"ERROR"))</f>
        <v>42</v>
      </c>
      <c r="H54" s="156">
        <f>IF($B54=" ","",IFERROR(INDEX(MMWR_RATING_STATE_ROLLUP_QST[],MATCH($B54,MMWR_RATING_STATE_ROLLUP_QST[MMWR_RATING_STATE_ROLLUP_QST],0),MATCH(H$9,MMWR_RATING_STATE_ROLLUP_QST[#Headers],0)),"ERROR"))</f>
        <v>0</v>
      </c>
      <c r="I54" s="156">
        <f>IF($B54=" ","",IFERROR(INDEX(MMWR_RATING_STATE_ROLLUP_QST[],MATCH($B54,MMWR_RATING_STATE_ROLLUP_QST[MMWR_RATING_STATE_ROLLUP_QST],0),MATCH(I$9,MMWR_RATING_STATE_ROLLUP_QST[#Headers],0)),"ERROR"))</f>
        <v>142.8571428571</v>
      </c>
      <c r="J54" s="42"/>
      <c r="K54" s="42"/>
      <c r="L54" s="42"/>
      <c r="M54" s="42"/>
      <c r="N54" s="28"/>
    </row>
    <row r="55" spans="1:14" x14ac:dyDescent="0.2">
      <c r="A55" s="25"/>
      <c r="B55" s="8" t="str">
        <f>VLOOKUP($B$15,DISTRICT_STATES[],5,0)</f>
        <v>Maine</v>
      </c>
      <c r="C55" s="155">
        <f>IF($B55=" ","",IFERROR(INDEX(MMWR_RATING_STATE_ROLLUP_QST[],MATCH($B55,MMWR_RATING_STATE_ROLLUP_QST[MMWR_RATING_STATE_ROLLUP_QST],0),MATCH(C$9,MMWR_RATING_STATE_ROLLUP_QST[#Headers],0)),"ERROR"))</f>
        <v>18</v>
      </c>
      <c r="D55" s="156">
        <f>IF($B55=" ","",IFERROR(INDEX(MMWR_RATING_STATE_ROLLUP_QST[],MATCH($B55,MMWR_RATING_STATE_ROLLUP_QST[MMWR_RATING_STATE_ROLLUP_QST],0),MATCH(D$9,MMWR_RATING_STATE_ROLLUP_QST[#Headers],0)),"ERROR"))</f>
        <v>63.888888888899999</v>
      </c>
      <c r="E55" s="157">
        <f>IF($B55=" ","",IFERROR(INDEX(MMWR_RATING_STATE_ROLLUP_QST[],MATCH($B55,MMWR_RATING_STATE_ROLLUP_QST[MMWR_RATING_STATE_ROLLUP_QST],0),MATCH(E$9,MMWR_RATING_STATE_ROLLUP_QST[#Headers],0))/$C55,"ERROR"))</f>
        <v>0.16666666666666666</v>
      </c>
      <c r="F55" s="155">
        <f>IF($B55=" ","",IFERROR(INDEX(MMWR_RATING_STATE_ROLLUP_QST[],MATCH($B55,MMWR_RATING_STATE_ROLLUP_QST[MMWR_RATING_STATE_ROLLUP_QST],0),MATCH(F$9,MMWR_RATING_STATE_ROLLUP_QST[#Headers],0)),"ERROR"))</f>
        <v>0</v>
      </c>
      <c r="G55" s="155">
        <f>IF($B55=" ","",IFERROR(INDEX(MMWR_RATING_STATE_ROLLUP_QST[],MATCH($B55,MMWR_RATING_STATE_ROLLUP_QST[MMWR_RATING_STATE_ROLLUP_QST],0),MATCH(G$9,MMWR_RATING_STATE_ROLLUP_QST[#Headers],0)),"ERROR"))</f>
        <v>66</v>
      </c>
      <c r="H55" s="156">
        <f>IF($B55=" ","",IFERROR(INDEX(MMWR_RATING_STATE_ROLLUP_QST[],MATCH($B55,MMWR_RATING_STATE_ROLLUP_QST[MMWR_RATING_STATE_ROLLUP_QST],0),MATCH(H$9,MMWR_RATING_STATE_ROLLUP_QST[#Headers],0)),"ERROR"))</f>
        <v>0</v>
      </c>
      <c r="I55" s="156">
        <f>IF($B55=" ","",IFERROR(INDEX(MMWR_RATING_STATE_ROLLUP_QST[],MATCH($B55,MMWR_RATING_STATE_ROLLUP_QST[MMWR_RATING_STATE_ROLLUP_QST],0),MATCH(I$9,MMWR_RATING_STATE_ROLLUP_QST[#Headers],0)),"ERROR"))</f>
        <v>128.04545454550001</v>
      </c>
      <c r="J55" s="42"/>
      <c r="K55" s="42"/>
      <c r="L55" s="42"/>
      <c r="M55" s="42"/>
      <c r="N55" s="28"/>
    </row>
    <row r="56" spans="1:14" x14ac:dyDescent="0.2">
      <c r="A56" s="25"/>
      <c r="B56" s="8" t="str">
        <f>VLOOKUP($B$15,DISTRICT_STATES[],6,0)</f>
        <v>Maryland</v>
      </c>
      <c r="C56" s="155">
        <f>IF($B56=" ","",IFERROR(INDEX(MMWR_RATING_STATE_ROLLUP_QST[],MATCH($B56,MMWR_RATING_STATE_ROLLUP_QST[MMWR_RATING_STATE_ROLLUP_QST],0),MATCH(C$9,MMWR_RATING_STATE_ROLLUP_QST[#Headers],0)),"ERROR"))</f>
        <v>218</v>
      </c>
      <c r="D56" s="156">
        <f>IF($B56=" ","",IFERROR(INDEX(MMWR_RATING_STATE_ROLLUP_QST[],MATCH($B56,MMWR_RATING_STATE_ROLLUP_QST[MMWR_RATING_STATE_ROLLUP_QST],0),MATCH(D$9,MMWR_RATING_STATE_ROLLUP_QST[#Headers],0)),"ERROR"))</f>
        <v>68.743119266099995</v>
      </c>
      <c r="E56" s="157">
        <f>IF($B56=" ","",IFERROR(INDEX(MMWR_RATING_STATE_ROLLUP_QST[],MATCH($B56,MMWR_RATING_STATE_ROLLUP_QST[MMWR_RATING_STATE_ROLLUP_QST],0),MATCH(E$9,MMWR_RATING_STATE_ROLLUP_QST[#Headers],0))/$C56,"ERROR"))</f>
        <v>0.12844036697247707</v>
      </c>
      <c r="F56" s="155">
        <f>IF($B56=" ","",IFERROR(INDEX(MMWR_RATING_STATE_ROLLUP_QST[],MATCH($B56,MMWR_RATING_STATE_ROLLUP_QST[MMWR_RATING_STATE_ROLLUP_QST],0),MATCH(F$9,MMWR_RATING_STATE_ROLLUP_QST[#Headers],0)),"ERROR"))</f>
        <v>7</v>
      </c>
      <c r="G56" s="155">
        <f>IF($B56=" ","",IFERROR(INDEX(MMWR_RATING_STATE_ROLLUP_QST[],MATCH($B56,MMWR_RATING_STATE_ROLLUP_QST[MMWR_RATING_STATE_ROLLUP_QST],0),MATCH(G$9,MMWR_RATING_STATE_ROLLUP_QST[#Headers],0)),"ERROR"))</f>
        <v>534</v>
      </c>
      <c r="H56" s="156">
        <f>IF($B56=" ","",IFERROR(INDEX(MMWR_RATING_STATE_ROLLUP_QST[],MATCH($B56,MMWR_RATING_STATE_ROLLUP_QST[MMWR_RATING_STATE_ROLLUP_QST],0),MATCH(H$9,MMWR_RATING_STATE_ROLLUP_QST[#Headers],0)),"ERROR"))</f>
        <v>161.57142857139999</v>
      </c>
      <c r="I56" s="156">
        <f>IF($B56=" ","",IFERROR(INDEX(MMWR_RATING_STATE_ROLLUP_QST[],MATCH($B56,MMWR_RATING_STATE_ROLLUP_QST[MMWR_RATING_STATE_ROLLUP_QST],0),MATCH(I$9,MMWR_RATING_STATE_ROLLUP_QST[#Headers],0)),"ERROR"))</f>
        <v>140.8389513109</v>
      </c>
      <c r="J56" s="42"/>
      <c r="K56" s="42"/>
      <c r="L56" s="42"/>
      <c r="M56" s="42"/>
      <c r="N56" s="28"/>
    </row>
    <row r="57" spans="1:14" x14ac:dyDescent="0.2">
      <c r="A57" s="25"/>
      <c r="B57" s="8" t="str">
        <f>VLOOKUP($B$15,DISTRICT_STATES[],7,0)</f>
        <v>Massachusetts</v>
      </c>
      <c r="C57" s="155">
        <f>IF($B57=" ","",IFERROR(INDEX(MMWR_RATING_STATE_ROLLUP_QST[],MATCH($B57,MMWR_RATING_STATE_ROLLUP_QST[MMWR_RATING_STATE_ROLLUP_QST],0),MATCH(C$9,MMWR_RATING_STATE_ROLLUP_QST[#Headers],0)),"ERROR"))</f>
        <v>89</v>
      </c>
      <c r="D57" s="156">
        <f>IF($B57=" ","",IFERROR(INDEX(MMWR_RATING_STATE_ROLLUP_QST[],MATCH($B57,MMWR_RATING_STATE_ROLLUP_QST[MMWR_RATING_STATE_ROLLUP_QST],0),MATCH(D$9,MMWR_RATING_STATE_ROLLUP_QST[#Headers],0)),"ERROR"))</f>
        <v>63.359550561799999</v>
      </c>
      <c r="E57" s="157">
        <f>IF($B57=" ","",IFERROR(INDEX(MMWR_RATING_STATE_ROLLUP_QST[],MATCH($B57,MMWR_RATING_STATE_ROLLUP_QST[MMWR_RATING_STATE_ROLLUP_QST],0),MATCH(E$9,MMWR_RATING_STATE_ROLLUP_QST[#Headers],0))/$C57,"ERROR"))</f>
        <v>8.98876404494382E-2</v>
      </c>
      <c r="F57" s="155">
        <f>IF($B57=" ","",IFERROR(INDEX(MMWR_RATING_STATE_ROLLUP_QST[],MATCH($B57,MMWR_RATING_STATE_ROLLUP_QST[MMWR_RATING_STATE_ROLLUP_QST],0),MATCH(F$9,MMWR_RATING_STATE_ROLLUP_QST[#Headers],0)),"ERROR"))</f>
        <v>1</v>
      </c>
      <c r="G57" s="155">
        <f>IF($B57=" ","",IFERROR(INDEX(MMWR_RATING_STATE_ROLLUP_QST[],MATCH($B57,MMWR_RATING_STATE_ROLLUP_QST[MMWR_RATING_STATE_ROLLUP_QST],0),MATCH(G$9,MMWR_RATING_STATE_ROLLUP_QST[#Headers],0)),"ERROR"))</f>
        <v>211</v>
      </c>
      <c r="H57" s="156">
        <f>IF($B57=" ","",IFERROR(INDEX(MMWR_RATING_STATE_ROLLUP_QST[],MATCH($B57,MMWR_RATING_STATE_ROLLUP_QST[MMWR_RATING_STATE_ROLLUP_QST],0),MATCH(H$9,MMWR_RATING_STATE_ROLLUP_QST[#Headers],0)),"ERROR"))</f>
        <v>124</v>
      </c>
      <c r="I57" s="156">
        <f>IF($B57=" ","",IFERROR(INDEX(MMWR_RATING_STATE_ROLLUP_QST[],MATCH($B57,MMWR_RATING_STATE_ROLLUP_QST[MMWR_RATING_STATE_ROLLUP_QST],0),MATCH(I$9,MMWR_RATING_STATE_ROLLUP_QST[#Headers],0)),"ERROR"))</f>
        <v>129.83886255920001</v>
      </c>
      <c r="J57" s="42"/>
      <c r="K57" s="42"/>
      <c r="L57" s="42"/>
      <c r="M57" s="42"/>
      <c r="N57" s="28"/>
    </row>
    <row r="58" spans="1:14" x14ac:dyDescent="0.2">
      <c r="A58" s="25"/>
      <c r="B58" s="8" t="str">
        <f>VLOOKUP($B$15,DISTRICT_STATES[],8,0)</f>
        <v>New Hampshire</v>
      </c>
      <c r="C58" s="155">
        <f>IF($B58=" ","",IFERROR(INDEX(MMWR_RATING_STATE_ROLLUP_QST[],MATCH($B58,MMWR_RATING_STATE_ROLLUP_QST[MMWR_RATING_STATE_ROLLUP_QST],0),MATCH(C$9,MMWR_RATING_STATE_ROLLUP_QST[#Headers],0)),"ERROR"))</f>
        <v>11</v>
      </c>
      <c r="D58" s="156">
        <f>IF($B58=" ","",IFERROR(INDEX(MMWR_RATING_STATE_ROLLUP_QST[],MATCH($B58,MMWR_RATING_STATE_ROLLUP_QST[MMWR_RATING_STATE_ROLLUP_QST],0),MATCH(D$9,MMWR_RATING_STATE_ROLLUP_QST[#Headers],0)),"ERROR"))</f>
        <v>54.727272727299997</v>
      </c>
      <c r="E58" s="157">
        <f>IF($B58=" ","",IFERROR(INDEX(MMWR_RATING_STATE_ROLLUP_QST[],MATCH($B58,MMWR_RATING_STATE_ROLLUP_QST[MMWR_RATING_STATE_ROLLUP_QST],0),MATCH(E$9,MMWR_RATING_STATE_ROLLUP_QST[#Headers],0))/$C58,"ERROR"))</f>
        <v>9.0909090909090912E-2</v>
      </c>
      <c r="F58" s="155">
        <f>IF($B58=" ","",IFERROR(INDEX(MMWR_RATING_STATE_ROLLUP_QST[],MATCH($B58,MMWR_RATING_STATE_ROLLUP_QST[MMWR_RATING_STATE_ROLLUP_QST],0),MATCH(F$9,MMWR_RATING_STATE_ROLLUP_QST[#Headers],0)),"ERROR"))</f>
        <v>1</v>
      </c>
      <c r="G58" s="155">
        <f>IF($B58=" ","",IFERROR(INDEX(MMWR_RATING_STATE_ROLLUP_QST[],MATCH($B58,MMWR_RATING_STATE_ROLLUP_QST[MMWR_RATING_STATE_ROLLUP_QST],0),MATCH(G$9,MMWR_RATING_STATE_ROLLUP_QST[#Headers],0)),"ERROR"))</f>
        <v>64</v>
      </c>
      <c r="H58" s="156">
        <f>IF($B58=" ","",IFERROR(INDEX(MMWR_RATING_STATE_ROLLUP_QST[],MATCH($B58,MMWR_RATING_STATE_ROLLUP_QST[MMWR_RATING_STATE_ROLLUP_QST],0),MATCH(H$9,MMWR_RATING_STATE_ROLLUP_QST[#Headers],0)),"ERROR"))</f>
        <v>139</v>
      </c>
      <c r="I58" s="156">
        <f>IF($B58=" ","",IFERROR(INDEX(MMWR_RATING_STATE_ROLLUP_QST[],MATCH($B58,MMWR_RATING_STATE_ROLLUP_QST[MMWR_RATING_STATE_ROLLUP_QST],0),MATCH(I$9,MMWR_RATING_STATE_ROLLUP_QST[#Headers],0)),"ERROR"))</f>
        <v>121.015625</v>
      </c>
      <c r="J58" s="42"/>
      <c r="K58" s="42"/>
      <c r="L58" s="42"/>
      <c r="M58" s="42"/>
      <c r="N58" s="28"/>
    </row>
    <row r="59" spans="1:14" x14ac:dyDescent="0.2">
      <c r="A59" s="25"/>
      <c r="B59" s="8" t="str">
        <f>VLOOKUP($B$15,DISTRICT_STATES[],9,0)</f>
        <v>New Jersey</v>
      </c>
      <c r="C59" s="155">
        <f>IF($B59=" ","",IFERROR(INDEX(MMWR_RATING_STATE_ROLLUP_QST[],MATCH($B59,MMWR_RATING_STATE_ROLLUP_QST[MMWR_RATING_STATE_ROLLUP_QST],0),MATCH(C$9,MMWR_RATING_STATE_ROLLUP_QST[#Headers],0)),"ERROR"))</f>
        <v>79</v>
      </c>
      <c r="D59" s="156">
        <f>IF($B59=" ","",IFERROR(INDEX(MMWR_RATING_STATE_ROLLUP_QST[],MATCH($B59,MMWR_RATING_STATE_ROLLUP_QST[MMWR_RATING_STATE_ROLLUP_QST],0),MATCH(D$9,MMWR_RATING_STATE_ROLLUP_QST[#Headers],0)),"ERROR"))</f>
        <v>64.291139240500002</v>
      </c>
      <c r="E59" s="157">
        <f>IF($B59=" ","",IFERROR(INDEX(MMWR_RATING_STATE_ROLLUP_QST[],MATCH($B59,MMWR_RATING_STATE_ROLLUP_QST[MMWR_RATING_STATE_ROLLUP_QST],0),MATCH(E$9,MMWR_RATING_STATE_ROLLUP_QST[#Headers],0))/$C59,"ERROR"))</f>
        <v>0.10126582278481013</v>
      </c>
      <c r="F59" s="155">
        <f>IF($B59=" ","",IFERROR(INDEX(MMWR_RATING_STATE_ROLLUP_QST[],MATCH($B59,MMWR_RATING_STATE_ROLLUP_QST[MMWR_RATING_STATE_ROLLUP_QST],0),MATCH(F$9,MMWR_RATING_STATE_ROLLUP_QST[#Headers],0)),"ERROR"))</f>
        <v>3</v>
      </c>
      <c r="G59" s="155">
        <f>IF($B59=" ","",IFERROR(INDEX(MMWR_RATING_STATE_ROLLUP_QST[],MATCH($B59,MMWR_RATING_STATE_ROLLUP_QST[MMWR_RATING_STATE_ROLLUP_QST],0),MATCH(G$9,MMWR_RATING_STATE_ROLLUP_QST[#Headers],0)),"ERROR"))</f>
        <v>221</v>
      </c>
      <c r="H59" s="156">
        <f>IF($B59=" ","",IFERROR(INDEX(MMWR_RATING_STATE_ROLLUP_QST[],MATCH($B59,MMWR_RATING_STATE_ROLLUP_QST[MMWR_RATING_STATE_ROLLUP_QST],0),MATCH(H$9,MMWR_RATING_STATE_ROLLUP_QST[#Headers],0)),"ERROR"))</f>
        <v>128.6666666667</v>
      </c>
      <c r="I59" s="156">
        <f>IF($B59=" ","",IFERROR(INDEX(MMWR_RATING_STATE_ROLLUP_QST[],MATCH($B59,MMWR_RATING_STATE_ROLLUP_QST[MMWR_RATING_STATE_ROLLUP_QST],0),MATCH(I$9,MMWR_RATING_STATE_ROLLUP_QST[#Headers],0)),"ERROR"))</f>
        <v>134.8461538462</v>
      </c>
      <c r="J59" s="42"/>
      <c r="K59" s="42"/>
      <c r="L59" s="42"/>
      <c r="M59" s="42"/>
      <c r="N59" s="28"/>
    </row>
    <row r="60" spans="1:14" x14ac:dyDescent="0.2">
      <c r="A60" s="25"/>
      <c r="B60" s="8" t="str">
        <f>VLOOKUP($B$15,DISTRICT_STATES[],10,0)</f>
        <v>New York</v>
      </c>
      <c r="C60" s="155">
        <f>IF($B60=" ","",IFERROR(INDEX(MMWR_RATING_STATE_ROLLUP_QST[],MATCH($B60,MMWR_RATING_STATE_ROLLUP_QST[MMWR_RATING_STATE_ROLLUP_QST],0),MATCH(C$9,MMWR_RATING_STATE_ROLLUP_QST[#Headers],0)),"ERROR"))</f>
        <v>216</v>
      </c>
      <c r="D60" s="156">
        <f>IF($B60=" ","",IFERROR(INDEX(MMWR_RATING_STATE_ROLLUP_QST[],MATCH($B60,MMWR_RATING_STATE_ROLLUP_QST[MMWR_RATING_STATE_ROLLUP_QST],0),MATCH(D$9,MMWR_RATING_STATE_ROLLUP_QST[#Headers],0)),"ERROR"))</f>
        <v>61.541666666700003</v>
      </c>
      <c r="E60" s="157">
        <f>IF($B60=" ","",IFERROR(INDEX(MMWR_RATING_STATE_ROLLUP_QST[],MATCH($B60,MMWR_RATING_STATE_ROLLUP_QST[MMWR_RATING_STATE_ROLLUP_QST],0),MATCH(E$9,MMWR_RATING_STATE_ROLLUP_QST[#Headers],0))/$C60,"ERROR"))</f>
        <v>0.11574074074074074</v>
      </c>
      <c r="F60" s="155">
        <f>IF($B60=" ","",IFERROR(INDEX(MMWR_RATING_STATE_ROLLUP_QST[],MATCH($B60,MMWR_RATING_STATE_ROLLUP_QST[MMWR_RATING_STATE_ROLLUP_QST],0),MATCH(F$9,MMWR_RATING_STATE_ROLLUP_QST[#Headers],0)),"ERROR"))</f>
        <v>9</v>
      </c>
      <c r="G60" s="155">
        <f>IF($B60=" ","",IFERROR(INDEX(MMWR_RATING_STATE_ROLLUP_QST[],MATCH($B60,MMWR_RATING_STATE_ROLLUP_QST[MMWR_RATING_STATE_ROLLUP_QST],0),MATCH(G$9,MMWR_RATING_STATE_ROLLUP_QST[#Headers],0)),"ERROR"))</f>
        <v>541</v>
      </c>
      <c r="H60" s="156">
        <f>IF($B60=" ","",IFERROR(INDEX(MMWR_RATING_STATE_ROLLUP_QST[],MATCH($B60,MMWR_RATING_STATE_ROLLUP_QST[MMWR_RATING_STATE_ROLLUP_QST],0),MATCH(H$9,MMWR_RATING_STATE_ROLLUP_QST[#Headers],0)),"ERROR"))</f>
        <v>123.6666666667</v>
      </c>
      <c r="I60" s="156">
        <f>IF($B60=" ","",IFERROR(INDEX(MMWR_RATING_STATE_ROLLUP_QST[],MATCH($B60,MMWR_RATING_STATE_ROLLUP_QST[MMWR_RATING_STATE_ROLLUP_QST],0),MATCH(I$9,MMWR_RATING_STATE_ROLLUP_QST[#Headers],0)),"ERROR"))</f>
        <v>134.2144177449</v>
      </c>
      <c r="J60" s="42"/>
      <c r="K60" s="42"/>
      <c r="L60" s="42"/>
      <c r="M60" s="42"/>
      <c r="N60" s="28"/>
    </row>
    <row r="61" spans="1:14" x14ac:dyDescent="0.2">
      <c r="A61" s="25"/>
      <c r="B61" s="8" t="str">
        <f>VLOOKUP($B$15,DISTRICT_STATES[],11,0)</f>
        <v>North Carolina</v>
      </c>
      <c r="C61" s="155">
        <f>IF($B61=" ","",IFERROR(INDEX(MMWR_RATING_STATE_ROLLUP_QST[],MATCH($B61,MMWR_RATING_STATE_ROLLUP_QST[MMWR_RATING_STATE_ROLLUP_QST],0),MATCH(C$9,MMWR_RATING_STATE_ROLLUP_QST[#Headers],0)),"ERROR"))</f>
        <v>564</v>
      </c>
      <c r="D61" s="156">
        <f>IF($B61=" ","",IFERROR(INDEX(MMWR_RATING_STATE_ROLLUP_QST[],MATCH($B61,MMWR_RATING_STATE_ROLLUP_QST[MMWR_RATING_STATE_ROLLUP_QST],0),MATCH(D$9,MMWR_RATING_STATE_ROLLUP_QST[#Headers],0)),"ERROR"))</f>
        <v>68.4946808511</v>
      </c>
      <c r="E61" s="157">
        <f>IF($B61=" ","",IFERROR(INDEX(MMWR_RATING_STATE_ROLLUP_QST[],MATCH($B61,MMWR_RATING_STATE_ROLLUP_QST[MMWR_RATING_STATE_ROLLUP_QST],0),MATCH(E$9,MMWR_RATING_STATE_ROLLUP_QST[#Headers],0))/$C61,"ERROR"))</f>
        <v>0.14184397163120568</v>
      </c>
      <c r="F61" s="155">
        <f>IF($B61=" ","",IFERROR(INDEX(MMWR_RATING_STATE_ROLLUP_QST[],MATCH($B61,MMWR_RATING_STATE_ROLLUP_QST[MMWR_RATING_STATE_ROLLUP_QST],0),MATCH(F$9,MMWR_RATING_STATE_ROLLUP_QST[#Headers],0)),"ERROR"))</f>
        <v>7</v>
      </c>
      <c r="G61" s="155">
        <f>IF($B61=" ","",IFERROR(INDEX(MMWR_RATING_STATE_ROLLUP_QST[],MATCH($B61,MMWR_RATING_STATE_ROLLUP_QST[MMWR_RATING_STATE_ROLLUP_QST],0),MATCH(G$9,MMWR_RATING_STATE_ROLLUP_QST[#Headers],0)),"ERROR"))</f>
        <v>1236</v>
      </c>
      <c r="H61" s="156">
        <f>IF($B61=" ","",IFERROR(INDEX(MMWR_RATING_STATE_ROLLUP_QST[],MATCH($B61,MMWR_RATING_STATE_ROLLUP_QST[MMWR_RATING_STATE_ROLLUP_QST],0),MATCH(H$9,MMWR_RATING_STATE_ROLLUP_QST[#Headers],0)),"ERROR"))</f>
        <v>145.42857142860001</v>
      </c>
      <c r="I61" s="156">
        <f>IF($B61=" ","",IFERROR(INDEX(MMWR_RATING_STATE_ROLLUP_QST[],MATCH($B61,MMWR_RATING_STATE_ROLLUP_QST[MMWR_RATING_STATE_ROLLUP_QST],0),MATCH(I$9,MMWR_RATING_STATE_ROLLUP_QST[#Headers],0)),"ERROR"))</f>
        <v>141.87216828480001</v>
      </c>
      <c r="J61" s="42"/>
      <c r="K61" s="42"/>
      <c r="L61" s="42"/>
      <c r="M61" s="42"/>
      <c r="N61" s="28"/>
    </row>
    <row r="62" spans="1:14" x14ac:dyDescent="0.2">
      <c r="A62" s="25"/>
      <c r="B62" s="8" t="str">
        <f>VLOOKUP($B$15,DISTRICT_STATES[],12,0)</f>
        <v>Pennsylvania</v>
      </c>
      <c r="C62" s="155">
        <f>IF($B62=" ","",IFERROR(INDEX(MMWR_RATING_STATE_ROLLUP_QST[],MATCH($B62,MMWR_RATING_STATE_ROLLUP_QST[MMWR_RATING_STATE_ROLLUP_QST],0),MATCH(C$9,MMWR_RATING_STATE_ROLLUP_QST[#Headers],0)),"ERROR"))</f>
        <v>173</v>
      </c>
      <c r="D62" s="156">
        <f>IF($B62=" ","",IFERROR(INDEX(MMWR_RATING_STATE_ROLLUP_QST[],MATCH($B62,MMWR_RATING_STATE_ROLLUP_QST[MMWR_RATING_STATE_ROLLUP_QST],0),MATCH(D$9,MMWR_RATING_STATE_ROLLUP_QST[#Headers],0)),"ERROR"))</f>
        <v>67.924855491299994</v>
      </c>
      <c r="E62" s="157">
        <f>IF($B62=" ","",IFERROR(INDEX(MMWR_RATING_STATE_ROLLUP_QST[],MATCH($B62,MMWR_RATING_STATE_ROLLUP_QST[MMWR_RATING_STATE_ROLLUP_QST],0),MATCH(E$9,MMWR_RATING_STATE_ROLLUP_QST[#Headers],0))/$C62,"ERROR"))</f>
        <v>0.12138728323699421</v>
      </c>
      <c r="F62" s="155">
        <f>IF($B62=" ","",IFERROR(INDEX(MMWR_RATING_STATE_ROLLUP_QST[],MATCH($B62,MMWR_RATING_STATE_ROLLUP_QST[MMWR_RATING_STATE_ROLLUP_QST],0),MATCH(F$9,MMWR_RATING_STATE_ROLLUP_QST[#Headers],0)),"ERROR"))</f>
        <v>7</v>
      </c>
      <c r="G62" s="155">
        <f>IF($B62=" ","",IFERROR(INDEX(MMWR_RATING_STATE_ROLLUP_QST[],MATCH($B62,MMWR_RATING_STATE_ROLLUP_QST[MMWR_RATING_STATE_ROLLUP_QST],0),MATCH(G$9,MMWR_RATING_STATE_ROLLUP_QST[#Headers],0)),"ERROR"))</f>
        <v>480</v>
      </c>
      <c r="H62" s="156">
        <f>IF($B62=" ","",IFERROR(INDEX(MMWR_RATING_STATE_ROLLUP_QST[],MATCH($B62,MMWR_RATING_STATE_ROLLUP_QST[MMWR_RATING_STATE_ROLLUP_QST],0),MATCH(H$9,MMWR_RATING_STATE_ROLLUP_QST[#Headers],0)),"ERROR"))</f>
        <v>147.28571428570001</v>
      </c>
      <c r="I62" s="156">
        <f>IF($B62=" ","",IFERROR(INDEX(MMWR_RATING_STATE_ROLLUP_QST[],MATCH($B62,MMWR_RATING_STATE_ROLLUP_QST[MMWR_RATING_STATE_ROLLUP_QST],0),MATCH(I$9,MMWR_RATING_STATE_ROLLUP_QST[#Headers],0)),"ERROR"))</f>
        <v>132.08125000000001</v>
      </c>
      <c r="J62" s="42"/>
      <c r="K62" s="42"/>
      <c r="L62" s="42"/>
      <c r="M62" s="42"/>
      <c r="N62" s="28"/>
    </row>
    <row r="63" spans="1:14" x14ac:dyDescent="0.2">
      <c r="A63" s="25"/>
      <c r="B63" s="8" t="str">
        <f>VLOOKUP($B$15,DISTRICT_STATES[],13,0)</f>
        <v>Rhode Island</v>
      </c>
      <c r="C63" s="155">
        <f>IF($B63=" ","",IFERROR(INDEX(MMWR_RATING_STATE_ROLLUP_QST[],MATCH($B63,MMWR_RATING_STATE_ROLLUP_QST[MMWR_RATING_STATE_ROLLUP_QST],0),MATCH(C$9,MMWR_RATING_STATE_ROLLUP_QST[#Headers],0)),"ERROR"))</f>
        <v>14</v>
      </c>
      <c r="D63" s="156">
        <f>IF($B63=" ","",IFERROR(INDEX(MMWR_RATING_STATE_ROLLUP_QST[],MATCH($B63,MMWR_RATING_STATE_ROLLUP_QST[MMWR_RATING_STATE_ROLLUP_QST],0),MATCH(D$9,MMWR_RATING_STATE_ROLLUP_QST[#Headers],0)),"ERROR"))</f>
        <v>48.714285714299997</v>
      </c>
      <c r="E63" s="157">
        <f>IF($B63=" ","",IFERROR(INDEX(MMWR_RATING_STATE_ROLLUP_QST[],MATCH($B63,MMWR_RATING_STATE_ROLLUP_QST[MMWR_RATING_STATE_ROLLUP_QST],0),MATCH(E$9,MMWR_RATING_STATE_ROLLUP_QST[#Headers],0))/$C63,"ERROR"))</f>
        <v>0</v>
      </c>
      <c r="F63" s="155">
        <f>IF($B63=" ","",IFERROR(INDEX(MMWR_RATING_STATE_ROLLUP_QST[],MATCH($B63,MMWR_RATING_STATE_ROLLUP_QST[MMWR_RATING_STATE_ROLLUP_QST],0),MATCH(F$9,MMWR_RATING_STATE_ROLLUP_QST[#Headers],0)),"ERROR"))</f>
        <v>0</v>
      </c>
      <c r="G63" s="155">
        <f>IF($B63=" ","",IFERROR(INDEX(MMWR_RATING_STATE_ROLLUP_QST[],MATCH($B63,MMWR_RATING_STATE_ROLLUP_QST[MMWR_RATING_STATE_ROLLUP_QST],0),MATCH(G$9,MMWR_RATING_STATE_ROLLUP_QST[#Headers],0)),"ERROR"))</f>
        <v>29</v>
      </c>
      <c r="H63" s="156">
        <f>IF($B63=" ","",IFERROR(INDEX(MMWR_RATING_STATE_ROLLUP_QST[],MATCH($B63,MMWR_RATING_STATE_ROLLUP_QST[MMWR_RATING_STATE_ROLLUP_QST],0),MATCH(H$9,MMWR_RATING_STATE_ROLLUP_QST[#Headers],0)),"ERROR"))</f>
        <v>0</v>
      </c>
      <c r="I63" s="156">
        <f>IF($B63=" ","",IFERROR(INDEX(MMWR_RATING_STATE_ROLLUP_QST[],MATCH($B63,MMWR_RATING_STATE_ROLLUP_QST[MMWR_RATING_STATE_ROLLUP_QST],0),MATCH(I$9,MMWR_RATING_STATE_ROLLUP_QST[#Headers],0)),"ERROR"))</f>
        <v>102.5517241379</v>
      </c>
      <c r="J63" s="42"/>
      <c r="K63" s="42"/>
      <c r="L63" s="42"/>
      <c r="M63" s="42"/>
      <c r="N63" s="28"/>
    </row>
    <row r="64" spans="1:14" x14ac:dyDescent="0.2">
      <c r="A64" s="25"/>
      <c r="B64" s="8" t="str">
        <f>VLOOKUP($B$15,DISTRICT_STATES[],14,0)</f>
        <v>Vermont</v>
      </c>
      <c r="C64" s="155">
        <f>IF($B64=" ","",IFERROR(INDEX(MMWR_RATING_STATE_ROLLUP_QST[],MATCH($B64,MMWR_RATING_STATE_ROLLUP_QST[MMWR_RATING_STATE_ROLLUP_QST],0),MATCH(C$9,MMWR_RATING_STATE_ROLLUP_QST[#Headers],0)),"ERROR"))</f>
        <v>6</v>
      </c>
      <c r="D64" s="156">
        <f>IF($B64=" ","",IFERROR(INDEX(MMWR_RATING_STATE_ROLLUP_QST[],MATCH($B64,MMWR_RATING_STATE_ROLLUP_QST[MMWR_RATING_STATE_ROLLUP_QST],0),MATCH(D$9,MMWR_RATING_STATE_ROLLUP_QST[#Headers],0)),"ERROR"))</f>
        <v>32.166666666700003</v>
      </c>
      <c r="E64" s="157">
        <f>IF($B64=" ","",IFERROR(INDEX(MMWR_RATING_STATE_ROLLUP_QST[],MATCH($B64,MMWR_RATING_STATE_ROLLUP_QST[MMWR_RATING_STATE_ROLLUP_QST],0),MATCH(E$9,MMWR_RATING_STATE_ROLLUP_QST[#Headers],0))/$C64,"ERROR"))</f>
        <v>0</v>
      </c>
      <c r="F64" s="155">
        <f>IF($B64=" ","",IFERROR(INDEX(MMWR_RATING_STATE_ROLLUP_QST[],MATCH($B64,MMWR_RATING_STATE_ROLLUP_QST[MMWR_RATING_STATE_ROLLUP_QST],0),MATCH(F$9,MMWR_RATING_STATE_ROLLUP_QST[#Headers],0)),"ERROR"))</f>
        <v>0</v>
      </c>
      <c r="G64" s="155">
        <f>IF($B64=" ","",IFERROR(INDEX(MMWR_RATING_STATE_ROLLUP_QST[],MATCH($B64,MMWR_RATING_STATE_ROLLUP_QST[MMWR_RATING_STATE_ROLLUP_QST],0),MATCH(G$9,MMWR_RATING_STATE_ROLLUP_QST[#Headers],0)),"ERROR"))</f>
        <v>22</v>
      </c>
      <c r="H64" s="156">
        <f>IF($B64=" ","",IFERROR(INDEX(MMWR_RATING_STATE_ROLLUP_QST[],MATCH($B64,MMWR_RATING_STATE_ROLLUP_QST[MMWR_RATING_STATE_ROLLUP_QST],0),MATCH(H$9,MMWR_RATING_STATE_ROLLUP_QST[#Headers],0)),"ERROR"))</f>
        <v>0</v>
      </c>
      <c r="I64" s="156">
        <f>IF($B64=" ","",IFERROR(INDEX(MMWR_RATING_STATE_ROLLUP_QST[],MATCH($B64,MMWR_RATING_STATE_ROLLUP_QST[MMWR_RATING_STATE_ROLLUP_QST],0),MATCH(I$9,MMWR_RATING_STATE_ROLLUP_QST[#Headers],0)),"ERROR"))</f>
        <v>134.9090909091</v>
      </c>
      <c r="J64" s="42"/>
      <c r="K64" s="42"/>
      <c r="L64" s="42"/>
      <c r="M64" s="42"/>
      <c r="N64" s="28"/>
    </row>
    <row r="65" spans="1:14" x14ac:dyDescent="0.2">
      <c r="A65" s="25"/>
      <c r="B65" s="8" t="str">
        <f>VLOOKUP($B$15,DISTRICT_STATES[],15,0)</f>
        <v>Virginia</v>
      </c>
      <c r="C65" s="155">
        <f>IF($B65=" ","",IFERROR(INDEX(MMWR_RATING_STATE_ROLLUP_QST[],MATCH($B65,MMWR_RATING_STATE_ROLLUP_QST[MMWR_RATING_STATE_ROLLUP_QST],0),MATCH(C$9,MMWR_RATING_STATE_ROLLUP_QST[#Headers],0)),"ERROR"))</f>
        <v>599</v>
      </c>
      <c r="D65" s="156">
        <f>IF($B65=" ","",IFERROR(INDEX(MMWR_RATING_STATE_ROLLUP_QST[],MATCH($B65,MMWR_RATING_STATE_ROLLUP_QST[MMWR_RATING_STATE_ROLLUP_QST],0),MATCH(D$9,MMWR_RATING_STATE_ROLLUP_QST[#Headers],0)),"ERROR"))</f>
        <v>74.494156928199999</v>
      </c>
      <c r="E65" s="157">
        <f>IF($B65=" ","",IFERROR(INDEX(MMWR_RATING_STATE_ROLLUP_QST[],MATCH($B65,MMWR_RATING_STATE_ROLLUP_QST[MMWR_RATING_STATE_ROLLUP_QST],0),MATCH(E$9,MMWR_RATING_STATE_ROLLUP_QST[#Headers],0))/$C65,"ERROR"))</f>
        <v>0.2020033388981636</v>
      </c>
      <c r="F65" s="155">
        <f>IF($B65=" ","",IFERROR(INDEX(MMWR_RATING_STATE_ROLLUP_QST[],MATCH($B65,MMWR_RATING_STATE_ROLLUP_QST[MMWR_RATING_STATE_ROLLUP_QST],0),MATCH(F$9,MMWR_RATING_STATE_ROLLUP_QST[#Headers],0)),"ERROR"))</f>
        <v>13</v>
      </c>
      <c r="G65" s="155">
        <f>IF($B65=" ","",IFERROR(INDEX(MMWR_RATING_STATE_ROLLUP_QST[],MATCH($B65,MMWR_RATING_STATE_ROLLUP_QST[MMWR_RATING_STATE_ROLLUP_QST],0),MATCH(G$9,MMWR_RATING_STATE_ROLLUP_QST[#Headers],0)),"ERROR"))</f>
        <v>1429</v>
      </c>
      <c r="H65" s="156">
        <f>IF($B65=" ","",IFERROR(INDEX(MMWR_RATING_STATE_ROLLUP_QST[],MATCH($B65,MMWR_RATING_STATE_ROLLUP_QST[MMWR_RATING_STATE_ROLLUP_QST],0),MATCH(H$9,MMWR_RATING_STATE_ROLLUP_QST[#Headers],0)),"ERROR"))</f>
        <v>152.1538461538</v>
      </c>
      <c r="I65" s="156">
        <f>IF($B65=" ","",IFERROR(INDEX(MMWR_RATING_STATE_ROLLUP_QST[],MATCH($B65,MMWR_RATING_STATE_ROLLUP_QST[MMWR_RATING_STATE_ROLLUP_QST],0),MATCH(I$9,MMWR_RATING_STATE_ROLLUP_QST[#Headers],0)),"ERROR"))</f>
        <v>148.23163051079999</v>
      </c>
      <c r="J65" s="42"/>
      <c r="K65" s="42"/>
      <c r="L65" s="42"/>
      <c r="M65" s="42"/>
      <c r="N65" s="28"/>
    </row>
    <row r="66" spans="1:14" x14ac:dyDescent="0.2">
      <c r="A66" s="25"/>
      <c r="B66" s="8" t="str">
        <f>VLOOKUP($B$15,DISTRICT_STATES[],16,0)</f>
        <v>West Virginia</v>
      </c>
      <c r="C66" s="155">
        <f>IF($B66=" ","",IFERROR(INDEX(MMWR_RATING_STATE_ROLLUP_QST[],MATCH($B66,MMWR_RATING_STATE_ROLLUP_QST[MMWR_RATING_STATE_ROLLUP_QST],0),MATCH(C$9,MMWR_RATING_STATE_ROLLUP_QST[#Headers],0)),"ERROR"))</f>
        <v>19</v>
      </c>
      <c r="D66" s="156">
        <f>IF($B66=" ","",IFERROR(INDEX(MMWR_RATING_STATE_ROLLUP_QST[],MATCH($B66,MMWR_RATING_STATE_ROLLUP_QST[MMWR_RATING_STATE_ROLLUP_QST],0),MATCH(D$9,MMWR_RATING_STATE_ROLLUP_QST[#Headers],0)),"ERROR"))</f>
        <v>62.052631578899998</v>
      </c>
      <c r="E66" s="157">
        <f>IF($B66=" ","",IFERROR(INDEX(MMWR_RATING_STATE_ROLLUP_QST[],MATCH($B66,MMWR_RATING_STATE_ROLLUP_QST[MMWR_RATING_STATE_ROLLUP_QST],0),MATCH(E$9,MMWR_RATING_STATE_ROLLUP_QST[#Headers],0))/$C66,"ERROR"))</f>
        <v>0.10526315789473684</v>
      </c>
      <c r="F66" s="155">
        <f>IF($B66=" ","",IFERROR(INDEX(MMWR_RATING_STATE_ROLLUP_QST[],MATCH($B66,MMWR_RATING_STATE_ROLLUP_QST[MMWR_RATING_STATE_ROLLUP_QST],0),MATCH(F$9,MMWR_RATING_STATE_ROLLUP_QST[#Headers],0)),"ERROR"))</f>
        <v>0</v>
      </c>
      <c r="G66" s="155">
        <f>IF($B66=" ","",IFERROR(INDEX(MMWR_RATING_STATE_ROLLUP_QST[],MATCH($B66,MMWR_RATING_STATE_ROLLUP_QST[MMWR_RATING_STATE_ROLLUP_QST],0),MATCH(G$9,MMWR_RATING_STATE_ROLLUP_QST[#Headers],0)),"ERROR"))</f>
        <v>63</v>
      </c>
      <c r="H66" s="156">
        <f>IF($B66=" ","",IFERROR(INDEX(MMWR_RATING_STATE_ROLLUP_QST[],MATCH($B66,MMWR_RATING_STATE_ROLLUP_QST[MMWR_RATING_STATE_ROLLUP_QST],0),MATCH(H$9,MMWR_RATING_STATE_ROLLUP_QST[#Headers],0)),"ERROR"))</f>
        <v>0</v>
      </c>
      <c r="I66" s="156">
        <f>IF($B66=" ","",IFERROR(INDEX(MMWR_RATING_STATE_ROLLUP_QST[],MATCH($B66,MMWR_RATING_STATE_ROLLUP_QST[MMWR_RATING_STATE_ROLLUP_QST],0),MATCH(I$9,MMWR_RATING_STATE_ROLLUP_QST[#Headers],0)),"ERROR"))</f>
        <v>126.7777777778</v>
      </c>
      <c r="J66" s="42"/>
      <c r="K66" s="42"/>
      <c r="L66" s="42"/>
      <c r="M66" s="42"/>
      <c r="N66" s="28"/>
    </row>
    <row r="67" spans="1:14" x14ac:dyDescent="0.2">
      <c r="A67" s="25"/>
      <c r="B67" s="372" t="s">
        <v>1053</v>
      </c>
      <c r="C67" s="373"/>
      <c r="D67" s="373"/>
      <c r="E67" s="373"/>
      <c r="F67" s="373"/>
      <c r="G67" s="373"/>
      <c r="H67" s="373"/>
      <c r="I67" s="373"/>
      <c r="J67" s="373"/>
      <c r="K67" s="373"/>
      <c r="L67" s="373"/>
      <c r="M67" s="385"/>
      <c r="N67" s="28"/>
    </row>
    <row r="68" spans="1:14" ht="25.5" x14ac:dyDescent="0.2">
      <c r="A68" s="25"/>
      <c r="B68" s="253" t="s">
        <v>1049</v>
      </c>
      <c r="C68" s="155">
        <f>IF($B68=" ","",IFERROR(INDEX(MMWR_RATING_STATE_ROLLUP_BDD[],MATCH($B68,MMWR_RATING_STATE_ROLLUP_BDD[MMWR_RATING_STATE_ROLLUP_BDD],0),MATCH(C$9,MMWR_RATING_STATE_ROLLUP_BDD[#Headers],0)),"ERROR"))</f>
        <v>10607</v>
      </c>
      <c r="D68" s="156">
        <f>IF($B68=" ","",IFERROR(INDEX(MMWR_RATING_STATE_ROLLUP_BDD[],MATCH($B68,MMWR_RATING_STATE_ROLLUP_BDD[MMWR_RATING_STATE_ROLLUP_BDD],0),MATCH(D$9,MMWR_RATING_STATE_ROLLUP_BDD[#Headers],0)),"ERROR"))</f>
        <v>60.803337418700004</v>
      </c>
      <c r="E68" s="157">
        <f>IF($B68=" ","",IFERROR(INDEX(MMWR_RATING_STATE_ROLLUP_BDD[],MATCH($B68,MMWR_RATING_STATE_ROLLUP_BDD[MMWR_RATING_STATE_ROLLUP_BDD],0),MATCH(E$9,MMWR_RATING_STATE_ROLLUP_BDD[#Headers],0))/$C68,"ERROR"))</f>
        <v>0.11973225228622608</v>
      </c>
      <c r="F68" s="155">
        <f>IF($B68=" ","",IFERROR(INDEX(MMWR_RATING_STATE_ROLLUP_BDD[],MATCH($B68,MMWR_RATING_STATE_ROLLUP_BDD[MMWR_RATING_STATE_ROLLUP_BDD],0),MATCH(F$9,MMWR_RATING_STATE_ROLLUP_BDD[#Headers],0)),"ERROR"))</f>
        <v>244</v>
      </c>
      <c r="G68" s="155">
        <f>IF($B68=" ","",IFERROR(INDEX(MMWR_RATING_STATE_ROLLUP_BDD[],MATCH($B68,MMWR_RATING_STATE_ROLLUP_BDD[MMWR_RATING_STATE_ROLLUP_BDD],0),MATCH(G$9,MMWR_RATING_STATE_ROLLUP_BDD[#Headers],0)),"ERROR"))</f>
        <v>23860</v>
      </c>
      <c r="H68" s="156">
        <f>IF($B68=" ","",IFERROR(INDEX(MMWR_RATING_STATE_ROLLUP_BDD[],MATCH($B68,MMWR_RATING_STATE_ROLLUP_BDD[MMWR_RATING_STATE_ROLLUP_BDD],0),MATCH(H$9,MMWR_RATING_STATE_ROLLUP_BDD[#Headers],0)),"ERROR"))</f>
        <v>134.78688524590001</v>
      </c>
      <c r="I68" s="156">
        <f>IF($B68=" ","",IFERROR(INDEX(MMWR_RATING_STATE_ROLLUP_BDD[],MATCH($B68,MMWR_RATING_STATE_ROLLUP_BDD[MMWR_RATING_STATE_ROLLUP_BDD],0),MATCH(I$9,MMWR_RATING_STATE_ROLLUP_BDD[#Headers],0)),"ERROR"))</f>
        <v>150.68985750210001</v>
      </c>
      <c r="J68" s="42"/>
      <c r="K68" s="42"/>
      <c r="L68" s="42"/>
      <c r="M68" s="42"/>
      <c r="N68" s="28"/>
    </row>
    <row r="69" spans="1:14" x14ac:dyDescent="0.2">
      <c r="A69" s="25"/>
      <c r="B69" s="251" t="str">
        <f>INDEX(DISTRICT_STATES[],MATCH($B$5,DISTRICT_RO[District],0),1)</f>
        <v>North Atlantic</v>
      </c>
      <c r="C69" s="155">
        <f>IF($B69=" ","",IFERROR(INDEX(MMWR_RATING_STATE_ROLLUP_BDD[],MATCH($B69,MMWR_RATING_STATE_ROLLUP_BDD[MMWR_RATING_STATE_ROLLUP_BDD],0),MATCH(C$9,MMWR_RATING_STATE_ROLLUP_BDD[#Headers],0)),"ERROR"))</f>
        <v>3215</v>
      </c>
      <c r="D69" s="156">
        <f>IF($B69=" ","",IFERROR(INDEX(MMWR_RATING_STATE_ROLLUP_BDD[],MATCH($B69,MMWR_RATING_STATE_ROLLUP_BDD[MMWR_RATING_STATE_ROLLUP_BDD],0),MATCH(D$9,MMWR_RATING_STATE_ROLLUP_BDD[#Headers],0)),"ERROR"))</f>
        <v>60.424883359299997</v>
      </c>
      <c r="E69" s="157">
        <f>IF($B69=" ","",IFERROR(INDEX(MMWR_RATING_STATE_ROLLUP_BDD[],MATCH($B69,MMWR_RATING_STATE_ROLLUP_BDD[MMWR_RATING_STATE_ROLLUP_BDD],0),MATCH(E$9,MMWR_RATING_STATE_ROLLUP_BDD[#Headers],0))/$C69,"ERROR"))</f>
        <v>0.12534992223950234</v>
      </c>
      <c r="F69" s="155">
        <f>IF($B69=" ","",IFERROR(INDEX(MMWR_RATING_STATE_ROLLUP_BDD[],MATCH($B69,MMWR_RATING_STATE_ROLLUP_BDD[MMWR_RATING_STATE_ROLLUP_BDD],0),MATCH(F$9,MMWR_RATING_STATE_ROLLUP_BDD[#Headers],0)),"ERROR"))</f>
        <v>50</v>
      </c>
      <c r="G69" s="155">
        <f>IF($B69=" ","",IFERROR(INDEX(MMWR_RATING_STATE_ROLLUP_BDD[],MATCH($B69,MMWR_RATING_STATE_ROLLUP_BDD[MMWR_RATING_STATE_ROLLUP_BDD],0),MATCH(G$9,MMWR_RATING_STATE_ROLLUP_BDD[#Headers],0)),"ERROR"))</f>
        <v>5322</v>
      </c>
      <c r="H69" s="156">
        <f>IF($B69=" ","",IFERROR(INDEX(MMWR_RATING_STATE_ROLLUP_BDD[],MATCH($B69,MMWR_RATING_STATE_ROLLUP_BDD[MMWR_RATING_STATE_ROLLUP_BDD],0),MATCH(H$9,MMWR_RATING_STATE_ROLLUP_BDD[#Headers],0)),"ERROR"))</f>
        <v>148.32</v>
      </c>
      <c r="I69" s="156">
        <f>IF($B69=" ","",IFERROR(INDEX(MMWR_RATING_STATE_ROLLUP_BDD[],MATCH($B69,MMWR_RATING_STATE_ROLLUP_BDD[MMWR_RATING_STATE_ROLLUP_BDD],0),MATCH(I$9,MMWR_RATING_STATE_ROLLUP_BDD[#Headers],0)),"ERROR"))</f>
        <v>139.52160841790001</v>
      </c>
      <c r="J69" s="42"/>
      <c r="K69" s="42"/>
      <c r="L69" s="42"/>
      <c r="M69" s="42"/>
      <c r="N69" s="28"/>
    </row>
    <row r="70" spans="1:14" x14ac:dyDescent="0.2">
      <c r="A70" s="25"/>
      <c r="B70" s="8" t="str">
        <f>VLOOKUP($B$15,DISTRICT_STATES[],2,0)</f>
        <v>Connecticut</v>
      </c>
      <c r="C70" s="155">
        <f>IF($B70=" ","",IFERROR(INDEX(MMWR_RATING_STATE_ROLLUP_BDD[],MATCH($B70,MMWR_RATING_STATE_ROLLUP_BDD[MMWR_RATING_STATE_ROLLUP_BDD],0),MATCH(C$9,MMWR_RATING_STATE_ROLLUP_BDD[#Headers],0)),"ERROR"))</f>
        <v>63</v>
      </c>
      <c r="D70" s="156">
        <f>IF($B70=" ","",IFERROR(INDEX(MMWR_RATING_STATE_ROLLUP_BDD[],MATCH($B70,MMWR_RATING_STATE_ROLLUP_BDD[MMWR_RATING_STATE_ROLLUP_BDD],0),MATCH(D$9,MMWR_RATING_STATE_ROLLUP_BDD[#Headers],0)),"ERROR"))</f>
        <v>52.984126984100001</v>
      </c>
      <c r="E70" s="157">
        <f>IF($B70=" ","",IFERROR(INDEX(MMWR_RATING_STATE_ROLLUP_BDD[],MATCH($B70,MMWR_RATING_STATE_ROLLUP_BDD[MMWR_RATING_STATE_ROLLUP_BDD],0),MATCH(E$9,MMWR_RATING_STATE_ROLLUP_BDD[#Headers],0))/$C70,"ERROR"))</f>
        <v>4.7619047619047616E-2</v>
      </c>
      <c r="F70" s="155">
        <f>IF($B70=" ","",IFERROR(INDEX(MMWR_RATING_STATE_ROLLUP_BDD[],MATCH($B70,MMWR_RATING_STATE_ROLLUP_BDD[MMWR_RATING_STATE_ROLLUP_BDD],0),MATCH(F$9,MMWR_RATING_STATE_ROLLUP_BDD[#Headers],0)),"ERROR"))</f>
        <v>0</v>
      </c>
      <c r="G70" s="155">
        <f>IF($B70=" ","",IFERROR(INDEX(MMWR_RATING_STATE_ROLLUP_BDD[],MATCH($B70,MMWR_RATING_STATE_ROLLUP_BDD[MMWR_RATING_STATE_ROLLUP_BDD],0),MATCH(G$9,MMWR_RATING_STATE_ROLLUP_BDD[#Headers],0)),"ERROR"))</f>
        <v>72</v>
      </c>
      <c r="H70" s="156">
        <f>IF($B70=" ","",IFERROR(INDEX(MMWR_RATING_STATE_ROLLUP_BDD[],MATCH($B70,MMWR_RATING_STATE_ROLLUP_BDD[MMWR_RATING_STATE_ROLLUP_BDD],0),MATCH(H$9,MMWR_RATING_STATE_ROLLUP_BDD[#Headers],0)),"ERROR"))</f>
        <v>0</v>
      </c>
      <c r="I70" s="156">
        <f>IF($B70=" ","",IFERROR(INDEX(MMWR_RATING_STATE_ROLLUP_BDD[],MATCH($B70,MMWR_RATING_STATE_ROLLUP_BDD[MMWR_RATING_STATE_ROLLUP_BDD],0),MATCH(I$9,MMWR_RATING_STATE_ROLLUP_BDD[#Headers],0)),"ERROR"))</f>
        <v>116.4166666667</v>
      </c>
      <c r="J70" s="42"/>
      <c r="K70" s="42"/>
      <c r="L70" s="42"/>
      <c r="M70" s="42"/>
      <c r="N70" s="28"/>
    </row>
    <row r="71" spans="1:14" x14ac:dyDescent="0.2">
      <c r="A71" s="25"/>
      <c r="B71" s="8" t="str">
        <f>VLOOKUP($B$15,DISTRICT_STATES[],3,0)</f>
        <v>Delaware</v>
      </c>
      <c r="C71" s="155">
        <f>IF($B71=" ","",IFERROR(INDEX(MMWR_RATING_STATE_ROLLUP_BDD[],MATCH($B71,MMWR_RATING_STATE_ROLLUP_BDD[MMWR_RATING_STATE_ROLLUP_BDD],0),MATCH(C$9,MMWR_RATING_STATE_ROLLUP_BDD[#Headers],0)),"ERROR"))</f>
        <v>22</v>
      </c>
      <c r="D71" s="156">
        <f>IF($B71=" ","",IFERROR(INDEX(MMWR_RATING_STATE_ROLLUP_BDD[],MATCH($B71,MMWR_RATING_STATE_ROLLUP_BDD[MMWR_RATING_STATE_ROLLUP_BDD],0),MATCH(D$9,MMWR_RATING_STATE_ROLLUP_BDD[#Headers],0)),"ERROR"))</f>
        <v>62.9545454545</v>
      </c>
      <c r="E71" s="157">
        <f>IF($B71=" ","",IFERROR(INDEX(MMWR_RATING_STATE_ROLLUP_BDD[],MATCH($B71,MMWR_RATING_STATE_ROLLUP_BDD[MMWR_RATING_STATE_ROLLUP_BDD],0),MATCH(E$9,MMWR_RATING_STATE_ROLLUP_BDD[#Headers],0))/$C71,"ERROR"))</f>
        <v>0.22727272727272727</v>
      </c>
      <c r="F71" s="155">
        <f>IF($B71=" ","",IFERROR(INDEX(MMWR_RATING_STATE_ROLLUP_BDD[],MATCH($B71,MMWR_RATING_STATE_ROLLUP_BDD[MMWR_RATING_STATE_ROLLUP_BDD],0),MATCH(F$9,MMWR_RATING_STATE_ROLLUP_BDD[#Headers],0)),"ERROR"))</f>
        <v>0</v>
      </c>
      <c r="G71" s="155">
        <f>IF($B71=" ","",IFERROR(INDEX(MMWR_RATING_STATE_ROLLUP_BDD[],MATCH($B71,MMWR_RATING_STATE_ROLLUP_BDD[MMWR_RATING_STATE_ROLLUP_BDD],0),MATCH(G$9,MMWR_RATING_STATE_ROLLUP_BDD[#Headers],0)),"ERROR"))</f>
        <v>37</v>
      </c>
      <c r="H71" s="156">
        <f>IF($B71=" ","",IFERROR(INDEX(MMWR_RATING_STATE_ROLLUP_BDD[],MATCH($B71,MMWR_RATING_STATE_ROLLUP_BDD[MMWR_RATING_STATE_ROLLUP_BDD],0),MATCH(H$9,MMWR_RATING_STATE_ROLLUP_BDD[#Headers],0)),"ERROR"))</f>
        <v>0</v>
      </c>
      <c r="I71" s="156">
        <f>IF($B71=" ","",IFERROR(INDEX(MMWR_RATING_STATE_ROLLUP_BDD[],MATCH($B71,MMWR_RATING_STATE_ROLLUP_BDD[MMWR_RATING_STATE_ROLLUP_BDD],0),MATCH(I$9,MMWR_RATING_STATE_ROLLUP_BDD[#Headers],0)),"ERROR"))</f>
        <v>121.5405405405</v>
      </c>
      <c r="J71" s="42"/>
      <c r="K71" s="42"/>
      <c r="L71" s="42"/>
      <c r="M71" s="42"/>
      <c r="N71" s="28"/>
    </row>
    <row r="72" spans="1:14" x14ac:dyDescent="0.2">
      <c r="A72" s="25"/>
      <c r="B72" s="8" t="str">
        <f>VLOOKUP($B$15,DISTRICT_STATES[],4,0)</f>
        <v>District of Columbia</v>
      </c>
      <c r="C72" s="155">
        <f>IF($B72=" ","",IFERROR(INDEX(MMWR_RATING_STATE_ROLLUP_BDD[],MATCH($B72,MMWR_RATING_STATE_ROLLUP_BDD[MMWR_RATING_STATE_ROLLUP_BDD],0),MATCH(C$9,MMWR_RATING_STATE_ROLLUP_BDD[#Headers],0)),"ERROR"))</f>
        <v>29</v>
      </c>
      <c r="D72" s="156">
        <f>IF($B72=" ","",IFERROR(INDEX(MMWR_RATING_STATE_ROLLUP_BDD[],MATCH($B72,MMWR_RATING_STATE_ROLLUP_BDD[MMWR_RATING_STATE_ROLLUP_BDD],0),MATCH(D$9,MMWR_RATING_STATE_ROLLUP_BDD[#Headers],0)),"ERROR"))</f>
        <v>47.724137931000001</v>
      </c>
      <c r="E72" s="157">
        <f>IF($B72=" ","",IFERROR(INDEX(MMWR_RATING_STATE_ROLLUP_BDD[],MATCH($B72,MMWR_RATING_STATE_ROLLUP_BDD[MMWR_RATING_STATE_ROLLUP_BDD],0),MATCH(E$9,MMWR_RATING_STATE_ROLLUP_BDD[#Headers],0))/$C72,"ERROR"))</f>
        <v>6.8965517241379309E-2</v>
      </c>
      <c r="F72" s="155">
        <f>IF($B72=" ","",IFERROR(INDEX(MMWR_RATING_STATE_ROLLUP_BDD[],MATCH($B72,MMWR_RATING_STATE_ROLLUP_BDD[MMWR_RATING_STATE_ROLLUP_BDD],0),MATCH(F$9,MMWR_RATING_STATE_ROLLUP_BDD[#Headers],0)),"ERROR"))</f>
        <v>0</v>
      </c>
      <c r="G72" s="155">
        <f>IF($B72=" ","",IFERROR(INDEX(MMWR_RATING_STATE_ROLLUP_BDD[],MATCH($B72,MMWR_RATING_STATE_ROLLUP_BDD[MMWR_RATING_STATE_ROLLUP_BDD],0),MATCH(G$9,MMWR_RATING_STATE_ROLLUP_BDD[#Headers],0)),"ERROR"))</f>
        <v>33</v>
      </c>
      <c r="H72" s="156">
        <f>IF($B72=" ","",IFERROR(INDEX(MMWR_RATING_STATE_ROLLUP_BDD[],MATCH($B72,MMWR_RATING_STATE_ROLLUP_BDD[MMWR_RATING_STATE_ROLLUP_BDD],0),MATCH(H$9,MMWR_RATING_STATE_ROLLUP_BDD[#Headers],0)),"ERROR"))</f>
        <v>0</v>
      </c>
      <c r="I72" s="156">
        <f>IF($B72=" ","",IFERROR(INDEX(MMWR_RATING_STATE_ROLLUP_BDD[],MATCH($B72,MMWR_RATING_STATE_ROLLUP_BDD[MMWR_RATING_STATE_ROLLUP_BDD],0),MATCH(I$9,MMWR_RATING_STATE_ROLLUP_BDD[#Headers],0)),"ERROR"))</f>
        <v>123.63636363640001</v>
      </c>
      <c r="J72" s="42"/>
      <c r="K72" s="42"/>
      <c r="L72" s="42"/>
      <c r="M72" s="42"/>
      <c r="N72" s="28"/>
    </row>
    <row r="73" spans="1:14" x14ac:dyDescent="0.2">
      <c r="A73" s="25"/>
      <c r="B73" s="8" t="str">
        <f>VLOOKUP($B$15,DISTRICT_STATES[],5,0)</f>
        <v>Maine</v>
      </c>
      <c r="C73" s="155">
        <f>IF($B73=" ","",IFERROR(INDEX(MMWR_RATING_STATE_ROLLUP_BDD[],MATCH($B73,MMWR_RATING_STATE_ROLLUP_BDD[MMWR_RATING_STATE_ROLLUP_BDD],0),MATCH(C$9,MMWR_RATING_STATE_ROLLUP_BDD[#Headers],0)),"ERROR"))</f>
        <v>17</v>
      </c>
      <c r="D73" s="156">
        <f>IF($B73=" ","",IFERROR(INDEX(MMWR_RATING_STATE_ROLLUP_BDD[],MATCH($B73,MMWR_RATING_STATE_ROLLUP_BDD[MMWR_RATING_STATE_ROLLUP_BDD],0),MATCH(D$9,MMWR_RATING_STATE_ROLLUP_BDD[#Headers],0)),"ERROR"))</f>
        <v>62.176470588199997</v>
      </c>
      <c r="E73" s="157">
        <f>IF($B73=" ","",IFERROR(INDEX(MMWR_RATING_STATE_ROLLUP_BDD[],MATCH($B73,MMWR_RATING_STATE_ROLLUP_BDD[MMWR_RATING_STATE_ROLLUP_BDD],0),MATCH(E$9,MMWR_RATING_STATE_ROLLUP_BDD[#Headers],0))/$C73,"ERROR"))</f>
        <v>0.11764705882352941</v>
      </c>
      <c r="F73" s="155">
        <f>IF($B73=" ","",IFERROR(INDEX(MMWR_RATING_STATE_ROLLUP_BDD[],MATCH($B73,MMWR_RATING_STATE_ROLLUP_BDD[MMWR_RATING_STATE_ROLLUP_BDD],0),MATCH(F$9,MMWR_RATING_STATE_ROLLUP_BDD[#Headers],0)),"ERROR"))</f>
        <v>0</v>
      </c>
      <c r="G73" s="155">
        <f>IF($B73=" ","",IFERROR(INDEX(MMWR_RATING_STATE_ROLLUP_BDD[],MATCH($B73,MMWR_RATING_STATE_ROLLUP_BDD[MMWR_RATING_STATE_ROLLUP_BDD],0),MATCH(G$9,MMWR_RATING_STATE_ROLLUP_BDD[#Headers],0)),"ERROR"))</f>
        <v>34</v>
      </c>
      <c r="H73" s="156">
        <f>IF($B73=" ","",IFERROR(INDEX(MMWR_RATING_STATE_ROLLUP_BDD[],MATCH($B73,MMWR_RATING_STATE_ROLLUP_BDD[MMWR_RATING_STATE_ROLLUP_BDD],0),MATCH(H$9,MMWR_RATING_STATE_ROLLUP_BDD[#Headers],0)),"ERROR"))</f>
        <v>0</v>
      </c>
      <c r="I73" s="156">
        <f>IF($B73=" ","",IFERROR(INDEX(MMWR_RATING_STATE_ROLLUP_BDD[],MATCH($B73,MMWR_RATING_STATE_ROLLUP_BDD[MMWR_RATING_STATE_ROLLUP_BDD],0),MATCH(I$9,MMWR_RATING_STATE_ROLLUP_BDD[#Headers],0)),"ERROR"))</f>
        <v>116.73529411760001</v>
      </c>
      <c r="J73" s="42"/>
      <c r="K73" s="42"/>
      <c r="L73" s="42"/>
      <c r="M73" s="42"/>
      <c r="N73" s="28"/>
    </row>
    <row r="74" spans="1:14" x14ac:dyDescent="0.2">
      <c r="A74" s="25"/>
      <c r="B74" s="8" t="str">
        <f>VLOOKUP($B$15,DISTRICT_STATES[],6,0)</f>
        <v>Maryland</v>
      </c>
      <c r="C74" s="155">
        <f>IF($B74=" ","",IFERROR(INDEX(MMWR_RATING_STATE_ROLLUP_BDD[],MATCH($B74,MMWR_RATING_STATE_ROLLUP_BDD[MMWR_RATING_STATE_ROLLUP_BDD],0),MATCH(C$9,MMWR_RATING_STATE_ROLLUP_BDD[#Headers],0)),"ERROR"))</f>
        <v>308</v>
      </c>
      <c r="D74" s="156">
        <f>IF($B74=" ","",IFERROR(INDEX(MMWR_RATING_STATE_ROLLUP_BDD[],MATCH($B74,MMWR_RATING_STATE_ROLLUP_BDD[MMWR_RATING_STATE_ROLLUP_BDD],0),MATCH(D$9,MMWR_RATING_STATE_ROLLUP_BDD[#Headers],0)),"ERROR"))</f>
        <v>64.272727272699996</v>
      </c>
      <c r="E74" s="157">
        <f>IF($B74=" ","",IFERROR(INDEX(MMWR_RATING_STATE_ROLLUP_BDD[],MATCH($B74,MMWR_RATING_STATE_ROLLUP_BDD[MMWR_RATING_STATE_ROLLUP_BDD],0),MATCH(E$9,MMWR_RATING_STATE_ROLLUP_BDD[#Headers],0))/$C74,"ERROR"))</f>
        <v>0.14935064935064934</v>
      </c>
      <c r="F74" s="155">
        <f>IF($B74=" ","",IFERROR(INDEX(MMWR_RATING_STATE_ROLLUP_BDD[],MATCH($B74,MMWR_RATING_STATE_ROLLUP_BDD[MMWR_RATING_STATE_ROLLUP_BDD],0),MATCH(F$9,MMWR_RATING_STATE_ROLLUP_BDD[#Headers],0)),"ERROR"))</f>
        <v>5</v>
      </c>
      <c r="G74" s="155">
        <f>IF($B74=" ","",IFERROR(INDEX(MMWR_RATING_STATE_ROLLUP_BDD[],MATCH($B74,MMWR_RATING_STATE_ROLLUP_BDD[MMWR_RATING_STATE_ROLLUP_BDD],0),MATCH(G$9,MMWR_RATING_STATE_ROLLUP_BDD[#Headers],0)),"ERROR"))</f>
        <v>600</v>
      </c>
      <c r="H74" s="156">
        <f>IF($B74=" ","",IFERROR(INDEX(MMWR_RATING_STATE_ROLLUP_BDD[],MATCH($B74,MMWR_RATING_STATE_ROLLUP_BDD[MMWR_RATING_STATE_ROLLUP_BDD],0),MATCH(H$9,MMWR_RATING_STATE_ROLLUP_BDD[#Headers],0)),"ERROR"))</f>
        <v>136.80000000000001</v>
      </c>
      <c r="I74" s="156">
        <f>IF($B74=" ","",IFERROR(INDEX(MMWR_RATING_STATE_ROLLUP_BDD[],MATCH($B74,MMWR_RATING_STATE_ROLLUP_BDD[MMWR_RATING_STATE_ROLLUP_BDD],0),MATCH(I$9,MMWR_RATING_STATE_ROLLUP_BDD[#Headers],0)),"ERROR"))</f>
        <v>150.78</v>
      </c>
      <c r="J74" s="42"/>
      <c r="K74" s="42"/>
      <c r="L74" s="42"/>
      <c r="M74" s="42"/>
      <c r="N74" s="28"/>
    </row>
    <row r="75" spans="1:14" x14ac:dyDescent="0.2">
      <c r="A75" s="25"/>
      <c r="B75" s="8" t="str">
        <f>VLOOKUP($B$15,DISTRICT_STATES[],7,0)</f>
        <v>Massachusetts</v>
      </c>
      <c r="C75" s="155">
        <f>IF($B75=" ","",IFERROR(INDEX(MMWR_RATING_STATE_ROLLUP_BDD[],MATCH($B75,MMWR_RATING_STATE_ROLLUP_BDD[MMWR_RATING_STATE_ROLLUP_BDD],0),MATCH(C$9,MMWR_RATING_STATE_ROLLUP_BDD[#Headers],0)),"ERROR"))</f>
        <v>43</v>
      </c>
      <c r="D75" s="156">
        <f>IF($B75=" ","",IFERROR(INDEX(MMWR_RATING_STATE_ROLLUP_BDD[],MATCH($B75,MMWR_RATING_STATE_ROLLUP_BDD[MMWR_RATING_STATE_ROLLUP_BDD],0),MATCH(D$9,MMWR_RATING_STATE_ROLLUP_BDD[#Headers],0)),"ERROR"))</f>
        <v>64.186046511599997</v>
      </c>
      <c r="E75" s="157">
        <f>IF($B75=" ","",IFERROR(INDEX(MMWR_RATING_STATE_ROLLUP_BDD[],MATCH($B75,MMWR_RATING_STATE_ROLLUP_BDD[MMWR_RATING_STATE_ROLLUP_BDD],0),MATCH(E$9,MMWR_RATING_STATE_ROLLUP_BDD[#Headers],0))/$C75,"ERROR"))</f>
        <v>0.13953488372093023</v>
      </c>
      <c r="F75" s="155">
        <f>IF($B75=" ","",IFERROR(INDEX(MMWR_RATING_STATE_ROLLUP_BDD[],MATCH($B75,MMWR_RATING_STATE_ROLLUP_BDD[MMWR_RATING_STATE_ROLLUP_BDD],0),MATCH(F$9,MMWR_RATING_STATE_ROLLUP_BDD[#Headers],0)),"ERROR"))</f>
        <v>0</v>
      </c>
      <c r="G75" s="155">
        <f>IF($B75=" ","",IFERROR(INDEX(MMWR_RATING_STATE_ROLLUP_BDD[],MATCH($B75,MMWR_RATING_STATE_ROLLUP_BDD[MMWR_RATING_STATE_ROLLUP_BDD],0),MATCH(G$9,MMWR_RATING_STATE_ROLLUP_BDD[#Headers],0)),"ERROR"))</f>
        <v>121</v>
      </c>
      <c r="H75" s="156">
        <f>IF($B75=" ","",IFERROR(INDEX(MMWR_RATING_STATE_ROLLUP_BDD[],MATCH($B75,MMWR_RATING_STATE_ROLLUP_BDD[MMWR_RATING_STATE_ROLLUP_BDD],0),MATCH(H$9,MMWR_RATING_STATE_ROLLUP_BDD[#Headers],0)),"ERROR"))</f>
        <v>0</v>
      </c>
      <c r="I75" s="156">
        <f>IF($B75=" ","",IFERROR(INDEX(MMWR_RATING_STATE_ROLLUP_BDD[],MATCH($B75,MMWR_RATING_STATE_ROLLUP_BDD[MMWR_RATING_STATE_ROLLUP_BDD],0),MATCH(I$9,MMWR_RATING_STATE_ROLLUP_BDD[#Headers],0)),"ERROR"))</f>
        <v>155.60330578509999</v>
      </c>
      <c r="J75" s="42"/>
      <c r="K75" s="42"/>
      <c r="L75" s="42"/>
      <c r="M75" s="42"/>
      <c r="N75" s="28"/>
    </row>
    <row r="76" spans="1:14" x14ac:dyDescent="0.2">
      <c r="A76" s="25"/>
      <c r="B76" s="8" t="str">
        <f>VLOOKUP($B$15,DISTRICT_STATES[],8,0)</f>
        <v>New Hampshire</v>
      </c>
      <c r="C76" s="155">
        <f>IF($B76=" ","",IFERROR(INDEX(MMWR_RATING_STATE_ROLLUP_BDD[],MATCH($B76,MMWR_RATING_STATE_ROLLUP_BDD[MMWR_RATING_STATE_ROLLUP_BDD],0),MATCH(C$9,MMWR_RATING_STATE_ROLLUP_BDD[#Headers],0)),"ERROR"))</f>
        <v>15</v>
      </c>
      <c r="D76" s="156">
        <f>IF($B76=" ","",IFERROR(INDEX(MMWR_RATING_STATE_ROLLUP_BDD[],MATCH($B76,MMWR_RATING_STATE_ROLLUP_BDD[MMWR_RATING_STATE_ROLLUP_BDD],0),MATCH(D$9,MMWR_RATING_STATE_ROLLUP_BDD[#Headers],0)),"ERROR"))</f>
        <v>93.466666666699993</v>
      </c>
      <c r="E76" s="157">
        <f>IF($B76=" ","",IFERROR(INDEX(MMWR_RATING_STATE_ROLLUP_BDD[],MATCH($B76,MMWR_RATING_STATE_ROLLUP_BDD[MMWR_RATING_STATE_ROLLUP_BDD],0),MATCH(E$9,MMWR_RATING_STATE_ROLLUP_BDD[#Headers],0))/$C76,"ERROR"))</f>
        <v>0.2</v>
      </c>
      <c r="F76" s="155">
        <f>IF($B76=" ","",IFERROR(INDEX(MMWR_RATING_STATE_ROLLUP_BDD[],MATCH($B76,MMWR_RATING_STATE_ROLLUP_BDD[MMWR_RATING_STATE_ROLLUP_BDD],0),MATCH(F$9,MMWR_RATING_STATE_ROLLUP_BDD[#Headers],0)),"ERROR"))</f>
        <v>0</v>
      </c>
      <c r="G76" s="155">
        <f>IF($B76=" ","",IFERROR(INDEX(MMWR_RATING_STATE_ROLLUP_BDD[],MATCH($B76,MMWR_RATING_STATE_ROLLUP_BDD[MMWR_RATING_STATE_ROLLUP_BDD],0),MATCH(G$9,MMWR_RATING_STATE_ROLLUP_BDD[#Headers],0)),"ERROR"))</f>
        <v>29</v>
      </c>
      <c r="H76" s="156">
        <f>IF($B76=" ","",IFERROR(INDEX(MMWR_RATING_STATE_ROLLUP_BDD[],MATCH($B76,MMWR_RATING_STATE_ROLLUP_BDD[MMWR_RATING_STATE_ROLLUP_BDD],0),MATCH(H$9,MMWR_RATING_STATE_ROLLUP_BDD[#Headers],0)),"ERROR"))</f>
        <v>0</v>
      </c>
      <c r="I76" s="156">
        <f>IF($B76=" ","",IFERROR(INDEX(MMWR_RATING_STATE_ROLLUP_BDD[],MATCH($B76,MMWR_RATING_STATE_ROLLUP_BDD[MMWR_RATING_STATE_ROLLUP_BDD],0),MATCH(I$9,MMWR_RATING_STATE_ROLLUP_BDD[#Headers],0)),"ERROR"))</f>
        <v>151.44827586209999</v>
      </c>
      <c r="J76" s="42"/>
      <c r="K76" s="42"/>
      <c r="L76" s="42"/>
      <c r="M76" s="42"/>
      <c r="N76" s="28"/>
    </row>
    <row r="77" spans="1:14" x14ac:dyDescent="0.2">
      <c r="A77" s="25"/>
      <c r="B77" s="8" t="str">
        <f>VLOOKUP($B$15,DISTRICT_STATES[],9,0)</f>
        <v>New Jersey</v>
      </c>
      <c r="C77" s="155">
        <f>IF($B77=" ","",IFERROR(INDEX(MMWR_RATING_STATE_ROLLUP_BDD[],MATCH($B77,MMWR_RATING_STATE_ROLLUP_BDD[MMWR_RATING_STATE_ROLLUP_BDD],0),MATCH(C$9,MMWR_RATING_STATE_ROLLUP_BDD[#Headers],0)),"ERROR"))</f>
        <v>64</v>
      </c>
      <c r="D77" s="156">
        <f>IF($B77=" ","",IFERROR(INDEX(MMWR_RATING_STATE_ROLLUP_BDD[],MATCH($B77,MMWR_RATING_STATE_ROLLUP_BDD[MMWR_RATING_STATE_ROLLUP_BDD],0),MATCH(D$9,MMWR_RATING_STATE_ROLLUP_BDD[#Headers],0)),"ERROR"))</f>
        <v>67.15625</v>
      </c>
      <c r="E77" s="157">
        <f>IF($B77=" ","",IFERROR(INDEX(MMWR_RATING_STATE_ROLLUP_BDD[],MATCH($B77,MMWR_RATING_STATE_ROLLUP_BDD[MMWR_RATING_STATE_ROLLUP_BDD],0),MATCH(E$9,MMWR_RATING_STATE_ROLLUP_BDD[#Headers],0))/$C77,"ERROR"))</f>
        <v>0.171875</v>
      </c>
      <c r="F77" s="155">
        <f>IF($B77=" ","",IFERROR(INDEX(MMWR_RATING_STATE_ROLLUP_BDD[],MATCH($B77,MMWR_RATING_STATE_ROLLUP_BDD[MMWR_RATING_STATE_ROLLUP_BDD],0),MATCH(F$9,MMWR_RATING_STATE_ROLLUP_BDD[#Headers],0)),"ERROR"))</f>
        <v>2</v>
      </c>
      <c r="G77" s="155">
        <f>IF($B77=" ","",IFERROR(INDEX(MMWR_RATING_STATE_ROLLUP_BDD[],MATCH($B77,MMWR_RATING_STATE_ROLLUP_BDD[MMWR_RATING_STATE_ROLLUP_BDD],0),MATCH(G$9,MMWR_RATING_STATE_ROLLUP_BDD[#Headers],0)),"ERROR"))</f>
        <v>177</v>
      </c>
      <c r="H77" s="156">
        <f>IF($B77=" ","",IFERROR(INDEX(MMWR_RATING_STATE_ROLLUP_BDD[],MATCH($B77,MMWR_RATING_STATE_ROLLUP_BDD[MMWR_RATING_STATE_ROLLUP_BDD],0),MATCH(H$9,MMWR_RATING_STATE_ROLLUP_BDD[#Headers],0)),"ERROR"))</f>
        <v>121</v>
      </c>
      <c r="I77" s="156">
        <f>IF($B77=" ","",IFERROR(INDEX(MMWR_RATING_STATE_ROLLUP_BDD[],MATCH($B77,MMWR_RATING_STATE_ROLLUP_BDD[MMWR_RATING_STATE_ROLLUP_BDD],0),MATCH(I$9,MMWR_RATING_STATE_ROLLUP_BDD[#Headers],0)),"ERROR"))</f>
        <v>140.22033898309999</v>
      </c>
      <c r="J77" s="42"/>
      <c r="K77" s="42"/>
      <c r="L77" s="42"/>
      <c r="M77" s="42"/>
      <c r="N77" s="28"/>
    </row>
    <row r="78" spans="1:14" x14ac:dyDescent="0.2">
      <c r="A78" s="25"/>
      <c r="B78" s="8" t="str">
        <f>VLOOKUP($B$15,DISTRICT_STATES[],10,0)</f>
        <v>New York</v>
      </c>
      <c r="C78" s="155">
        <f>IF($B78=" ","",IFERROR(INDEX(MMWR_RATING_STATE_ROLLUP_BDD[],MATCH($B78,MMWR_RATING_STATE_ROLLUP_BDD[MMWR_RATING_STATE_ROLLUP_BDD],0),MATCH(C$9,MMWR_RATING_STATE_ROLLUP_BDD[#Headers],0)),"ERROR"))</f>
        <v>158</v>
      </c>
      <c r="D78" s="156">
        <f>IF($B78=" ","",IFERROR(INDEX(MMWR_RATING_STATE_ROLLUP_BDD[],MATCH($B78,MMWR_RATING_STATE_ROLLUP_BDD[MMWR_RATING_STATE_ROLLUP_BDD],0),MATCH(D$9,MMWR_RATING_STATE_ROLLUP_BDD[#Headers],0)),"ERROR"))</f>
        <v>64.107594936699996</v>
      </c>
      <c r="E78" s="157">
        <f>IF($B78=" ","",IFERROR(INDEX(MMWR_RATING_STATE_ROLLUP_BDD[],MATCH($B78,MMWR_RATING_STATE_ROLLUP_BDD[MMWR_RATING_STATE_ROLLUP_BDD],0),MATCH(E$9,MMWR_RATING_STATE_ROLLUP_BDD[#Headers],0))/$C78,"ERROR"))</f>
        <v>0.13291139240506328</v>
      </c>
      <c r="F78" s="155">
        <f>IF($B78=" ","",IFERROR(INDEX(MMWR_RATING_STATE_ROLLUP_BDD[],MATCH($B78,MMWR_RATING_STATE_ROLLUP_BDD[MMWR_RATING_STATE_ROLLUP_BDD],0),MATCH(F$9,MMWR_RATING_STATE_ROLLUP_BDD[#Headers],0)),"ERROR"))</f>
        <v>6</v>
      </c>
      <c r="G78" s="155">
        <f>IF($B78=" ","",IFERROR(INDEX(MMWR_RATING_STATE_ROLLUP_BDD[],MATCH($B78,MMWR_RATING_STATE_ROLLUP_BDD[MMWR_RATING_STATE_ROLLUP_BDD],0),MATCH(G$9,MMWR_RATING_STATE_ROLLUP_BDD[#Headers],0)),"ERROR"))</f>
        <v>425</v>
      </c>
      <c r="H78" s="156">
        <f>IF($B78=" ","",IFERROR(INDEX(MMWR_RATING_STATE_ROLLUP_BDD[],MATCH($B78,MMWR_RATING_STATE_ROLLUP_BDD[MMWR_RATING_STATE_ROLLUP_BDD],0),MATCH(H$9,MMWR_RATING_STATE_ROLLUP_BDD[#Headers],0)),"ERROR"))</f>
        <v>189.3333333333</v>
      </c>
      <c r="I78" s="156">
        <f>IF($B78=" ","",IFERROR(INDEX(MMWR_RATING_STATE_ROLLUP_BDD[],MATCH($B78,MMWR_RATING_STATE_ROLLUP_BDD[MMWR_RATING_STATE_ROLLUP_BDD],0),MATCH(I$9,MMWR_RATING_STATE_ROLLUP_BDD[#Headers],0)),"ERROR"))</f>
        <v>148.54352941179999</v>
      </c>
      <c r="J78" s="42"/>
      <c r="K78" s="42"/>
      <c r="L78" s="42"/>
      <c r="M78" s="42"/>
      <c r="N78" s="28"/>
    </row>
    <row r="79" spans="1:14" x14ac:dyDescent="0.2">
      <c r="A79" s="25"/>
      <c r="B79" s="8" t="str">
        <f>VLOOKUP($B$15,DISTRICT_STATES[],11,0)</f>
        <v>North Carolina</v>
      </c>
      <c r="C79" s="155">
        <f>IF($B79=" ","",IFERROR(INDEX(MMWR_RATING_STATE_ROLLUP_BDD[],MATCH($B79,MMWR_RATING_STATE_ROLLUP_BDD[MMWR_RATING_STATE_ROLLUP_BDD],0),MATCH(C$9,MMWR_RATING_STATE_ROLLUP_BDD[#Headers],0)),"ERROR"))</f>
        <v>1231</v>
      </c>
      <c r="D79" s="156">
        <f>IF($B79=" ","",IFERROR(INDEX(MMWR_RATING_STATE_ROLLUP_BDD[],MATCH($B79,MMWR_RATING_STATE_ROLLUP_BDD[MMWR_RATING_STATE_ROLLUP_BDD],0),MATCH(D$9,MMWR_RATING_STATE_ROLLUP_BDD[#Headers],0)),"ERROR"))</f>
        <v>58.554021120999998</v>
      </c>
      <c r="E79" s="157">
        <f>IF($B79=" ","",IFERROR(INDEX(MMWR_RATING_STATE_ROLLUP_BDD[],MATCH($B79,MMWR_RATING_STATE_ROLLUP_BDD[MMWR_RATING_STATE_ROLLUP_BDD],0),MATCH(E$9,MMWR_RATING_STATE_ROLLUP_BDD[#Headers],0))/$C79,"ERROR"))</f>
        <v>0.11210398050365557</v>
      </c>
      <c r="F79" s="155">
        <f>IF($B79=" ","",IFERROR(INDEX(MMWR_RATING_STATE_ROLLUP_BDD[],MATCH($B79,MMWR_RATING_STATE_ROLLUP_BDD[MMWR_RATING_STATE_ROLLUP_BDD],0),MATCH(F$9,MMWR_RATING_STATE_ROLLUP_BDD[#Headers],0)),"ERROR"))</f>
        <v>16</v>
      </c>
      <c r="G79" s="155">
        <f>IF($B79=" ","",IFERROR(INDEX(MMWR_RATING_STATE_ROLLUP_BDD[],MATCH($B79,MMWR_RATING_STATE_ROLLUP_BDD[MMWR_RATING_STATE_ROLLUP_BDD],0),MATCH(G$9,MMWR_RATING_STATE_ROLLUP_BDD[#Headers],0)),"ERROR"))</f>
        <v>1690</v>
      </c>
      <c r="H79" s="156">
        <f>IF($B79=" ","",IFERROR(INDEX(MMWR_RATING_STATE_ROLLUP_BDD[],MATCH($B79,MMWR_RATING_STATE_ROLLUP_BDD[MMWR_RATING_STATE_ROLLUP_BDD],0),MATCH(H$9,MMWR_RATING_STATE_ROLLUP_BDD[#Headers],0)),"ERROR"))</f>
        <v>148.4375</v>
      </c>
      <c r="I79" s="156">
        <f>IF($B79=" ","",IFERROR(INDEX(MMWR_RATING_STATE_ROLLUP_BDD[],MATCH($B79,MMWR_RATING_STATE_ROLLUP_BDD[MMWR_RATING_STATE_ROLLUP_BDD],0),MATCH(I$9,MMWR_RATING_STATE_ROLLUP_BDD[#Headers],0)),"ERROR"))</f>
        <v>128.83668639050001</v>
      </c>
      <c r="J79" s="42"/>
      <c r="K79" s="42"/>
      <c r="L79" s="42"/>
      <c r="M79" s="42"/>
      <c r="N79" s="28"/>
    </row>
    <row r="80" spans="1:14" x14ac:dyDescent="0.2">
      <c r="A80" s="25"/>
      <c r="B80" s="8" t="str">
        <f>VLOOKUP($B$15,DISTRICT_STATES[],12,0)</f>
        <v>Pennsylvania</v>
      </c>
      <c r="C80" s="155">
        <f>IF($B80=" ","",IFERROR(INDEX(MMWR_RATING_STATE_ROLLUP_BDD[],MATCH($B80,MMWR_RATING_STATE_ROLLUP_BDD[MMWR_RATING_STATE_ROLLUP_BDD],0),MATCH(C$9,MMWR_RATING_STATE_ROLLUP_BDD[#Headers],0)),"ERROR"))</f>
        <v>115</v>
      </c>
      <c r="D80" s="156">
        <f>IF($B80=" ","",IFERROR(INDEX(MMWR_RATING_STATE_ROLLUP_BDD[],MATCH($B80,MMWR_RATING_STATE_ROLLUP_BDD[MMWR_RATING_STATE_ROLLUP_BDD],0),MATCH(D$9,MMWR_RATING_STATE_ROLLUP_BDD[#Headers],0)),"ERROR"))</f>
        <v>63.565217391300003</v>
      </c>
      <c r="E80" s="157">
        <f>IF($B80=" ","",IFERROR(INDEX(MMWR_RATING_STATE_ROLLUP_BDD[],MATCH($B80,MMWR_RATING_STATE_ROLLUP_BDD[MMWR_RATING_STATE_ROLLUP_BDD],0),MATCH(E$9,MMWR_RATING_STATE_ROLLUP_BDD[#Headers],0))/$C80,"ERROR"))</f>
        <v>0.11304347826086956</v>
      </c>
      <c r="F80" s="155">
        <f>IF($B80=" ","",IFERROR(INDEX(MMWR_RATING_STATE_ROLLUP_BDD[],MATCH($B80,MMWR_RATING_STATE_ROLLUP_BDD[MMWR_RATING_STATE_ROLLUP_BDD],0),MATCH(F$9,MMWR_RATING_STATE_ROLLUP_BDD[#Headers],0)),"ERROR"))</f>
        <v>1</v>
      </c>
      <c r="G80" s="155">
        <f>IF($B80=" ","",IFERROR(INDEX(MMWR_RATING_STATE_ROLLUP_BDD[],MATCH($B80,MMWR_RATING_STATE_ROLLUP_BDD[MMWR_RATING_STATE_ROLLUP_BDD],0),MATCH(G$9,MMWR_RATING_STATE_ROLLUP_BDD[#Headers],0)),"ERROR"))</f>
        <v>327</v>
      </c>
      <c r="H80" s="156">
        <f>IF($B80=" ","",IFERROR(INDEX(MMWR_RATING_STATE_ROLLUP_BDD[],MATCH($B80,MMWR_RATING_STATE_ROLLUP_BDD[MMWR_RATING_STATE_ROLLUP_BDD],0),MATCH(H$9,MMWR_RATING_STATE_ROLLUP_BDD[#Headers],0)),"ERROR"))</f>
        <v>117</v>
      </c>
      <c r="I80" s="156">
        <f>IF($B80=" ","",IFERROR(INDEX(MMWR_RATING_STATE_ROLLUP_BDD[],MATCH($B80,MMWR_RATING_STATE_ROLLUP_BDD[MMWR_RATING_STATE_ROLLUP_BDD],0),MATCH(I$9,MMWR_RATING_STATE_ROLLUP_BDD[#Headers],0)),"ERROR"))</f>
        <v>153.17125382259999</v>
      </c>
      <c r="J80" s="42"/>
      <c r="K80" s="42"/>
      <c r="L80" s="42"/>
      <c r="M80" s="42"/>
      <c r="N80" s="28"/>
    </row>
    <row r="81" spans="1:14" x14ac:dyDescent="0.2">
      <c r="A81" s="25"/>
      <c r="B81" s="8" t="str">
        <f>VLOOKUP($B$15,DISTRICT_STATES[],13,0)</f>
        <v>Rhode Island</v>
      </c>
      <c r="C81" s="155">
        <f>IF($B81=" ","",IFERROR(INDEX(MMWR_RATING_STATE_ROLLUP_BDD[],MATCH($B81,MMWR_RATING_STATE_ROLLUP_BDD[MMWR_RATING_STATE_ROLLUP_BDD],0),MATCH(C$9,MMWR_RATING_STATE_ROLLUP_BDD[#Headers],0)),"ERROR"))</f>
        <v>6</v>
      </c>
      <c r="D81" s="156">
        <f>IF($B81=" ","",IFERROR(INDEX(MMWR_RATING_STATE_ROLLUP_BDD[],MATCH($B81,MMWR_RATING_STATE_ROLLUP_BDD[MMWR_RATING_STATE_ROLLUP_BDD],0),MATCH(D$9,MMWR_RATING_STATE_ROLLUP_BDD[#Headers],0)),"ERROR"))</f>
        <v>41.5</v>
      </c>
      <c r="E81" s="157">
        <f>IF($B81=" ","",IFERROR(INDEX(MMWR_RATING_STATE_ROLLUP_BDD[],MATCH($B81,MMWR_RATING_STATE_ROLLUP_BDD[MMWR_RATING_STATE_ROLLUP_BDD],0),MATCH(E$9,MMWR_RATING_STATE_ROLLUP_BDD[#Headers],0))/$C81,"ERROR"))</f>
        <v>0</v>
      </c>
      <c r="F81" s="155">
        <f>IF($B81=" ","",IFERROR(INDEX(MMWR_RATING_STATE_ROLLUP_BDD[],MATCH($B81,MMWR_RATING_STATE_ROLLUP_BDD[MMWR_RATING_STATE_ROLLUP_BDD],0),MATCH(F$9,MMWR_RATING_STATE_ROLLUP_BDD[#Headers],0)),"ERROR"))</f>
        <v>1</v>
      </c>
      <c r="G81" s="155">
        <f>IF($B81=" ","",IFERROR(INDEX(MMWR_RATING_STATE_ROLLUP_BDD[],MATCH($B81,MMWR_RATING_STATE_ROLLUP_BDD[MMWR_RATING_STATE_ROLLUP_BDD],0),MATCH(G$9,MMWR_RATING_STATE_ROLLUP_BDD[#Headers],0)),"ERROR"))</f>
        <v>15</v>
      </c>
      <c r="H81" s="156">
        <f>IF($B81=" ","",IFERROR(INDEX(MMWR_RATING_STATE_ROLLUP_BDD[],MATCH($B81,MMWR_RATING_STATE_ROLLUP_BDD[MMWR_RATING_STATE_ROLLUP_BDD],0),MATCH(H$9,MMWR_RATING_STATE_ROLLUP_BDD[#Headers],0)),"ERROR"))</f>
        <v>117</v>
      </c>
      <c r="I81" s="156">
        <f>IF($B81=" ","",IFERROR(INDEX(MMWR_RATING_STATE_ROLLUP_BDD[],MATCH($B81,MMWR_RATING_STATE_ROLLUP_BDD[MMWR_RATING_STATE_ROLLUP_BDD],0),MATCH(I$9,MMWR_RATING_STATE_ROLLUP_BDD[#Headers],0)),"ERROR"))</f>
        <v>134.46666666670001</v>
      </c>
      <c r="J81" s="42"/>
      <c r="K81" s="42"/>
      <c r="L81" s="42"/>
      <c r="M81" s="42"/>
      <c r="N81" s="28"/>
    </row>
    <row r="82" spans="1:14" x14ac:dyDescent="0.2">
      <c r="A82" s="25"/>
      <c r="B82" s="8" t="str">
        <f>VLOOKUP($B$15,DISTRICT_STATES[],14,0)</f>
        <v>Vermont</v>
      </c>
      <c r="C82" s="155">
        <f>IF($B82=" ","",IFERROR(INDEX(MMWR_RATING_STATE_ROLLUP_BDD[],MATCH($B82,MMWR_RATING_STATE_ROLLUP_BDD[MMWR_RATING_STATE_ROLLUP_BDD],0),MATCH(C$9,MMWR_RATING_STATE_ROLLUP_BDD[#Headers],0)),"ERROR"))</f>
        <v>6</v>
      </c>
      <c r="D82" s="156">
        <f>IF($B82=" ","",IFERROR(INDEX(MMWR_RATING_STATE_ROLLUP_BDD[],MATCH($B82,MMWR_RATING_STATE_ROLLUP_BDD[MMWR_RATING_STATE_ROLLUP_BDD],0),MATCH(D$9,MMWR_RATING_STATE_ROLLUP_BDD[#Headers],0)),"ERROR"))</f>
        <v>62</v>
      </c>
      <c r="E82" s="157">
        <f>IF($B82=" ","",IFERROR(INDEX(MMWR_RATING_STATE_ROLLUP_BDD[],MATCH($B82,MMWR_RATING_STATE_ROLLUP_BDD[MMWR_RATING_STATE_ROLLUP_BDD],0),MATCH(E$9,MMWR_RATING_STATE_ROLLUP_BDD[#Headers],0))/$C82,"ERROR"))</f>
        <v>0.16666666666666666</v>
      </c>
      <c r="F82" s="155">
        <f>IF($B82=" ","",IFERROR(INDEX(MMWR_RATING_STATE_ROLLUP_BDD[],MATCH($B82,MMWR_RATING_STATE_ROLLUP_BDD[MMWR_RATING_STATE_ROLLUP_BDD],0),MATCH(F$9,MMWR_RATING_STATE_ROLLUP_BDD[#Headers],0)),"ERROR"))</f>
        <v>0</v>
      </c>
      <c r="G82" s="155">
        <f>IF($B82=" ","",IFERROR(INDEX(MMWR_RATING_STATE_ROLLUP_BDD[],MATCH($B82,MMWR_RATING_STATE_ROLLUP_BDD[MMWR_RATING_STATE_ROLLUP_BDD],0),MATCH(G$9,MMWR_RATING_STATE_ROLLUP_BDD[#Headers],0)),"ERROR"))</f>
        <v>16</v>
      </c>
      <c r="H82" s="156">
        <f>IF($B82=" ","",IFERROR(INDEX(MMWR_RATING_STATE_ROLLUP_BDD[],MATCH($B82,MMWR_RATING_STATE_ROLLUP_BDD[MMWR_RATING_STATE_ROLLUP_BDD],0),MATCH(H$9,MMWR_RATING_STATE_ROLLUP_BDD[#Headers],0)),"ERROR"))</f>
        <v>0</v>
      </c>
      <c r="I82" s="156">
        <f>IF($B82=" ","",IFERROR(INDEX(MMWR_RATING_STATE_ROLLUP_BDD[],MATCH($B82,MMWR_RATING_STATE_ROLLUP_BDD[MMWR_RATING_STATE_ROLLUP_BDD],0),MATCH(I$9,MMWR_RATING_STATE_ROLLUP_BDD[#Headers],0)),"ERROR"))</f>
        <v>154</v>
      </c>
      <c r="J82" s="42"/>
      <c r="K82" s="42"/>
      <c r="L82" s="42"/>
      <c r="M82" s="42"/>
      <c r="N82" s="28"/>
    </row>
    <row r="83" spans="1:14" x14ac:dyDescent="0.2">
      <c r="A83" s="25"/>
      <c r="B83" s="8" t="str">
        <f>VLOOKUP($B$15,DISTRICT_STATES[],15,0)</f>
        <v>Virginia</v>
      </c>
      <c r="C83" s="155">
        <f>IF($B83=" ","",IFERROR(INDEX(MMWR_RATING_STATE_ROLLUP_BDD[],MATCH($B83,MMWR_RATING_STATE_ROLLUP_BDD[MMWR_RATING_STATE_ROLLUP_BDD],0),MATCH(C$9,MMWR_RATING_STATE_ROLLUP_BDD[#Headers],0)),"ERROR"))</f>
        <v>1117</v>
      </c>
      <c r="D83" s="156">
        <f>IF($B83=" ","",IFERROR(INDEX(MMWR_RATING_STATE_ROLLUP_BDD[],MATCH($B83,MMWR_RATING_STATE_ROLLUP_BDD[MMWR_RATING_STATE_ROLLUP_BDD],0),MATCH(D$9,MMWR_RATING_STATE_ROLLUP_BDD[#Headers],0)),"ERROR"))</f>
        <v>60.298119964199998</v>
      </c>
      <c r="E83" s="157">
        <f>IF($B83=" ","",IFERROR(INDEX(MMWR_RATING_STATE_ROLLUP_BDD[],MATCH($B83,MMWR_RATING_STATE_ROLLUP_BDD[MMWR_RATING_STATE_ROLLUP_BDD],0),MATCH(E$9,MMWR_RATING_STATE_ROLLUP_BDD[#Headers],0))/$C83,"ERROR"))</f>
        <v>0.13428827215756492</v>
      </c>
      <c r="F83" s="155">
        <f>IF($B83=" ","",IFERROR(INDEX(MMWR_RATING_STATE_ROLLUP_BDD[],MATCH($B83,MMWR_RATING_STATE_ROLLUP_BDD[MMWR_RATING_STATE_ROLLUP_BDD],0),MATCH(F$9,MMWR_RATING_STATE_ROLLUP_BDD[#Headers],0)),"ERROR"))</f>
        <v>18</v>
      </c>
      <c r="G83" s="155">
        <f>IF($B83=" ","",IFERROR(INDEX(MMWR_RATING_STATE_ROLLUP_BDD[],MATCH($B83,MMWR_RATING_STATE_ROLLUP_BDD[MMWR_RATING_STATE_ROLLUP_BDD],0),MATCH(G$9,MMWR_RATING_STATE_ROLLUP_BDD[#Headers],0)),"ERROR"))</f>
        <v>1687</v>
      </c>
      <c r="H83" s="156">
        <f>IF($B83=" ","",IFERROR(INDEX(MMWR_RATING_STATE_ROLLUP_BDD[],MATCH($B83,MMWR_RATING_STATE_ROLLUP_BDD[MMWR_RATING_STATE_ROLLUP_BDD],0),MATCH(H$9,MMWR_RATING_STATE_ROLLUP_BDD[#Headers],0)),"ERROR"))</f>
        <v>147.94444444440001</v>
      </c>
      <c r="I83" s="156">
        <f>IF($B83=" ","",IFERROR(INDEX(MMWR_RATING_STATE_ROLLUP_BDD[],MATCH($B83,MMWR_RATING_STATE_ROLLUP_BDD[MMWR_RATING_STATE_ROLLUP_BDD],0),MATCH(I$9,MMWR_RATING_STATE_ROLLUP_BDD[#Headers],0)),"ERROR"))</f>
        <v>141.33550681680001</v>
      </c>
      <c r="J83" s="42"/>
      <c r="K83" s="42"/>
      <c r="L83" s="42"/>
      <c r="M83" s="42"/>
      <c r="N83" s="28"/>
    </row>
    <row r="84" spans="1:14" x14ac:dyDescent="0.2">
      <c r="A84" s="25"/>
      <c r="B84" s="252" t="str">
        <f>VLOOKUP($B$15,DISTRICT_STATES[],16,0)</f>
        <v>West Virginia</v>
      </c>
      <c r="C84" s="155">
        <f>IF($B84=" ","",IFERROR(INDEX(MMWR_RATING_STATE_ROLLUP_BDD[],MATCH($B84,MMWR_RATING_STATE_ROLLUP_BDD[MMWR_RATING_STATE_ROLLUP_BDD],0),MATCH(C$9,MMWR_RATING_STATE_ROLLUP_BDD[#Headers],0)),"ERROR"))</f>
        <v>21</v>
      </c>
      <c r="D84" s="156">
        <f>IF($B84=" ","",IFERROR(INDEX(MMWR_RATING_STATE_ROLLUP_BDD[],MATCH($B84,MMWR_RATING_STATE_ROLLUP_BDD[MMWR_RATING_STATE_ROLLUP_BDD],0),MATCH(D$9,MMWR_RATING_STATE_ROLLUP_BDD[#Headers],0)),"ERROR"))</f>
        <v>64.428571428599994</v>
      </c>
      <c r="E84" s="157">
        <f>IF($B84=" ","",IFERROR(INDEX(MMWR_RATING_STATE_ROLLUP_BDD[],MATCH($B84,MMWR_RATING_STATE_ROLLUP_BDD[MMWR_RATING_STATE_ROLLUP_BDD],0),MATCH(E$9,MMWR_RATING_STATE_ROLLUP_BDD[#Headers],0))/$C84,"ERROR"))</f>
        <v>9.5238095238095233E-2</v>
      </c>
      <c r="F84" s="155">
        <f>IF($B84=" ","",IFERROR(INDEX(MMWR_RATING_STATE_ROLLUP_BDD[],MATCH($B84,MMWR_RATING_STATE_ROLLUP_BDD[MMWR_RATING_STATE_ROLLUP_BDD],0),MATCH(F$9,MMWR_RATING_STATE_ROLLUP_BDD[#Headers],0)),"ERROR"))</f>
        <v>1</v>
      </c>
      <c r="G84" s="155">
        <f>IF($B84=" ","",IFERROR(INDEX(MMWR_RATING_STATE_ROLLUP_BDD[],MATCH($B84,MMWR_RATING_STATE_ROLLUP_BDD[MMWR_RATING_STATE_ROLLUP_BDD],0),MATCH(G$9,MMWR_RATING_STATE_ROLLUP_BDD[#Headers],0)),"ERROR"))</f>
        <v>59</v>
      </c>
      <c r="H84" s="156">
        <f>IF($B84=" ","",IFERROR(INDEX(MMWR_RATING_STATE_ROLLUP_BDD[],MATCH($B84,MMWR_RATING_STATE_ROLLUP_BDD[MMWR_RATING_STATE_ROLLUP_BDD],0),MATCH(H$9,MMWR_RATING_STATE_ROLLUP_BDD[#Headers],0)),"ERROR"))</f>
        <v>82</v>
      </c>
      <c r="I84" s="156">
        <f>IF($B84=" ","",IFERROR(INDEX(MMWR_RATING_STATE_ROLLUP_BDD[],MATCH($B84,MMWR_RATING_STATE_ROLLUP_BDD[MMWR_RATING_STATE_ROLLUP_BDD],0),MATCH(I$9,MMWR_RATING_STATE_ROLLUP_BDD[#Headers],0)),"ERROR"))</f>
        <v>156.49152542370001</v>
      </c>
      <c r="J84" s="42"/>
      <c r="K84" s="42"/>
      <c r="L84" s="42"/>
      <c r="M84" s="42"/>
      <c r="N84" s="28"/>
    </row>
    <row r="85" spans="1:14" ht="12.75" customHeight="1" x14ac:dyDescent="0.2">
      <c r="A85" s="25"/>
      <c r="B85" s="26"/>
      <c r="C85" s="26"/>
      <c r="D85" s="26"/>
      <c r="E85" s="26"/>
      <c r="F85" s="26"/>
      <c r="G85" s="26"/>
      <c r="H85" s="26"/>
      <c r="I85" s="26"/>
      <c r="J85" s="26"/>
      <c r="K85" s="26"/>
      <c r="L85" s="26"/>
      <c r="M85" s="26"/>
      <c r="N85" s="28"/>
    </row>
    <row r="86" spans="1:14" ht="12.75" hidden="1" customHeight="1" x14ac:dyDescent="0.2"/>
    <row r="87" spans="1:14" ht="12.75" hidden="1" customHeight="1" x14ac:dyDescent="0.2"/>
    <row r="88" spans="1:14" ht="12.75" hidden="1" customHeight="1" x14ac:dyDescent="0.2"/>
  </sheetData>
  <sheetProtection password="BD20" sheet="1" autoFilter="0"/>
  <protectedRanges>
    <protectedRange sqref="C12:I12 C15:I30 C33:I48 C51:I66 C69:I84" name="SOJ"/>
    <protectedRange sqref="C14:I14 C32:I32 C50:I50 C68:I68" name="SOJ_1"/>
  </protectedRanges>
  <mergeCells count="20">
    <mergeCell ref="C2:I3"/>
    <mergeCell ref="J2:M2"/>
    <mergeCell ref="J3:M3"/>
    <mergeCell ref="C4:M4"/>
    <mergeCell ref="C5:O5"/>
    <mergeCell ref="B13:M13"/>
    <mergeCell ref="B31:M31"/>
    <mergeCell ref="B49:M49"/>
    <mergeCell ref="B67:M67"/>
    <mergeCell ref="D6:E6"/>
    <mergeCell ref="G6:H6"/>
    <mergeCell ref="L6:M6"/>
    <mergeCell ref="J11:M11"/>
    <mergeCell ref="D7:E7"/>
    <mergeCell ref="G7:H7"/>
    <mergeCell ref="L7:M7"/>
    <mergeCell ref="D8:E8"/>
    <mergeCell ref="G8:H8"/>
    <mergeCell ref="L8:M8"/>
    <mergeCell ref="C10:M10"/>
  </mergeCells>
  <conditionalFormatting sqref="A1:N3 A11:J11 N11 B30:I30 A31:N31 A6:N10 A4 C4:N4 A12:N13 E15:E30 A49:N49 A33:A48 A67:N67 A51:A66 A85:N85 A69:A84 A15:N29 A14 J14:N14 A32:B32 J32:N48 A50:B50 J50:N66 A68:B68 J68:N84 A5:B5">
    <cfRule type="expression" dxfId="431" priority="18">
      <formula>IF(OR(ISERROR(A1),A1="ERROR"),TRUE,FALSE)</formula>
    </cfRule>
  </conditionalFormatting>
  <conditionalFormatting sqref="A30 J30:N30">
    <cfRule type="expression" dxfId="430" priority="17">
      <formula>IF(OR(ISERROR(A30),A30="ERROR"),TRUE,FALSE)</formula>
    </cfRule>
  </conditionalFormatting>
  <conditionalFormatting sqref="B4">
    <cfRule type="expression" dxfId="429" priority="16">
      <formula>IF(OR(ISERROR(B4),B4="ERROR"),TRUE,FALSE)</formula>
    </cfRule>
  </conditionalFormatting>
  <conditionalFormatting sqref="B33:B48">
    <cfRule type="expression" dxfId="428" priority="14">
      <formula>IF(OR(ISERROR(B33),B33="ERROR"),TRUE,FALSE)</formula>
    </cfRule>
  </conditionalFormatting>
  <conditionalFormatting sqref="B51:B66">
    <cfRule type="expression" dxfId="427" priority="13">
      <formula>IF(OR(ISERROR(B51),B51="ERROR"),TRUE,FALSE)</formula>
    </cfRule>
  </conditionalFormatting>
  <conditionalFormatting sqref="B69:B84">
    <cfRule type="expression" dxfId="426" priority="12">
      <formula>IF(OR(ISERROR(B69),B69="ERROR"),TRUE,FALSE)</formula>
    </cfRule>
  </conditionalFormatting>
  <conditionalFormatting sqref="B14:I14">
    <cfRule type="expression" dxfId="425" priority="8">
      <formula>IF(OR(ISERROR(B13),B14="ERROR"),TRUE,FALSE)</formula>
    </cfRule>
  </conditionalFormatting>
  <conditionalFormatting sqref="C33:I48">
    <cfRule type="expression" dxfId="424" priority="7">
      <formula>IF(OR(ISERROR(C33),C33="ERROR"),TRUE,FALSE)</formula>
    </cfRule>
  </conditionalFormatting>
  <conditionalFormatting sqref="C32:I32">
    <cfRule type="expression" dxfId="423" priority="6">
      <formula>IF(OR(ISERROR(C31),C32="ERROR"),TRUE,FALSE)</formula>
    </cfRule>
  </conditionalFormatting>
  <conditionalFormatting sqref="C51:I66">
    <cfRule type="expression" dxfId="422" priority="5">
      <formula>IF(OR(ISERROR(C51),C51="ERROR"),TRUE,FALSE)</formula>
    </cfRule>
  </conditionalFormatting>
  <conditionalFormatting sqref="C50:I50">
    <cfRule type="expression" dxfId="421" priority="4">
      <formula>IF(OR(ISERROR(C49),C50="ERROR"),TRUE,FALSE)</formula>
    </cfRule>
  </conditionalFormatting>
  <conditionalFormatting sqref="C69:I84">
    <cfRule type="expression" dxfId="420" priority="3">
      <formula>IF(OR(ISERROR(C69),C69="ERROR"),TRUE,FALSE)</formula>
    </cfRule>
  </conditionalFormatting>
  <conditionalFormatting sqref="C68:I68">
    <cfRule type="expression" dxfId="419" priority="2">
      <formula>IF(OR(ISERROR(C67),C68="ERROR"),TRUE,FALSE)</formula>
    </cfRule>
  </conditionalFormatting>
  <conditionalFormatting sqref="C5:O5">
    <cfRule type="expression" dxfId="418" priority="1">
      <formula>IF(OR(ISERROR(C5),C5="ERROR"),TRUE,FALSE)</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48" max="15" man="1"/>
  </rowBreaks>
  <ignoredErrors>
    <ignoredError sqref="E12 E14:E30 E32:E48 E50:E66 E68:E84" formula="1"/>
  </ignoredErrors>
  <drawing r:id="rId2"/>
  <legacyDrawing r:id="rId3"/>
  <controls>
    <mc:AlternateContent xmlns:mc="http://schemas.openxmlformats.org/markup-compatibility/2006">
      <mc:Choice Requires="x14">
        <control shapeId="73730" r:id="rId4" name="ComboBox1">
          <controlPr defaultSize="0" autoLine="0" linkedCell="B5" listFillRange="Districts" r:id="rId5">
            <anchor>
              <from>
                <xdr:col>1</xdr:col>
                <xdr:colOff>47625</xdr:colOff>
                <xdr:row>4</xdr:row>
                <xdr:rowOff>9525</xdr:rowOff>
              </from>
              <to>
                <xdr:col>1</xdr:col>
                <xdr:colOff>1847850</xdr:colOff>
                <xdr:row>5</xdr:row>
                <xdr:rowOff>66675</xdr:rowOff>
              </to>
            </anchor>
          </controlPr>
        </control>
      </mc:Choice>
      <mc:Fallback>
        <control shapeId="73730" r:id="rId4" name="ComboBox1"/>
      </mc:Fallback>
    </mc:AlternateContent>
  </control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46"/>
  <sheetViews>
    <sheetView zoomScale="60" zoomScaleNormal="60" zoomScaleSheetLayoutView="55" workbookViewId="0"/>
  </sheetViews>
  <sheetFormatPr defaultColWidth="0" defaultRowHeight="12.75" zeroHeight="1" x14ac:dyDescent="0.2"/>
  <cols>
    <col min="1" max="1" width="2.85546875" customWidth="1"/>
    <col min="2" max="21" width="15.42578125" customWidth="1"/>
    <col min="22" max="22" width="3" customWidth="1"/>
    <col min="23" max="16384" width="9.140625" hidden="1"/>
  </cols>
  <sheetData>
    <row r="1" spans="1:22" s="21" customFormat="1" ht="14.25" customHeight="1" thickBot="1" x14ac:dyDescent="0.25">
      <c r="A1" s="25"/>
      <c r="B1" s="26"/>
      <c r="C1" s="54"/>
      <c r="D1" s="54"/>
      <c r="E1" s="54"/>
      <c r="F1" s="54"/>
      <c r="G1" s="54"/>
      <c r="H1" s="54"/>
      <c r="I1" s="54"/>
      <c r="J1" s="54"/>
      <c r="K1" s="54"/>
      <c r="L1" s="54"/>
      <c r="M1" s="54"/>
      <c r="N1" s="54"/>
      <c r="O1" s="54"/>
      <c r="P1" s="54"/>
      <c r="Q1" s="54"/>
      <c r="R1" s="54"/>
      <c r="S1" s="54"/>
      <c r="T1" s="54"/>
      <c r="U1" s="54"/>
      <c r="V1" s="25"/>
    </row>
    <row r="2" spans="1:22" s="1" customFormat="1" ht="27" thickBot="1" x14ac:dyDescent="0.45">
      <c r="A2" s="25"/>
      <c r="B2" s="413" t="s">
        <v>305</v>
      </c>
      <c r="C2" s="414"/>
      <c r="D2" s="414"/>
      <c r="E2" s="414"/>
      <c r="F2" s="414"/>
      <c r="G2" s="414"/>
      <c r="H2" s="414"/>
      <c r="I2" s="414"/>
      <c r="J2" s="414"/>
      <c r="K2" s="414"/>
      <c r="L2" s="414"/>
      <c r="M2" s="414"/>
      <c r="N2" s="414"/>
      <c r="O2" s="414"/>
      <c r="P2" s="414"/>
      <c r="Q2" s="414"/>
      <c r="R2" s="414"/>
      <c r="S2" s="414"/>
      <c r="T2" s="414"/>
      <c r="U2" s="415"/>
      <c r="V2" s="25"/>
    </row>
    <row r="3" spans="1:22" s="1" customFormat="1" ht="63" customHeight="1" thickBot="1" x14ac:dyDescent="0.25">
      <c r="A3" s="25"/>
      <c r="B3" s="422" t="s">
        <v>320</v>
      </c>
      <c r="C3" s="423"/>
      <c r="D3" s="423"/>
      <c r="E3" s="423"/>
      <c r="F3" s="423"/>
      <c r="G3" s="423"/>
      <c r="H3" s="423"/>
      <c r="I3" s="423"/>
      <c r="J3" s="423"/>
      <c r="K3" s="423"/>
      <c r="L3" s="423"/>
      <c r="M3" s="423"/>
      <c r="N3" s="423"/>
      <c r="O3" s="423"/>
      <c r="P3" s="423"/>
      <c r="Q3" s="423"/>
      <c r="R3" s="423"/>
      <c r="S3" s="423"/>
      <c r="T3" s="423"/>
      <c r="U3" s="424"/>
      <c r="V3" s="25"/>
    </row>
    <row r="4" spans="1:22" s="1" customFormat="1" ht="32.25" customHeight="1" thickBot="1" x14ac:dyDescent="0.25">
      <c r="A4" s="25"/>
      <c r="B4" s="419" t="str">
        <f>Transformation!B4</f>
        <v>As of: September 05, 2015</v>
      </c>
      <c r="C4" s="420"/>
      <c r="D4" s="420"/>
      <c r="E4" s="420"/>
      <c r="F4" s="420"/>
      <c r="G4" s="420"/>
      <c r="H4" s="420"/>
      <c r="I4" s="420"/>
      <c r="J4" s="420"/>
      <c r="K4" s="420"/>
      <c r="L4" s="420"/>
      <c r="M4" s="420"/>
      <c r="N4" s="420"/>
      <c r="O4" s="420"/>
      <c r="P4" s="420"/>
      <c r="Q4" s="420"/>
      <c r="R4" s="420"/>
      <c r="S4" s="420"/>
      <c r="T4" s="420"/>
      <c r="U4" s="421"/>
      <c r="V4" s="25"/>
    </row>
    <row r="5" spans="1:22" s="1" customFormat="1" ht="27" customHeight="1" thickBot="1" x14ac:dyDescent="0.45">
      <c r="A5" s="25"/>
      <c r="B5" s="426" t="s">
        <v>247</v>
      </c>
      <c r="C5" s="427"/>
      <c r="D5" s="427"/>
      <c r="E5" s="427"/>
      <c r="F5" s="427"/>
      <c r="G5" s="427"/>
      <c r="H5" s="428"/>
      <c r="I5" s="55"/>
      <c r="J5" s="426" t="s">
        <v>244</v>
      </c>
      <c r="K5" s="427"/>
      <c r="L5" s="427"/>
      <c r="M5" s="427"/>
      <c r="N5" s="428"/>
      <c r="O5" s="56"/>
      <c r="P5" s="429" t="s">
        <v>11</v>
      </c>
      <c r="Q5" s="430"/>
      <c r="R5" s="430"/>
      <c r="S5" s="430"/>
      <c r="T5" s="430"/>
      <c r="U5" s="431"/>
      <c r="V5" s="25"/>
    </row>
    <row r="6" spans="1:22" s="1" customFormat="1" ht="65.25" customHeight="1" thickBot="1" x14ac:dyDescent="0.25">
      <c r="A6" s="25"/>
      <c r="B6" s="416" t="s">
        <v>288</v>
      </c>
      <c r="C6" s="417"/>
      <c r="D6" s="417"/>
      <c r="E6" s="418"/>
      <c r="F6" s="57" t="s">
        <v>12</v>
      </c>
      <c r="G6" s="58" t="s">
        <v>3</v>
      </c>
      <c r="H6" s="59" t="s">
        <v>4</v>
      </c>
      <c r="I6" s="25"/>
      <c r="J6" s="405" t="s">
        <v>288</v>
      </c>
      <c r="K6" s="406"/>
      <c r="L6" s="60" t="s">
        <v>12</v>
      </c>
      <c r="M6" s="61" t="s">
        <v>3</v>
      </c>
      <c r="N6" s="62" t="s">
        <v>4</v>
      </c>
      <c r="O6" s="63"/>
      <c r="P6" s="432" t="s">
        <v>288</v>
      </c>
      <c r="Q6" s="433"/>
      <c r="R6" s="64" t="s">
        <v>498</v>
      </c>
      <c r="S6" s="434" t="s">
        <v>288</v>
      </c>
      <c r="T6" s="435"/>
      <c r="U6" s="65" t="s">
        <v>140</v>
      </c>
      <c r="V6" s="25"/>
    </row>
    <row r="7" spans="1:22" s="1" customFormat="1" ht="32.25" customHeight="1" thickBot="1" x14ac:dyDescent="0.25">
      <c r="A7" s="25"/>
      <c r="B7" s="399" t="s">
        <v>307</v>
      </c>
      <c r="C7" s="400"/>
      <c r="D7" s="400"/>
      <c r="E7" s="400"/>
      <c r="F7" s="169">
        <f>SUM(F8:F10)</f>
        <v>128784</v>
      </c>
      <c r="G7" s="170">
        <f>SUM(G8:G10)</f>
        <v>40734</v>
      </c>
      <c r="H7" s="171">
        <f t="shared" ref="H7:H44" si="0">IF(G7="--", 0, G7/F7)</f>
        <v>0.31629705553484905</v>
      </c>
      <c r="I7" s="25"/>
      <c r="J7" s="399" t="s">
        <v>273</v>
      </c>
      <c r="K7" s="400"/>
      <c r="L7" s="170">
        <f>SUM(L8:L10)</f>
        <v>25774</v>
      </c>
      <c r="M7" s="170">
        <f>SUM(M8:M10)</f>
        <v>3757</v>
      </c>
      <c r="N7" s="181">
        <f>IF(M7="--", 0, M7/L7)</f>
        <v>0.14576705206797547</v>
      </c>
      <c r="O7" s="66"/>
      <c r="P7" s="399" t="s">
        <v>978</v>
      </c>
      <c r="Q7" s="400"/>
      <c r="R7" s="182">
        <f>R8+R9+R10+R11+R12</f>
        <v>314717</v>
      </c>
      <c r="S7" s="399"/>
      <c r="T7" s="400"/>
      <c r="U7" s="67"/>
      <c r="V7" s="25"/>
    </row>
    <row r="8" spans="1:22" s="1" customFormat="1" ht="51" customHeight="1" x14ac:dyDescent="0.2">
      <c r="A8" s="25"/>
      <c r="B8" s="284" t="s">
        <v>257</v>
      </c>
      <c r="C8" s="285"/>
      <c r="D8" s="285"/>
      <c r="E8" s="425"/>
      <c r="F8" s="172">
        <f>IFERROR(VLOOKUP(MID(B8,4,3),MMWR_TRAD_AGG_NATIONAL[],2,0),"--")</f>
        <v>369</v>
      </c>
      <c r="G8" s="173">
        <f>IFERROR(VLOOKUP(MID(B8,4,3),MMWR_TRAD_AGG_NATIONAL[],3,0),"--")</f>
        <v>228</v>
      </c>
      <c r="H8" s="174">
        <f t="shared" si="0"/>
        <v>0.61788617886178865</v>
      </c>
      <c r="I8" s="25"/>
      <c r="J8" s="401" t="s">
        <v>275</v>
      </c>
      <c r="K8" s="402"/>
      <c r="L8" s="172">
        <f>IFERROR(VLOOKUP(MID(J8,4,3),MMWR_TRAD_AGG_NATIONAL[],2,0),"--")</f>
        <v>5784</v>
      </c>
      <c r="M8" s="173">
        <f>IFERROR(VLOOKUP(MID(J8,4,3),MMWR_TRAD_AGG_NATIONAL[],3,0),"--")</f>
        <v>289</v>
      </c>
      <c r="N8" s="174">
        <f>IF(M8="--", 0, M8/L8)</f>
        <v>4.9965421853388661E-2</v>
      </c>
      <c r="O8" s="68" t="s">
        <v>319</v>
      </c>
      <c r="P8" s="436" t="s">
        <v>248</v>
      </c>
      <c r="Q8" s="437"/>
      <c r="R8" s="183">
        <f>VLOOKUP(P8,MMWR_APP_NATIONAL[],2,0)</f>
        <v>221766</v>
      </c>
      <c r="S8" s="404" t="s">
        <v>237</v>
      </c>
      <c r="T8" s="403"/>
      <c r="U8" s="184">
        <f>VLOOKUP(P8,MMWR_APP_NATIONAL[],3,0)</f>
        <v>395.94107302290001</v>
      </c>
      <c r="V8" s="25"/>
    </row>
    <row r="9" spans="1:22" s="1" customFormat="1" ht="45" customHeight="1" x14ac:dyDescent="0.2">
      <c r="A9" s="25"/>
      <c r="B9" s="284" t="s">
        <v>255</v>
      </c>
      <c r="C9" s="285"/>
      <c r="D9" s="285"/>
      <c r="E9" s="425"/>
      <c r="F9" s="172">
        <f>IFERROR(VLOOKUP(MID(B9,4,3),MMWR_TRAD_AGG_NATIONAL[],2,0),"--")</f>
        <v>41738</v>
      </c>
      <c r="G9" s="173">
        <f>IFERROR(VLOOKUP(MID(B9,4,3),MMWR_TRAD_AGG_NATIONAL[],3,0),"--")</f>
        <v>13976</v>
      </c>
      <c r="H9" s="174">
        <f t="shared" si="0"/>
        <v>0.33485073554075423</v>
      </c>
      <c r="I9" s="68" t="s">
        <v>319</v>
      </c>
      <c r="J9" s="284" t="s">
        <v>274</v>
      </c>
      <c r="K9" s="285"/>
      <c r="L9" s="172">
        <f>IFERROR(VLOOKUP(MID(J9,4,3),MMWR_TRAD_AGG_NATIONAL[],2,0),"--")</f>
        <v>5921</v>
      </c>
      <c r="M9" s="173">
        <f>IFERROR(VLOOKUP(MID(J9,4,3),MMWR_TRAD_AGG_NATIONAL[],3,0),"--")</f>
        <v>242</v>
      </c>
      <c r="N9" s="174">
        <f>IF(M9="--", 0, M9/L9)</f>
        <v>4.0871474413105895E-2</v>
      </c>
      <c r="O9" s="68" t="s">
        <v>319</v>
      </c>
      <c r="P9" s="447" t="s">
        <v>249</v>
      </c>
      <c r="Q9" s="448"/>
      <c r="R9" s="185">
        <f>VLOOKUP(P9,MMWR_APP_NATIONAL[],2,0)</f>
        <v>56253</v>
      </c>
      <c r="S9" s="449" t="s">
        <v>238</v>
      </c>
      <c r="T9" s="394"/>
      <c r="U9" s="186">
        <f>VLOOKUP(P9,MMWR_APP_NATIONAL[],3,0)</f>
        <v>616.89504559759996</v>
      </c>
      <c r="V9" s="25"/>
    </row>
    <row r="10" spans="1:22" s="1" customFormat="1" ht="63" customHeight="1" thickBot="1" x14ac:dyDescent="0.25">
      <c r="A10" s="25"/>
      <c r="B10" s="284" t="s">
        <v>256</v>
      </c>
      <c r="C10" s="285"/>
      <c r="D10" s="285"/>
      <c r="E10" s="425"/>
      <c r="F10" s="172">
        <f>IFERROR(VLOOKUP(MID(B10,4,3),MMWR_TRAD_AGG_NATIONAL[],2,0),"--")</f>
        <v>86677</v>
      </c>
      <c r="G10" s="173">
        <f>IFERROR(VLOOKUP(MID(B10,4,3),MMWR_TRAD_AGG_NATIONAL[],3,0),"--")</f>
        <v>26530</v>
      </c>
      <c r="H10" s="174">
        <f t="shared" si="0"/>
        <v>0.30607889059381382</v>
      </c>
      <c r="I10" s="68" t="s">
        <v>319</v>
      </c>
      <c r="J10" s="286" t="s">
        <v>276</v>
      </c>
      <c r="K10" s="287"/>
      <c r="L10" s="172">
        <f>IFERROR(VLOOKUP(MID(J10,4,3),MMWR_TRAD_AGG_NATIONAL[],2,0),"--")</f>
        <v>14069</v>
      </c>
      <c r="M10" s="173">
        <f>IFERROR(VLOOKUP(MID(J10,4,3),MMWR_TRAD_AGG_NATIONAL[],3,0),"--")</f>
        <v>3226</v>
      </c>
      <c r="N10" s="174">
        <f>IF(M10="--", 0, M10/L10)</f>
        <v>0.22929845760181961</v>
      </c>
      <c r="O10" s="69"/>
      <c r="P10" s="447" t="s">
        <v>250</v>
      </c>
      <c r="Q10" s="448"/>
      <c r="R10" s="185">
        <f>VLOOKUP(P10,MMWR_APP_NATIONAL[],2,0)</f>
        <v>23762</v>
      </c>
      <c r="S10" s="449" t="s">
        <v>239</v>
      </c>
      <c r="T10" s="394"/>
      <c r="U10" s="186">
        <f>VLOOKUP(P10,MMWR_APP_NATIONAL[],3,0)</f>
        <v>522.42711051260005</v>
      </c>
      <c r="V10" s="25"/>
    </row>
    <row r="11" spans="1:22" s="1" customFormat="1" ht="45" customHeight="1" thickBot="1" x14ac:dyDescent="0.25">
      <c r="A11" s="25"/>
      <c r="B11" s="399" t="s">
        <v>308</v>
      </c>
      <c r="C11" s="400"/>
      <c r="D11" s="400"/>
      <c r="E11" s="400"/>
      <c r="F11" s="169">
        <f>SUM(F12:F13)</f>
        <v>7114</v>
      </c>
      <c r="G11" s="170">
        <f>SUM(G12:G13)</f>
        <v>1419</v>
      </c>
      <c r="H11" s="171">
        <f t="shared" si="0"/>
        <v>0.19946584200168682</v>
      </c>
      <c r="I11" s="25"/>
      <c r="J11" s="399" t="s">
        <v>245</v>
      </c>
      <c r="K11" s="400"/>
      <c r="L11" s="169">
        <f>SUM(L12:L17)</f>
        <v>30021</v>
      </c>
      <c r="M11" s="169">
        <f>SUM(M12:M17)</f>
        <v>6852</v>
      </c>
      <c r="N11" s="162">
        <f>IF(M11="--", 0, M11/L11)</f>
        <v>0.22824023183771361</v>
      </c>
      <c r="O11" s="69"/>
      <c r="P11" s="447" t="s">
        <v>979</v>
      </c>
      <c r="Q11" s="448"/>
      <c r="R11" s="185">
        <f>VLOOKUP(P11,MMWR_APP_NATIONAL[],2,0)</f>
        <v>12511</v>
      </c>
      <c r="S11" s="449" t="s">
        <v>240</v>
      </c>
      <c r="T11" s="394"/>
      <c r="U11" s="186">
        <f>VLOOKUP(P11,MMWR_APP_NATIONAL[],3,0)</f>
        <v>185.9305411238</v>
      </c>
      <c r="V11" s="25"/>
    </row>
    <row r="12" spans="1:22" s="1" customFormat="1" ht="46.5" customHeight="1" thickBot="1" x14ac:dyDescent="0.25">
      <c r="A12" s="25"/>
      <c r="B12" s="395" t="s">
        <v>278</v>
      </c>
      <c r="C12" s="396"/>
      <c r="D12" s="396"/>
      <c r="E12" s="397"/>
      <c r="F12" s="172">
        <f>IFERROR(VLOOKUP(MID(B12,4,3),MMWR_TRAD_AGG_NATIONAL[],2,0),"--")</f>
        <v>6643</v>
      </c>
      <c r="G12" s="173">
        <f>IFERROR(VLOOKUP(MID(B12,4,3),MMWR_TRAD_AGG_NATIONAL[],3,0),"--")</f>
        <v>1062</v>
      </c>
      <c r="H12" s="174">
        <f t="shared" si="0"/>
        <v>0.15986752973054344</v>
      </c>
      <c r="I12" s="68" t="s">
        <v>319</v>
      </c>
      <c r="J12" s="286" t="s">
        <v>268</v>
      </c>
      <c r="K12" s="394"/>
      <c r="L12" s="172">
        <f>IFERROR(VLOOKUP(MID(J12,4,3)&amp;"p",MMWR_TRAD_AGG_NATIONAL[],2,0),"--")</f>
        <v>956</v>
      </c>
      <c r="M12" s="173">
        <f>IFERROR(VLOOKUP(MID(J12,4,3)&amp;"p",MMWR_TRAD_AGG_NATIONAL[],3,0),"--")</f>
        <v>94</v>
      </c>
      <c r="N12" s="174">
        <f t="shared" ref="N12:N17" si="1">IF(L12="--", 0,M12/L12)</f>
        <v>9.832635983263599E-2</v>
      </c>
      <c r="O12" s="69"/>
      <c r="P12" s="447" t="s">
        <v>960</v>
      </c>
      <c r="Q12" s="448"/>
      <c r="R12" s="185">
        <f>VLOOKUP(P12,MMWR_APP_NATIONAL[],2,0)</f>
        <v>425</v>
      </c>
      <c r="S12" s="450" t="s">
        <v>977</v>
      </c>
      <c r="T12" s="398"/>
      <c r="U12" s="186">
        <f>VLOOKUP(P12,MMWR_APP_NATIONAL[],3,0)</f>
        <v>438.3811764706</v>
      </c>
      <c r="V12" s="25"/>
    </row>
    <row r="13" spans="1:22" s="1" customFormat="1" ht="49.5" customHeight="1" thickBot="1" x14ac:dyDescent="0.25">
      <c r="A13" s="25"/>
      <c r="B13" s="395" t="s">
        <v>258</v>
      </c>
      <c r="C13" s="396"/>
      <c r="D13" s="396"/>
      <c r="E13" s="397"/>
      <c r="F13" s="172">
        <f>IFERROR(VLOOKUP(MID(B13,4,3),MMWR_TRAD_AGG_NATIONAL[],2,0),"--")</f>
        <v>471</v>
      </c>
      <c r="G13" s="173">
        <f>IFERROR(VLOOKUP(MID(B13,4,3),MMWR_TRAD_AGG_NATIONAL[],3,0),"--")</f>
        <v>357</v>
      </c>
      <c r="H13" s="174">
        <f t="shared" si="0"/>
        <v>0.7579617834394905</v>
      </c>
      <c r="I13" s="25"/>
      <c r="J13" s="286" t="s">
        <v>277</v>
      </c>
      <c r="K13" s="394"/>
      <c r="L13" s="172">
        <f>IFERROR(VLOOKUP(MID(J13,4,3),MMWR_TRAD_AGG_NATIONAL[],2,0),"--")</f>
        <v>3515</v>
      </c>
      <c r="M13" s="173">
        <f>IFERROR(VLOOKUP(MID(J13,4,3),MMWR_TRAD_AGG_NATIONAL[],3,0),"--")</f>
        <v>839</v>
      </c>
      <c r="N13" s="174">
        <f t="shared" si="1"/>
        <v>0.23869132290184922</v>
      </c>
      <c r="O13" s="69"/>
      <c r="P13" s="399" t="s">
        <v>989</v>
      </c>
      <c r="Q13" s="400"/>
      <c r="R13" s="443"/>
      <c r="S13" s="444">
        <f>VLOOKUP(P13,MMWR_APP_NATIONAL[],2,0)</f>
        <v>18711</v>
      </c>
      <c r="T13" s="445"/>
      <c r="U13" s="446"/>
      <c r="V13" s="25"/>
    </row>
    <row r="14" spans="1:22" s="1" customFormat="1" ht="45" customHeight="1" thickBot="1" x14ac:dyDescent="0.25">
      <c r="A14" s="25"/>
      <c r="B14" s="399" t="s">
        <v>1</v>
      </c>
      <c r="C14" s="400"/>
      <c r="D14" s="400"/>
      <c r="E14" s="400"/>
      <c r="F14" s="169">
        <f>SUM(F15:F21)</f>
        <v>204308</v>
      </c>
      <c r="G14" s="170">
        <f>SUM(G15:G21)</f>
        <v>47663</v>
      </c>
      <c r="H14" s="171">
        <f t="shared" si="0"/>
        <v>0.23328993480431506</v>
      </c>
      <c r="I14" s="25"/>
      <c r="J14" s="286" t="s">
        <v>279</v>
      </c>
      <c r="K14" s="394"/>
      <c r="L14" s="172">
        <f>IFERROR(VLOOKUP(MID(J14,4,3),MMWR_TRAD_AGG_NATIONAL[],2,0),"--")</f>
        <v>11372</v>
      </c>
      <c r="M14" s="173">
        <f>IFERROR(VLOOKUP(MID(J14,4,3),MMWR_TRAD_AGG_NATIONAL[],3,0),"--")</f>
        <v>2674</v>
      </c>
      <c r="N14" s="174">
        <f t="shared" si="1"/>
        <v>0.23513893774182201</v>
      </c>
      <c r="O14" s="69"/>
      <c r="P14" s="21"/>
      <c r="Q14" s="21"/>
      <c r="R14" s="21"/>
      <c r="S14" s="28"/>
      <c r="T14" s="28"/>
      <c r="U14" s="70"/>
      <c r="V14" s="25"/>
    </row>
    <row r="15" spans="1:22" s="1" customFormat="1" ht="44.25" customHeight="1" thickBot="1" x14ac:dyDescent="0.25">
      <c r="A15" s="25"/>
      <c r="B15" s="284" t="s">
        <v>259</v>
      </c>
      <c r="C15" s="285"/>
      <c r="D15" s="285"/>
      <c r="E15" s="425"/>
      <c r="F15" s="172">
        <f>IFERROR(VLOOKUP(MID(B15,4,3),MMWR_TRAD_AGG_NATIONAL[],2,0),"--")</f>
        <v>203883</v>
      </c>
      <c r="G15" s="173">
        <f>IFERROR(VLOOKUP(MID(B15,4,3),MMWR_TRAD_AGG_NATIONAL[],3,0),"--")</f>
        <v>47502</v>
      </c>
      <c r="H15" s="174">
        <f t="shared" si="0"/>
        <v>0.23298656582451699</v>
      </c>
      <c r="I15" s="68" t="s">
        <v>319</v>
      </c>
      <c r="J15" s="286" t="s">
        <v>280</v>
      </c>
      <c r="K15" s="394"/>
      <c r="L15" s="172">
        <f>IFERROR(VLOOKUP(MID(J15,4,3),MMWR_TRAD_AGG_NATIONAL[],2,0),"--")</f>
        <v>1</v>
      </c>
      <c r="M15" s="173">
        <f>IFERROR(VLOOKUP(MID(J15,4,3),MMWR_TRAD_AGG_NATIONAL[],3,0),"--")</f>
        <v>1</v>
      </c>
      <c r="N15" s="174">
        <f t="shared" si="1"/>
        <v>1</v>
      </c>
      <c r="O15" s="69"/>
      <c r="P15" s="25"/>
      <c r="Q15" s="25"/>
      <c r="R15" s="25"/>
      <c r="S15" s="25"/>
      <c r="T15" s="28"/>
      <c r="U15" s="71"/>
      <c r="V15" s="25"/>
    </row>
    <row r="16" spans="1:22" s="1" customFormat="1" ht="57.75" customHeight="1" thickBot="1" x14ac:dyDescent="0.25">
      <c r="A16" s="25"/>
      <c r="B16" s="286" t="s">
        <v>260</v>
      </c>
      <c r="C16" s="287"/>
      <c r="D16" s="287"/>
      <c r="E16" s="394"/>
      <c r="F16" s="172">
        <f>IFERROR(VLOOKUP(MID(B16,4,3),MMWR_TRAD_AGG_NATIONAL[],2,0),"--")</f>
        <v>241</v>
      </c>
      <c r="G16" s="173">
        <f>IFERROR(VLOOKUP(MID(B16,4,3),MMWR_TRAD_AGG_NATIONAL[],3,0),"--")</f>
        <v>36</v>
      </c>
      <c r="H16" s="174">
        <f t="shared" si="0"/>
        <v>0.14937759336099585</v>
      </c>
      <c r="I16" s="68" t="s">
        <v>319</v>
      </c>
      <c r="J16" s="286" t="s">
        <v>281</v>
      </c>
      <c r="K16" s="394"/>
      <c r="L16" s="172">
        <f>IFERROR(VLOOKUP(MID(J16,4,3),MMWR_TRAD_AGG_NATIONAL[],2,0),"--")</f>
        <v>3340</v>
      </c>
      <c r="M16" s="173">
        <f>IFERROR(VLOOKUP(MID(J16,4,3),MMWR_TRAD_AGG_NATIONAL[],3,0),"--")</f>
        <v>846</v>
      </c>
      <c r="N16" s="174">
        <f t="shared" si="1"/>
        <v>0.25329341317365267</v>
      </c>
      <c r="O16" s="69"/>
      <c r="P16" s="429" t="s">
        <v>961</v>
      </c>
      <c r="Q16" s="430"/>
      <c r="R16" s="430"/>
      <c r="S16" s="431"/>
      <c r="T16" s="28"/>
      <c r="U16" s="71"/>
      <c r="V16" s="25"/>
    </row>
    <row r="17" spans="1:22" s="1" customFormat="1" ht="31.5" customHeight="1" thickBot="1" x14ac:dyDescent="0.25">
      <c r="A17" s="25"/>
      <c r="B17" s="286" t="s">
        <v>261</v>
      </c>
      <c r="C17" s="287"/>
      <c r="D17" s="287"/>
      <c r="E17" s="394"/>
      <c r="F17" s="172">
        <f>IFERROR(VLOOKUP(MID(B17,4,3),MMWR_TRAD_AGG_NATIONAL[],2,0),"--")</f>
        <v>160</v>
      </c>
      <c r="G17" s="173">
        <f>IFERROR(VLOOKUP(MID(B17,4,3),MMWR_TRAD_AGG_NATIONAL[],3,0),"--")</f>
        <v>120</v>
      </c>
      <c r="H17" s="174">
        <f t="shared" si="0"/>
        <v>0.75</v>
      </c>
      <c r="I17" s="25"/>
      <c r="J17" s="286" t="s">
        <v>282</v>
      </c>
      <c r="K17" s="394"/>
      <c r="L17" s="172">
        <f>IFERROR(VLOOKUP(MID(J17,4,3),MMWR_TRAD_AGG_NATIONAL[],2,0),"--")</f>
        <v>10837</v>
      </c>
      <c r="M17" s="173">
        <f>IFERROR(VLOOKUP(MID(J17,4,3),MMWR_TRAD_AGG_NATIONAL[],3,0),"--")</f>
        <v>2398</v>
      </c>
      <c r="N17" s="174">
        <f t="shared" si="1"/>
        <v>0.22127895173941128</v>
      </c>
      <c r="O17" s="72"/>
      <c r="P17" s="438" t="s">
        <v>253</v>
      </c>
      <c r="Q17" s="439"/>
      <c r="R17" s="439"/>
      <c r="S17" s="187">
        <f>IFERROR(VLOOKUP("160",MMWR_TRAD_AGG_NATIONAL[],2,0),"--")</f>
        <v>21152</v>
      </c>
      <c r="T17" s="28"/>
      <c r="U17" s="71"/>
      <c r="V17" s="25"/>
    </row>
    <row r="18" spans="1:22" s="1" customFormat="1" ht="32.25" customHeight="1" thickBot="1" x14ac:dyDescent="0.25">
      <c r="A18" s="25"/>
      <c r="B18" s="286" t="s">
        <v>262</v>
      </c>
      <c r="C18" s="287"/>
      <c r="D18" s="287"/>
      <c r="E18" s="394"/>
      <c r="F18" s="172">
        <f>IFERROR(VLOOKUP(MID(B18,4,3),MMWR_TRAD_AGG_NATIONAL[],2,0),"--")</f>
        <v>12</v>
      </c>
      <c r="G18" s="173">
        <f>IFERROR(VLOOKUP(MID(B18,4,3),MMWR_TRAD_AGG_NATIONAL[],3,0),"--")</f>
        <v>4</v>
      </c>
      <c r="H18" s="174">
        <f t="shared" si="0"/>
        <v>0.33333333333333331</v>
      </c>
      <c r="I18" s="68" t="s">
        <v>319</v>
      </c>
      <c r="J18" s="399" t="s">
        <v>15</v>
      </c>
      <c r="K18" s="400"/>
      <c r="L18" s="169">
        <f>SUM(L19:L21)</f>
        <v>813</v>
      </c>
      <c r="M18" s="169">
        <f>SUM(M19:M21)</f>
        <v>759</v>
      </c>
      <c r="N18" s="162">
        <f t="shared" ref="N18:N26" si="2">IF(M18="--", 0, M18/L18)</f>
        <v>0.93357933579335795</v>
      </c>
      <c r="O18" s="73"/>
      <c r="P18" s="440" t="s">
        <v>254</v>
      </c>
      <c r="Q18" s="441"/>
      <c r="R18" s="441"/>
      <c r="S18" s="188">
        <f>IFERROR(VLOOKUP("165",MMWR_TRAD_AGG_NATIONAL[],2,0),"--")</f>
        <v>9645</v>
      </c>
      <c r="T18" s="28"/>
      <c r="U18" s="71"/>
      <c r="V18" s="25"/>
    </row>
    <row r="19" spans="1:22" s="1" customFormat="1" ht="41.25" customHeight="1" x14ac:dyDescent="0.4">
      <c r="A19" s="25"/>
      <c r="B19" s="286" t="s">
        <v>263</v>
      </c>
      <c r="C19" s="287"/>
      <c r="D19" s="287"/>
      <c r="E19" s="394"/>
      <c r="F19" s="172">
        <f>IFERROR(VLOOKUP(MID(B19,4,3),MMWR_TRAD_AGG_NATIONAL[],2,0),"--")</f>
        <v>1</v>
      </c>
      <c r="G19" s="173">
        <f>IFERROR(VLOOKUP(MID(B19,4,3),MMWR_TRAD_AGG_NATIONAL[],3,0),"--")</f>
        <v>1</v>
      </c>
      <c r="H19" s="174">
        <f t="shared" si="0"/>
        <v>1</v>
      </c>
      <c r="I19" s="68" t="s">
        <v>319</v>
      </c>
      <c r="J19" s="286" t="s">
        <v>283</v>
      </c>
      <c r="K19" s="394"/>
      <c r="L19" s="172">
        <f>IFERROR(VLOOKUP(MID(J19,4,3),MMWR_TRAD_AGG_NATIONAL[],2,0),"--")</f>
        <v>537</v>
      </c>
      <c r="M19" s="173">
        <f>IFERROR(VLOOKUP(MID(J19,4,3),MMWR_TRAD_AGG_NATIONAL[],3,0),"--")</f>
        <v>527</v>
      </c>
      <c r="N19" s="174">
        <f t="shared" si="2"/>
        <v>0.98137802607076352</v>
      </c>
      <c r="O19" s="56"/>
      <c r="P19" s="25"/>
      <c r="Q19" s="25"/>
      <c r="R19" s="25"/>
      <c r="S19" s="25"/>
      <c r="T19" s="28"/>
      <c r="U19" s="71"/>
      <c r="V19" s="25"/>
    </row>
    <row r="20" spans="1:22" s="1" customFormat="1" ht="40.5" customHeight="1" x14ac:dyDescent="0.4">
      <c r="A20" s="25"/>
      <c r="B20" s="286" t="s">
        <v>264</v>
      </c>
      <c r="C20" s="287"/>
      <c r="D20" s="287"/>
      <c r="E20" s="394"/>
      <c r="F20" s="172">
        <f>IFERROR(VLOOKUP(MID(B20,4,3),MMWR_TRAD_AGG_NATIONAL[],2,0),"--")</f>
        <v>6</v>
      </c>
      <c r="G20" s="173">
        <f>IFERROR(VLOOKUP(MID(B20,4,3),MMWR_TRAD_AGG_NATIONAL[],3,0),"--")</f>
        <v>0</v>
      </c>
      <c r="H20" s="174">
        <f t="shared" si="0"/>
        <v>0</v>
      </c>
      <c r="I20" s="68" t="s">
        <v>319</v>
      </c>
      <c r="J20" s="286" t="s">
        <v>306</v>
      </c>
      <c r="K20" s="394"/>
      <c r="L20" s="172">
        <f>IFERROR(VLOOKUP(MID(J20,4,3),MMWR_TRAD_AGG_NATIONAL[],2,0),"--")</f>
        <v>249</v>
      </c>
      <c r="M20" s="173">
        <f>IFERROR(VLOOKUP(MID(J20,4,3),MMWR_TRAD_AGG_NATIONAL[],3,0),"--")</f>
        <v>226</v>
      </c>
      <c r="N20" s="174">
        <f t="shared" si="2"/>
        <v>0.90763052208835338</v>
      </c>
      <c r="O20" s="56"/>
      <c r="P20" s="56"/>
      <c r="Q20" s="56"/>
      <c r="R20" s="56"/>
      <c r="S20" s="56"/>
      <c r="T20" s="56"/>
      <c r="U20" s="74"/>
      <c r="V20" s="25"/>
    </row>
    <row r="21" spans="1:22" s="1" customFormat="1" ht="39" customHeight="1" thickBot="1" x14ac:dyDescent="0.45">
      <c r="A21" s="25"/>
      <c r="B21" s="286" t="s">
        <v>265</v>
      </c>
      <c r="C21" s="287"/>
      <c r="D21" s="287"/>
      <c r="E21" s="394"/>
      <c r="F21" s="172">
        <f>IFERROR(VLOOKUP(MID(B21,4,3),MMWR_TRAD_AGG_NATIONAL[],2,0),"--")</f>
        <v>5</v>
      </c>
      <c r="G21" s="173">
        <f>IFERROR(VLOOKUP(MID(B21,4,3),MMWR_TRAD_AGG_NATIONAL[],3,0),"--")</f>
        <v>0</v>
      </c>
      <c r="H21" s="174">
        <f t="shared" si="0"/>
        <v>0</v>
      </c>
      <c r="I21" s="68" t="s">
        <v>319</v>
      </c>
      <c r="J21" s="286" t="s">
        <v>284</v>
      </c>
      <c r="K21" s="394"/>
      <c r="L21" s="172">
        <f>IFERROR(VLOOKUP(MID(J21,4,3),MMWR_TRAD_AGG_NATIONAL[],2,0),"--")</f>
        <v>27</v>
      </c>
      <c r="M21" s="173">
        <f>IFERROR(VLOOKUP(MID(J21,4,3),MMWR_TRAD_AGG_NATIONAL[],3,0),"--")</f>
        <v>6</v>
      </c>
      <c r="N21" s="174">
        <f t="shared" si="2"/>
        <v>0.22222222222222221</v>
      </c>
      <c r="O21" s="56"/>
      <c r="P21" s="56"/>
      <c r="Q21" s="56"/>
      <c r="R21" s="56"/>
      <c r="S21" s="56"/>
      <c r="T21" s="56"/>
      <c r="U21" s="74"/>
      <c r="V21" s="25"/>
    </row>
    <row r="22" spans="1:22" s="1" customFormat="1" ht="32.25" customHeight="1" thickBot="1" x14ac:dyDescent="0.45">
      <c r="A22" s="25"/>
      <c r="B22" s="399" t="s">
        <v>13</v>
      </c>
      <c r="C22" s="400"/>
      <c r="D22" s="400"/>
      <c r="E22" s="400"/>
      <c r="F22" s="169">
        <f>SUM(F23:F29)</f>
        <v>500506</v>
      </c>
      <c r="G22" s="170">
        <f>SUM(G23:G29)</f>
        <v>303655</v>
      </c>
      <c r="H22" s="171">
        <f t="shared" si="0"/>
        <v>0.60669602362409247</v>
      </c>
      <c r="I22" s="25"/>
      <c r="J22" s="399" t="s">
        <v>232</v>
      </c>
      <c r="K22" s="400"/>
      <c r="L22" s="169">
        <f>SUM(L23:L26)</f>
        <v>4232</v>
      </c>
      <c r="M22" s="169">
        <f>SUM(M23:M26)</f>
        <v>993</v>
      </c>
      <c r="N22" s="162">
        <f t="shared" si="2"/>
        <v>0.23464083175803402</v>
      </c>
      <c r="O22" s="56"/>
      <c r="P22" s="25"/>
      <c r="Q22" s="25"/>
      <c r="R22" s="25"/>
      <c r="S22" s="25"/>
      <c r="T22" s="56"/>
      <c r="U22" s="74"/>
      <c r="V22" s="25"/>
    </row>
    <row r="23" spans="1:22" s="1" customFormat="1" ht="26.25" customHeight="1" x14ac:dyDescent="0.4">
      <c r="A23" s="25"/>
      <c r="B23" s="395" t="s">
        <v>266</v>
      </c>
      <c r="C23" s="396"/>
      <c r="D23" s="396"/>
      <c r="E23" s="397"/>
      <c r="F23" s="172">
        <f>IFERROR(VLOOKUP(MID(B23,4,3),MMWR_TRAD_AGG_NATIONAL[],2,0),"--")</f>
        <v>224040</v>
      </c>
      <c r="G23" s="173">
        <f>IFERROR(VLOOKUP(MID(B23,4,3),MMWR_TRAD_AGG_NATIONAL[],3,0),"--")</f>
        <v>159028</v>
      </c>
      <c r="H23" s="174">
        <f t="shared" si="0"/>
        <v>0.70981967505802535</v>
      </c>
      <c r="I23" s="25"/>
      <c r="J23" s="401" t="s">
        <v>287</v>
      </c>
      <c r="K23" s="403"/>
      <c r="L23" s="175">
        <f>IFERROR(VLOOKUP(MID(J23,4,3),MMWR_TRAD_AGG_NATIONAL[],2,0),"--")</f>
        <v>2821</v>
      </c>
      <c r="M23" s="176">
        <f>IFERROR(VLOOKUP(MID(J23,4,3),MMWR_TRAD_AGG_NATIONAL[],3,0),"--")</f>
        <v>572</v>
      </c>
      <c r="N23" s="177">
        <f t="shared" si="2"/>
        <v>0.20276497695852536</v>
      </c>
      <c r="O23" s="56"/>
      <c r="P23" s="25"/>
      <c r="Q23" s="25"/>
      <c r="R23" s="25"/>
      <c r="S23" s="25"/>
      <c r="T23" s="56"/>
      <c r="U23" s="74"/>
      <c r="V23" s="25"/>
    </row>
    <row r="24" spans="1:22" s="1" customFormat="1" ht="39.75" customHeight="1" x14ac:dyDescent="0.4">
      <c r="A24" s="25"/>
      <c r="B24" s="395" t="s">
        <v>267</v>
      </c>
      <c r="C24" s="396"/>
      <c r="D24" s="396"/>
      <c r="E24" s="397"/>
      <c r="F24" s="172">
        <f>IFERROR(VLOOKUP(MID(B24,4,3),MMWR_TRAD_AGG_NATIONAL[],2,0),"--")</f>
        <v>197</v>
      </c>
      <c r="G24" s="173">
        <f>IFERROR(VLOOKUP(MID(B24,4,3),MMWR_TRAD_AGG_NATIONAL[],3,0),"--")</f>
        <v>98</v>
      </c>
      <c r="H24" s="174">
        <f t="shared" si="0"/>
        <v>0.49746192893401014</v>
      </c>
      <c r="I24" s="25"/>
      <c r="J24" s="286" t="s">
        <v>286</v>
      </c>
      <c r="K24" s="394"/>
      <c r="L24" s="172">
        <f>IFERROR(VLOOKUP(MID(J24,4,3),MMWR_TRAD_AGG_NATIONAL[],2,0),"--")</f>
        <v>686</v>
      </c>
      <c r="M24" s="173">
        <f>IFERROR(VLOOKUP(MID(J24,4,3),MMWR_TRAD_AGG_NATIONAL[],3,0),"--")</f>
        <v>22</v>
      </c>
      <c r="N24" s="174">
        <f t="shared" si="2"/>
        <v>3.2069970845481049E-2</v>
      </c>
      <c r="O24" s="56"/>
      <c r="P24" s="25"/>
      <c r="Q24" s="25"/>
      <c r="R24" s="25"/>
      <c r="S24" s="25"/>
      <c r="T24" s="56"/>
      <c r="U24" s="74"/>
      <c r="V24" s="25"/>
    </row>
    <row r="25" spans="1:22" s="1" customFormat="1" ht="37.5" customHeight="1" x14ac:dyDescent="0.4">
      <c r="A25" s="25"/>
      <c r="B25" s="395" t="s">
        <v>268</v>
      </c>
      <c r="C25" s="396"/>
      <c r="D25" s="396"/>
      <c r="E25" s="397"/>
      <c r="F25" s="172">
        <f>IFERROR(VLOOKUP(MID(B25,4,3),MMWR_TRAD_AGG_NATIONAL[],2,0),"--")</f>
        <v>232</v>
      </c>
      <c r="G25" s="173">
        <f>IFERROR(VLOOKUP(MID(B25,4,3),MMWR_TRAD_AGG_NATIONAL[],3,0),"--")</f>
        <v>155</v>
      </c>
      <c r="H25" s="174">
        <f t="shared" si="0"/>
        <v>0.6681034482758621</v>
      </c>
      <c r="I25" s="25"/>
      <c r="J25" s="286" t="s">
        <v>285</v>
      </c>
      <c r="K25" s="394"/>
      <c r="L25" s="172">
        <f>IFERROR(VLOOKUP(MID(J25,4,3),MMWR_TRAD_AGG_NATIONAL[],2,0),"--")</f>
        <v>680</v>
      </c>
      <c r="M25" s="173">
        <f>IFERROR(VLOOKUP(MID(J25,4,3),MMWR_TRAD_AGG_NATIONAL[],3,0),"--")</f>
        <v>372</v>
      </c>
      <c r="N25" s="174">
        <f t="shared" si="2"/>
        <v>0.54705882352941182</v>
      </c>
      <c r="O25" s="56"/>
      <c r="P25" s="56"/>
      <c r="Q25" s="56"/>
      <c r="R25" s="56"/>
      <c r="S25" s="56"/>
      <c r="T25" s="56"/>
      <c r="U25" s="74"/>
      <c r="V25" s="25"/>
    </row>
    <row r="26" spans="1:22" s="1" customFormat="1" ht="37.5" customHeight="1" thickBot="1" x14ac:dyDescent="0.45">
      <c r="A26" s="25"/>
      <c r="B26" s="395" t="s">
        <v>269</v>
      </c>
      <c r="C26" s="396"/>
      <c r="D26" s="396"/>
      <c r="E26" s="397"/>
      <c r="F26" s="172">
        <f>IFERROR(VLOOKUP(MID(B26,4,3),MMWR_TRAD_AGG_NATIONAL[],2,0),"--")</f>
        <v>127245</v>
      </c>
      <c r="G26" s="173">
        <f>IFERROR(VLOOKUP(MID(B26,4,3),MMWR_TRAD_AGG_NATIONAL[],3,0),"--")</f>
        <v>87351</v>
      </c>
      <c r="H26" s="174">
        <f t="shared" si="0"/>
        <v>0.68647884003300719</v>
      </c>
      <c r="I26" s="56"/>
      <c r="J26" s="291" t="s">
        <v>322</v>
      </c>
      <c r="K26" s="398"/>
      <c r="L26" s="178">
        <f>IFERROR(VLOOKUP(MID(J26,4,3),MMWR_TRAD_AGG_NATIONAL[],2,0),"--")</f>
        <v>45</v>
      </c>
      <c r="M26" s="179">
        <f>IFERROR(VLOOKUP(MID(J26,4,3),MMWR_TRAD_AGG_NATIONAL[],3,0),"--")</f>
        <v>27</v>
      </c>
      <c r="N26" s="180">
        <f t="shared" si="2"/>
        <v>0.6</v>
      </c>
      <c r="O26" s="56"/>
      <c r="P26" s="56"/>
      <c r="Q26" s="56"/>
      <c r="R26" s="56"/>
      <c r="S26" s="56"/>
      <c r="T26" s="56"/>
      <c r="U26" s="74"/>
      <c r="V26" s="25"/>
    </row>
    <row r="27" spans="1:22" s="1" customFormat="1" ht="26.25" customHeight="1" thickBot="1" x14ac:dyDescent="0.45">
      <c r="A27" s="25"/>
      <c r="B27" s="395" t="s">
        <v>270</v>
      </c>
      <c r="C27" s="396"/>
      <c r="D27" s="396"/>
      <c r="E27" s="397"/>
      <c r="F27" s="172">
        <f>IFERROR(VLOOKUP(MID(B27,4,3),MMWR_TRAD_AGG_NATIONAL[],2,0),"--")</f>
        <v>29</v>
      </c>
      <c r="G27" s="173">
        <f>IFERROR(VLOOKUP(MID(B27,4,3),MMWR_TRAD_AGG_NATIONAL[],3,0),"--")</f>
        <v>5</v>
      </c>
      <c r="H27" s="174">
        <f t="shared" si="0"/>
        <v>0.17241379310344829</v>
      </c>
      <c r="I27" s="56"/>
      <c r="J27" s="56"/>
      <c r="K27" s="56"/>
      <c r="L27" s="56"/>
      <c r="M27" s="56"/>
      <c r="N27" s="56"/>
      <c r="O27" s="56"/>
      <c r="P27" s="56"/>
      <c r="Q27" s="56"/>
      <c r="R27" s="56"/>
      <c r="S27" s="56"/>
      <c r="T27" s="56"/>
      <c r="U27" s="74"/>
      <c r="V27" s="25"/>
    </row>
    <row r="28" spans="1:22" s="1" customFormat="1" ht="32.25" customHeight="1" x14ac:dyDescent="0.4">
      <c r="A28" s="25"/>
      <c r="B28" s="395" t="s">
        <v>271</v>
      </c>
      <c r="C28" s="396"/>
      <c r="D28" s="396"/>
      <c r="E28" s="397"/>
      <c r="F28" s="172">
        <f>IFERROR(VLOOKUP(MID(B28,4,3),MMWR_TRAD_AGG_NATIONAL[],2,0),"--")</f>
        <v>15792</v>
      </c>
      <c r="G28" s="173">
        <f>IFERROR(VLOOKUP(MID(B28,4,3),MMWR_TRAD_AGG_NATIONAL[],3,0),"--")</f>
        <v>2122</v>
      </c>
      <c r="H28" s="174">
        <f t="shared" si="0"/>
        <v>0.13437183383991894</v>
      </c>
      <c r="I28" s="68" t="s">
        <v>319</v>
      </c>
      <c r="J28" s="407" t="s">
        <v>321</v>
      </c>
      <c r="K28" s="408"/>
      <c r="L28" s="408"/>
      <c r="M28" s="408"/>
      <c r="N28" s="409"/>
      <c r="O28" s="442" t="s">
        <v>319</v>
      </c>
      <c r="P28" s="75"/>
      <c r="Q28" s="56"/>
      <c r="R28" s="56"/>
      <c r="S28" s="56"/>
      <c r="T28" s="56"/>
      <c r="U28" s="74"/>
      <c r="V28" s="25"/>
    </row>
    <row r="29" spans="1:22" s="1" customFormat="1" ht="27" customHeight="1" thickBot="1" x14ac:dyDescent="0.45">
      <c r="A29" s="25"/>
      <c r="B29" s="395" t="s">
        <v>272</v>
      </c>
      <c r="C29" s="396"/>
      <c r="D29" s="396"/>
      <c r="E29" s="397"/>
      <c r="F29" s="172">
        <f>IFERROR(VLOOKUP(MID(B29,4,3),MMWR_TRAD_AGG_NATIONAL[],2,0),"--")</f>
        <v>132971</v>
      </c>
      <c r="G29" s="173">
        <f>IFERROR(VLOOKUP(MID(B29,4,3),MMWR_TRAD_AGG_NATIONAL[],3,0),"--")</f>
        <v>54896</v>
      </c>
      <c r="H29" s="174">
        <f t="shared" si="0"/>
        <v>0.41284189785742759</v>
      </c>
      <c r="I29" s="56"/>
      <c r="J29" s="410"/>
      <c r="K29" s="411"/>
      <c r="L29" s="411"/>
      <c r="M29" s="411"/>
      <c r="N29" s="412"/>
      <c r="O29" s="442"/>
      <c r="P29" s="76"/>
      <c r="Q29" s="56"/>
      <c r="R29" s="56"/>
      <c r="S29" s="56"/>
      <c r="T29" s="56"/>
      <c r="U29" s="74"/>
      <c r="V29" s="25"/>
    </row>
    <row r="30" spans="1:22" s="1" customFormat="1" ht="32.25" customHeight="1" thickBot="1" x14ac:dyDescent="0.45">
      <c r="A30" s="25"/>
      <c r="B30" s="399" t="s">
        <v>32</v>
      </c>
      <c r="C30" s="400"/>
      <c r="D30" s="400"/>
      <c r="E30" s="400"/>
      <c r="F30" s="170">
        <f>SUM(F31:F37)</f>
        <v>86056</v>
      </c>
      <c r="G30" s="170">
        <f>SUM(G31:G37)</f>
        <v>66303</v>
      </c>
      <c r="H30" s="162">
        <f t="shared" si="0"/>
        <v>0.77046341916891325</v>
      </c>
      <c r="I30" s="56"/>
      <c r="J30" s="28"/>
      <c r="K30" s="28"/>
      <c r="L30" s="28"/>
      <c r="M30" s="28"/>
      <c r="N30" s="28"/>
      <c r="O30" s="28"/>
      <c r="P30" s="56"/>
      <c r="Q30" s="56"/>
      <c r="R30" s="56"/>
      <c r="S30" s="56"/>
      <c r="T30" s="56"/>
      <c r="U30" s="74"/>
      <c r="V30" s="25"/>
    </row>
    <row r="31" spans="1:22" s="1" customFormat="1" ht="33.75" customHeight="1" x14ac:dyDescent="0.4">
      <c r="A31" s="25"/>
      <c r="B31" s="286" t="s">
        <v>289</v>
      </c>
      <c r="C31" s="287"/>
      <c r="D31" s="287"/>
      <c r="E31" s="394"/>
      <c r="F31" s="172">
        <f>IFERROR(VLOOKUP(MID(B31,4,3),MMWR_TRAD_AGG_NATIONAL[],2,0),"--")</f>
        <v>47</v>
      </c>
      <c r="G31" s="173">
        <f>IFERROR(VLOOKUP(MID(B31,4,3),MMWR_TRAD_AGG_NATIONAL[],3,0),"--")</f>
        <v>47</v>
      </c>
      <c r="H31" s="174">
        <f t="shared" si="0"/>
        <v>1</v>
      </c>
      <c r="I31" s="56"/>
      <c r="J31" s="56"/>
      <c r="K31" s="56"/>
      <c r="L31" s="56"/>
      <c r="M31" s="56"/>
      <c r="N31" s="56"/>
      <c r="O31" s="56"/>
      <c r="P31" s="56"/>
      <c r="Q31" s="56"/>
      <c r="R31" s="56"/>
      <c r="S31" s="56"/>
      <c r="T31" s="56"/>
      <c r="U31" s="74"/>
      <c r="V31" s="25"/>
    </row>
    <row r="32" spans="1:22" s="1" customFormat="1" ht="32.25" customHeight="1" x14ac:dyDescent="0.4">
      <c r="A32" s="25"/>
      <c r="B32" s="286" t="s">
        <v>290</v>
      </c>
      <c r="C32" s="287"/>
      <c r="D32" s="287"/>
      <c r="E32" s="394"/>
      <c r="F32" s="172">
        <f>IFERROR(VLOOKUP(MID(B32,4,3),MMWR_TRAD_AGG_NATIONAL[],2,0),"--")</f>
        <v>51</v>
      </c>
      <c r="G32" s="173">
        <f>IFERROR(VLOOKUP(MID(B32,4,3),MMWR_TRAD_AGG_NATIONAL[],3,0),"--")</f>
        <v>51</v>
      </c>
      <c r="H32" s="174">
        <f t="shared" si="0"/>
        <v>1</v>
      </c>
      <c r="I32" s="56"/>
      <c r="J32" s="56"/>
      <c r="K32" s="56"/>
      <c r="L32" s="56"/>
      <c r="M32" s="56"/>
      <c r="N32" s="56"/>
      <c r="O32" s="56"/>
      <c r="P32" s="56"/>
      <c r="Q32" s="56"/>
      <c r="R32" s="56"/>
      <c r="S32" s="56"/>
      <c r="T32" s="56"/>
      <c r="U32" s="74"/>
      <c r="V32" s="25"/>
    </row>
    <row r="33" spans="1:22" s="1" customFormat="1" ht="32.25" customHeight="1" x14ac:dyDescent="0.4">
      <c r="A33" s="25"/>
      <c r="B33" s="286" t="s">
        <v>291</v>
      </c>
      <c r="C33" s="287"/>
      <c r="D33" s="287"/>
      <c r="E33" s="394"/>
      <c r="F33" s="172">
        <f>IFERROR(VLOOKUP(MID(B33,4,3),MMWR_TRAD_AGG_NATIONAL[],2,0),"--")</f>
        <v>703</v>
      </c>
      <c r="G33" s="173">
        <f>IFERROR(VLOOKUP(MID(B33,4,3),MMWR_TRAD_AGG_NATIONAL[],3,0),"--")</f>
        <v>636</v>
      </c>
      <c r="H33" s="174">
        <f t="shared" si="0"/>
        <v>0.90469416785206258</v>
      </c>
      <c r="I33" s="56"/>
      <c r="J33" s="56"/>
      <c r="K33" s="56"/>
      <c r="L33" s="28"/>
      <c r="M33" s="28"/>
      <c r="N33" s="28"/>
      <c r="O33" s="28"/>
      <c r="P33" s="28"/>
      <c r="Q33" s="28"/>
      <c r="R33" s="56"/>
      <c r="S33" s="56"/>
      <c r="T33" s="56"/>
      <c r="U33" s="74"/>
      <c r="V33" s="25"/>
    </row>
    <row r="34" spans="1:22" s="1" customFormat="1" ht="32.25" customHeight="1" x14ac:dyDescent="0.4">
      <c r="A34" s="25"/>
      <c r="B34" s="286" t="s">
        <v>292</v>
      </c>
      <c r="C34" s="287"/>
      <c r="D34" s="287"/>
      <c r="E34" s="394"/>
      <c r="F34" s="172">
        <f>IFERROR(VLOOKUP(MID(B34,4,3),MMWR_TRAD_AGG_NATIONAL[],2,0),"--")</f>
        <v>1518</v>
      </c>
      <c r="G34" s="173">
        <f>IFERROR(VLOOKUP(MID(B34,4,3),MMWR_TRAD_AGG_NATIONAL[],3,0),"--")</f>
        <v>392</v>
      </c>
      <c r="H34" s="174">
        <f t="shared" si="0"/>
        <v>0.25823451910408435</v>
      </c>
      <c r="I34" s="56"/>
      <c r="J34" s="56"/>
      <c r="K34" s="56"/>
      <c r="L34" s="28"/>
      <c r="M34" s="28"/>
      <c r="N34" s="28"/>
      <c r="O34" s="28"/>
      <c r="P34" s="28"/>
      <c r="Q34" s="28"/>
      <c r="R34" s="56"/>
      <c r="S34" s="56"/>
      <c r="T34" s="56"/>
      <c r="U34" s="74"/>
      <c r="V34" s="25"/>
    </row>
    <row r="35" spans="1:22" s="1" customFormat="1" ht="32.25" customHeight="1" x14ac:dyDescent="0.4">
      <c r="A35" s="25"/>
      <c r="B35" s="286" t="s">
        <v>293</v>
      </c>
      <c r="C35" s="287"/>
      <c r="D35" s="287"/>
      <c r="E35" s="394"/>
      <c r="F35" s="172">
        <f>IFERROR(VLOOKUP(MID(B35,4,3),MMWR_TRAD_AGG_NATIONAL[],2,0),"--")</f>
        <v>191</v>
      </c>
      <c r="G35" s="173">
        <f>IFERROR(VLOOKUP(MID(B35,4,3),MMWR_TRAD_AGG_NATIONAL[],3,0),"--")</f>
        <v>189</v>
      </c>
      <c r="H35" s="174">
        <f t="shared" si="0"/>
        <v>0.98952879581151831</v>
      </c>
      <c r="I35" s="56"/>
      <c r="J35" s="56"/>
      <c r="K35" s="56"/>
      <c r="L35" s="56"/>
      <c r="M35" s="56"/>
      <c r="N35" s="56"/>
      <c r="O35" s="56"/>
      <c r="P35" s="56"/>
      <c r="Q35" s="56"/>
      <c r="R35" s="56"/>
      <c r="S35" s="56"/>
      <c r="T35" s="56"/>
      <c r="U35" s="74"/>
      <c r="V35" s="25"/>
    </row>
    <row r="36" spans="1:22" s="1" customFormat="1" ht="32.25" customHeight="1" x14ac:dyDescent="0.4">
      <c r="A36" s="25"/>
      <c r="B36" s="286" t="s">
        <v>294</v>
      </c>
      <c r="C36" s="287"/>
      <c r="D36" s="287"/>
      <c r="E36" s="394"/>
      <c r="F36" s="172">
        <f>IFERROR(VLOOKUP(MID(B36,4,3),MMWR_TRAD_AGG_NATIONAL[],2,0),"--")</f>
        <v>18083</v>
      </c>
      <c r="G36" s="173">
        <f>IFERROR(VLOOKUP(MID(B36,4,3),MMWR_TRAD_AGG_NATIONAL[],3,0),"--")</f>
        <v>13175</v>
      </c>
      <c r="H36" s="174">
        <f t="shared" si="0"/>
        <v>0.7285848587070729</v>
      </c>
      <c r="I36" s="56"/>
      <c r="J36" s="56"/>
      <c r="K36" s="56"/>
      <c r="L36" s="56"/>
      <c r="M36" s="56"/>
      <c r="N36" s="56"/>
      <c r="O36" s="56"/>
      <c r="P36" s="56"/>
      <c r="Q36" s="56"/>
      <c r="R36" s="56"/>
      <c r="S36" s="56"/>
      <c r="T36" s="56"/>
      <c r="U36" s="74"/>
      <c r="V36" s="25"/>
    </row>
    <row r="37" spans="1:22" s="1" customFormat="1" ht="27" customHeight="1" thickBot="1" x14ac:dyDescent="0.45">
      <c r="A37" s="25"/>
      <c r="B37" s="286" t="s">
        <v>295</v>
      </c>
      <c r="C37" s="287"/>
      <c r="D37" s="287"/>
      <c r="E37" s="394"/>
      <c r="F37" s="172">
        <f>IFERROR(VLOOKUP(MID(B37,4,3)&amp;"G",MMWR_TRAD_AGG_NATIONAL[],2,0),"--")</f>
        <v>65463</v>
      </c>
      <c r="G37" s="173">
        <f>IFERROR(VLOOKUP(MID(B37,4,3)&amp;"G",MMWR_TRAD_AGG_NATIONAL[],3,0),"--")</f>
        <v>51813</v>
      </c>
      <c r="H37" s="174">
        <f t="shared" si="0"/>
        <v>0.79148526648641215</v>
      </c>
      <c r="I37" s="56"/>
      <c r="J37" s="56"/>
      <c r="K37" s="56"/>
      <c r="L37" s="56"/>
      <c r="M37" s="56"/>
      <c r="N37" s="56"/>
      <c r="O37" s="56"/>
      <c r="P37" s="56"/>
      <c r="Q37" s="56"/>
      <c r="R37" s="56"/>
      <c r="S37" s="56"/>
      <c r="T37" s="56"/>
      <c r="U37" s="74"/>
      <c r="V37" s="25"/>
    </row>
    <row r="38" spans="1:22" s="1" customFormat="1" ht="32.25" customHeight="1" thickBot="1" x14ac:dyDescent="0.45">
      <c r="A38" s="25"/>
      <c r="B38" s="399" t="s">
        <v>246</v>
      </c>
      <c r="C38" s="400"/>
      <c r="D38" s="400"/>
      <c r="E38" s="400"/>
      <c r="F38" s="169">
        <f>SUM(F39:F44)</f>
        <v>162123</v>
      </c>
      <c r="G38" s="170">
        <f>SUM(G39:G44)</f>
        <v>101522</v>
      </c>
      <c r="H38" s="171">
        <f t="shared" si="0"/>
        <v>0.62620356149343404</v>
      </c>
      <c r="I38" s="56"/>
      <c r="J38" s="56"/>
      <c r="K38" s="75"/>
      <c r="L38" s="75"/>
      <c r="M38" s="75"/>
      <c r="N38" s="75"/>
      <c r="O38" s="75"/>
      <c r="P38" s="56"/>
      <c r="Q38" s="56"/>
      <c r="R38" s="56"/>
      <c r="S38" s="56"/>
      <c r="T38" s="56"/>
      <c r="U38" s="74"/>
      <c r="V38" s="25"/>
    </row>
    <row r="39" spans="1:22" s="1" customFormat="1" ht="26.25" customHeight="1" x14ac:dyDescent="0.4">
      <c r="A39" s="25"/>
      <c r="B39" s="401" t="s">
        <v>296</v>
      </c>
      <c r="C39" s="402"/>
      <c r="D39" s="402"/>
      <c r="E39" s="403"/>
      <c r="F39" s="175">
        <f>IFERROR(VLOOKUP(MID(B39,4,3),MMWR_TRAD_AGG_NATIONAL[],2,0),"--")</f>
        <v>6669</v>
      </c>
      <c r="G39" s="176">
        <f>IFERROR(VLOOKUP(MID(B39,4,3),MMWR_TRAD_AGG_NATIONAL[],3,0),"--")</f>
        <v>5084</v>
      </c>
      <c r="H39" s="177">
        <f t="shared" si="0"/>
        <v>0.76233318338581502</v>
      </c>
      <c r="I39" s="56"/>
      <c r="J39" s="56"/>
      <c r="K39" s="75"/>
      <c r="L39" s="75"/>
      <c r="M39" s="75"/>
      <c r="N39" s="75"/>
      <c r="O39" s="75"/>
      <c r="P39" s="56"/>
      <c r="Q39" s="56"/>
      <c r="R39" s="56"/>
      <c r="S39" s="56"/>
      <c r="T39" s="56"/>
      <c r="U39" s="74"/>
      <c r="V39" s="25"/>
    </row>
    <row r="40" spans="1:22" s="1" customFormat="1" ht="26.25" customHeight="1" x14ac:dyDescent="0.4">
      <c r="A40" s="25"/>
      <c r="B40" s="286" t="s">
        <v>297</v>
      </c>
      <c r="C40" s="287"/>
      <c r="D40" s="287"/>
      <c r="E40" s="394"/>
      <c r="F40" s="172">
        <f>IFERROR(VLOOKUP(MID(B40,4,3),MMWR_TRAD_AGG_NATIONAL[],2,0),"--")</f>
        <v>110841</v>
      </c>
      <c r="G40" s="173">
        <f>IFERROR(VLOOKUP(MID(B40,4,3),MMWR_TRAD_AGG_NATIONAL[],3,0),"--")</f>
        <v>71825</v>
      </c>
      <c r="H40" s="174">
        <f t="shared" si="0"/>
        <v>0.64800028870183413</v>
      </c>
      <c r="I40" s="56"/>
      <c r="J40" s="56"/>
      <c r="K40" s="56"/>
      <c r="L40" s="56"/>
      <c r="M40" s="56"/>
      <c r="N40" s="56"/>
      <c r="O40" s="56"/>
      <c r="P40" s="56"/>
      <c r="Q40" s="56"/>
      <c r="R40" s="56"/>
      <c r="S40" s="56"/>
      <c r="T40" s="56"/>
      <c r="U40" s="74"/>
      <c r="V40" s="25"/>
    </row>
    <row r="41" spans="1:22" s="1" customFormat="1" ht="26.25" customHeight="1" x14ac:dyDescent="0.4">
      <c r="A41" s="25"/>
      <c r="B41" s="286" t="s">
        <v>298</v>
      </c>
      <c r="C41" s="287"/>
      <c r="D41" s="287"/>
      <c r="E41" s="394"/>
      <c r="F41" s="172">
        <f>IFERROR(VLOOKUP(MID(B41,4,3),MMWR_TRAD_AGG_NATIONAL[],2,0),"--")</f>
        <v>1652</v>
      </c>
      <c r="G41" s="173">
        <f>IFERROR(VLOOKUP(MID(B41,4,3),MMWR_TRAD_AGG_NATIONAL[],3,0),"--")</f>
        <v>494</v>
      </c>
      <c r="H41" s="174">
        <f t="shared" si="0"/>
        <v>0.2990314769975787</v>
      </c>
      <c r="I41" s="56"/>
      <c r="J41" s="56"/>
      <c r="K41" s="56"/>
      <c r="L41" s="56"/>
      <c r="M41" s="56"/>
      <c r="N41" s="56"/>
      <c r="O41" s="56"/>
      <c r="P41" s="56"/>
      <c r="Q41" s="56"/>
      <c r="R41" s="56"/>
      <c r="S41" s="56"/>
      <c r="T41" s="56"/>
      <c r="U41" s="74"/>
      <c r="V41" s="25"/>
    </row>
    <row r="42" spans="1:22" s="1" customFormat="1" ht="36" customHeight="1" x14ac:dyDescent="0.4">
      <c r="A42" s="25"/>
      <c r="B42" s="286" t="s">
        <v>299</v>
      </c>
      <c r="C42" s="287"/>
      <c r="D42" s="287"/>
      <c r="E42" s="394"/>
      <c r="F42" s="172">
        <f>IFERROR(VLOOKUP(MID(B42,4,3),MMWR_TRAD_AGG_NATIONAL[],2,0),"--")</f>
        <v>24709</v>
      </c>
      <c r="G42" s="173">
        <f>IFERROR(VLOOKUP(MID(B42,4,3),MMWR_TRAD_AGG_NATIONAL[],3,0),"--")</f>
        <v>8312</v>
      </c>
      <c r="H42" s="174">
        <f t="shared" si="0"/>
        <v>0.33639564531142496</v>
      </c>
      <c r="I42" s="56"/>
      <c r="J42" s="56"/>
      <c r="K42" s="56"/>
      <c r="L42" s="56"/>
      <c r="M42" s="56"/>
      <c r="N42" s="56"/>
      <c r="O42" s="56"/>
      <c r="P42" s="56"/>
      <c r="Q42" s="56"/>
      <c r="R42" s="56"/>
      <c r="S42" s="56"/>
      <c r="T42" s="56"/>
      <c r="U42" s="74"/>
      <c r="V42" s="25"/>
    </row>
    <row r="43" spans="1:22" s="1" customFormat="1" ht="33" customHeight="1" x14ac:dyDescent="0.4">
      <c r="A43" s="25"/>
      <c r="B43" s="286" t="s">
        <v>300</v>
      </c>
      <c r="C43" s="287"/>
      <c r="D43" s="287"/>
      <c r="E43" s="394"/>
      <c r="F43" s="172">
        <f>IFERROR(VLOOKUP(MID(B43,4,3),MMWR_TRAD_AGG_NATIONAL[],2,0),"--")</f>
        <v>17704</v>
      </c>
      <c r="G43" s="173">
        <f>IFERROR(VLOOKUP(MID(B43,4,3),MMWR_TRAD_AGG_NATIONAL[],3,0),"--")</f>
        <v>15335</v>
      </c>
      <c r="H43" s="174">
        <f t="shared" si="0"/>
        <v>0.86618843199276996</v>
      </c>
      <c r="I43" s="56"/>
      <c r="J43" s="56"/>
      <c r="K43" s="56"/>
      <c r="L43" s="56"/>
      <c r="M43" s="56"/>
      <c r="N43" s="56"/>
      <c r="O43" s="56"/>
      <c r="P43" s="56"/>
      <c r="Q43" s="56"/>
      <c r="R43" s="56"/>
      <c r="S43" s="56"/>
      <c r="T43" s="56"/>
      <c r="U43" s="74"/>
      <c r="V43" s="25"/>
    </row>
    <row r="44" spans="1:22" s="1" customFormat="1" ht="27" customHeight="1" thickBot="1" x14ac:dyDescent="0.45">
      <c r="A44" s="25"/>
      <c r="B44" s="291" t="s">
        <v>301</v>
      </c>
      <c r="C44" s="292"/>
      <c r="D44" s="292"/>
      <c r="E44" s="398"/>
      <c r="F44" s="178">
        <f>IFERROR(VLOOKUP(MID(B44,4,3),MMWR_TRAD_AGG_NATIONAL[],2,0),"--")</f>
        <v>548</v>
      </c>
      <c r="G44" s="179">
        <f>IFERROR(VLOOKUP(MID(B44,4,3),MMWR_TRAD_AGG_NATIONAL[],3,0),"--")</f>
        <v>472</v>
      </c>
      <c r="H44" s="180">
        <f t="shared" si="0"/>
        <v>0.86131386861313863</v>
      </c>
      <c r="I44" s="77"/>
      <c r="J44" s="77"/>
      <c r="K44" s="77"/>
      <c r="L44" s="77"/>
      <c r="M44" s="77"/>
      <c r="N44" s="77"/>
      <c r="O44" s="77"/>
      <c r="P44" s="77"/>
      <c r="Q44" s="77"/>
      <c r="R44" s="77"/>
      <c r="S44" s="77"/>
      <c r="T44" s="77"/>
      <c r="U44" s="78"/>
      <c r="V44" s="25"/>
    </row>
    <row r="45" spans="1:22" s="1" customFormat="1" ht="15" customHeight="1" x14ac:dyDescent="0.2">
      <c r="A45" s="28"/>
      <c r="B45" s="28"/>
      <c r="C45" s="28"/>
      <c r="D45" s="28"/>
      <c r="E45" s="28"/>
      <c r="F45" s="28"/>
      <c r="G45" s="28"/>
      <c r="H45" s="28"/>
      <c r="I45" s="28"/>
      <c r="J45" s="28"/>
      <c r="K45" s="28"/>
      <c r="L45" s="28"/>
      <c r="M45" s="28"/>
      <c r="N45" s="28"/>
      <c r="O45" s="28"/>
      <c r="P45" s="28"/>
      <c r="Q45" s="28"/>
      <c r="R45" s="28"/>
      <c r="S45" s="28"/>
      <c r="T45" s="28"/>
      <c r="U45" s="28"/>
      <c r="V45" s="28"/>
    </row>
    <row r="46" spans="1:22" hidden="1" x14ac:dyDescent="0.2"/>
  </sheetData>
  <sheetProtection password="BD20" sheet="1" autoFilter="0"/>
  <mergeCells count="87">
    <mergeCell ref="S9:T9"/>
    <mergeCell ref="S10:T10"/>
    <mergeCell ref="S11:T11"/>
    <mergeCell ref="S12:T12"/>
    <mergeCell ref="P12:Q12"/>
    <mergeCell ref="P10:Q10"/>
    <mergeCell ref="P9:Q9"/>
    <mergeCell ref="J9:K9"/>
    <mergeCell ref="J13:K13"/>
    <mergeCell ref="B9:E9"/>
    <mergeCell ref="J14:K14"/>
    <mergeCell ref="J15:K15"/>
    <mergeCell ref="B10:E10"/>
    <mergeCell ref="B12:E12"/>
    <mergeCell ref="B13:E13"/>
    <mergeCell ref="B18:E18"/>
    <mergeCell ref="B19:E19"/>
    <mergeCell ref="P16:S16"/>
    <mergeCell ref="J10:K10"/>
    <mergeCell ref="J11:K11"/>
    <mergeCell ref="J16:K16"/>
    <mergeCell ref="P13:R13"/>
    <mergeCell ref="S13:U13"/>
    <mergeCell ref="P11:Q11"/>
    <mergeCell ref="B14:E14"/>
    <mergeCell ref="B15:E15"/>
    <mergeCell ref="J12:K12"/>
    <mergeCell ref="B20:E20"/>
    <mergeCell ref="B17:E17"/>
    <mergeCell ref="P17:R17"/>
    <mergeCell ref="P18:R18"/>
    <mergeCell ref="O28:O29"/>
    <mergeCell ref="J19:K19"/>
    <mergeCell ref="J20:K20"/>
    <mergeCell ref="J17:K17"/>
    <mergeCell ref="J18:K18"/>
    <mergeCell ref="B21:E21"/>
    <mergeCell ref="B22:E22"/>
    <mergeCell ref="B23:E23"/>
    <mergeCell ref="J25:K25"/>
    <mergeCell ref="J24:K24"/>
    <mergeCell ref="J22:K22"/>
    <mergeCell ref="J23:K23"/>
    <mergeCell ref="B2:U2"/>
    <mergeCell ref="B6:E6"/>
    <mergeCell ref="B4:U4"/>
    <mergeCell ref="B3:U3"/>
    <mergeCell ref="B8:E8"/>
    <mergeCell ref="B7:E7"/>
    <mergeCell ref="J5:N5"/>
    <mergeCell ref="B5:H5"/>
    <mergeCell ref="P5:U5"/>
    <mergeCell ref="P6:Q6"/>
    <mergeCell ref="J7:K7"/>
    <mergeCell ref="J8:K8"/>
    <mergeCell ref="S6:T6"/>
    <mergeCell ref="P7:Q7"/>
    <mergeCell ref="P8:Q8"/>
    <mergeCell ref="S7:T7"/>
    <mergeCell ref="S8:T8"/>
    <mergeCell ref="J6:K6"/>
    <mergeCell ref="B35:E35"/>
    <mergeCell ref="J26:K26"/>
    <mergeCell ref="J28:N29"/>
    <mergeCell ref="B28:E28"/>
    <mergeCell ref="B29:E29"/>
    <mergeCell ref="B30:E30"/>
    <mergeCell ref="B31:E31"/>
    <mergeCell ref="B33:E33"/>
    <mergeCell ref="B34:E34"/>
    <mergeCell ref="B32:E32"/>
    <mergeCell ref="B27:E27"/>
    <mergeCell ref="B26:E26"/>
    <mergeCell ref="B16:E16"/>
    <mergeCell ref="B11:E11"/>
    <mergeCell ref="J21:K21"/>
    <mergeCell ref="B24:E24"/>
    <mergeCell ref="B25:E25"/>
    <mergeCell ref="B44:E44"/>
    <mergeCell ref="B42:E42"/>
    <mergeCell ref="B43:E43"/>
    <mergeCell ref="B36:E36"/>
    <mergeCell ref="B41:E41"/>
    <mergeCell ref="B38:E38"/>
    <mergeCell ref="B39:E39"/>
    <mergeCell ref="B37:E37"/>
    <mergeCell ref="B40:E40"/>
  </mergeCells>
  <conditionalFormatting sqref="H30">
    <cfRule type="expression" dxfId="417" priority="89" stopIfTrue="1">
      <formula>ISERROR(H30)</formula>
    </cfRule>
  </conditionalFormatting>
  <conditionalFormatting sqref="J8">
    <cfRule type="expression" dxfId="416" priority="83" stopIfTrue="1">
      <formula>ISERROR(J8)</formula>
    </cfRule>
  </conditionalFormatting>
  <conditionalFormatting sqref="J10">
    <cfRule type="expression" dxfId="415" priority="79" stopIfTrue="1">
      <formula>ISERROR(J10)</formula>
    </cfRule>
  </conditionalFormatting>
  <conditionalFormatting sqref="N11">
    <cfRule type="expression" dxfId="414" priority="76" stopIfTrue="1">
      <formula>ISERROR(N11)</formula>
    </cfRule>
  </conditionalFormatting>
  <conditionalFormatting sqref="N18">
    <cfRule type="expression" dxfId="413" priority="75" stopIfTrue="1">
      <formula>ISERROR(N18)</formula>
    </cfRule>
  </conditionalFormatting>
  <conditionalFormatting sqref="N22">
    <cfRule type="expression" dxfId="412" priority="73" stopIfTrue="1">
      <formula>ISERROR(N22)</formula>
    </cfRule>
  </conditionalFormatting>
  <conditionalFormatting sqref="F6">
    <cfRule type="expression" dxfId="411" priority="58" stopIfTrue="1">
      <formula>ISERROR(F6)</formula>
    </cfRule>
  </conditionalFormatting>
  <conditionalFormatting sqref="L6">
    <cfRule type="expression" dxfId="410" priority="57" stopIfTrue="1">
      <formula>ISERROR(L6)</formula>
    </cfRule>
  </conditionalFormatting>
  <conditionalFormatting sqref="R6">
    <cfRule type="expression" dxfId="409" priority="51" stopIfTrue="1">
      <formula>ISERROR(R6)</formula>
    </cfRule>
  </conditionalFormatting>
  <conditionalFormatting sqref="U6">
    <cfRule type="expression" dxfId="408" priority="50" stopIfTrue="1">
      <formula>ISERROR(U6)</formula>
    </cfRule>
  </conditionalFormatting>
  <conditionalFormatting sqref="H8">
    <cfRule type="expression" dxfId="407" priority="49" stopIfTrue="1">
      <formula>ISERROR(H8)</formula>
    </cfRule>
  </conditionalFormatting>
  <conditionalFormatting sqref="H9">
    <cfRule type="expression" dxfId="406" priority="48" stopIfTrue="1">
      <formula>ISERROR(H9)</formula>
    </cfRule>
  </conditionalFormatting>
  <conditionalFormatting sqref="H10">
    <cfRule type="expression" dxfId="405" priority="47" stopIfTrue="1">
      <formula>ISERROR(H10)</formula>
    </cfRule>
  </conditionalFormatting>
  <conditionalFormatting sqref="H12">
    <cfRule type="expression" dxfId="404" priority="46" stopIfTrue="1">
      <formula>ISERROR(H12)</formula>
    </cfRule>
  </conditionalFormatting>
  <conditionalFormatting sqref="H13">
    <cfRule type="expression" dxfId="403" priority="45" stopIfTrue="1">
      <formula>ISERROR(H13)</formula>
    </cfRule>
  </conditionalFormatting>
  <conditionalFormatting sqref="H15">
    <cfRule type="expression" dxfId="402" priority="44" stopIfTrue="1">
      <formula>ISERROR(H15)</formula>
    </cfRule>
  </conditionalFormatting>
  <conditionalFormatting sqref="H16">
    <cfRule type="expression" dxfId="401" priority="43" stopIfTrue="1">
      <formula>ISERROR(H16)</formula>
    </cfRule>
  </conditionalFormatting>
  <conditionalFormatting sqref="H17">
    <cfRule type="expression" dxfId="400" priority="42" stopIfTrue="1">
      <formula>ISERROR(H17)</formula>
    </cfRule>
  </conditionalFormatting>
  <conditionalFormatting sqref="H18">
    <cfRule type="expression" dxfId="399" priority="41" stopIfTrue="1">
      <formula>ISERROR(H18)</formula>
    </cfRule>
  </conditionalFormatting>
  <conditionalFormatting sqref="H19">
    <cfRule type="expression" dxfId="398" priority="40" stopIfTrue="1">
      <formula>ISERROR(H19)</formula>
    </cfRule>
  </conditionalFormatting>
  <conditionalFormatting sqref="H20">
    <cfRule type="expression" dxfId="397" priority="38" stopIfTrue="1">
      <formula>ISERROR(H20)</formula>
    </cfRule>
  </conditionalFormatting>
  <conditionalFormatting sqref="H21">
    <cfRule type="expression" dxfId="396" priority="37" stopIfTrue="1">
      <formula>ISERROR(H21)</formula>
    </cfRule>
  </conditionalFormatting>
  <conditionalFormatting sqref="H23">
    <cfRule type="expression" dxfId="395" priority="36" stopIfTrue="1">
      <formula>ISERROR(H23)</formula>
    </cfRule>
  </conditionalFormatting>
  <conditionalFormatting sqref="H24">
    <cfRule type="expression" dxfId="394" priority="35" stopIfTrue="1">
      <formula>ISERROR(H24)</formula>
    </cfRule>
  </conditionalFormatting>
  <conditionalFormatting sqref="H25">
    <cfRule type="expression" dxfId="393" priority="34" stopIfTrue="1">
      <formula>ISERROR(H25)</formula>
    </cfRule>
  </conditionalFormatting>
  <conditionalFormatting sqref="H26">
    <cfRule type="expression" dxfId="392" priority="33" stopIfTrue="1">
      <formula>ISERROR(H26)</formula>
    </cfRule>
  </conditionalFormatting>
  <conditionalFormatting sqref="H27">
    <cfRule type="expression" dxfId="391" priority="32" stopIfTrue="1">
      <formula>ISERROR(H27)</formula>
    </cfRule>
  </conditionalFormatting>
  <conditionalFormatting sqref="H28">
    <cfRule type="expression" dxfId="390" priority="31" stopIfTrue="1">
      <formula>ISERROR(H28)</formula>
    </cfRule>
  </conditionalFormatting>
  <conditionalFormatting sqref="H29">
    <cfRule type="expression" dxfId="389" priority="30" stopIfTrue="1">
      <formula>ISERROR(H29)</formula>
    </cfRule>
  </conditionalFormatting>
  <conditionalFormatting sqref="H31">
    <cfRule type="expression" dxfId="388" priority="29" stopIfTrue="1">
      <formula>ISERROR(H31)</formula>
    </cfRule>
  </conditionalFormatting>
  <conditionalFormatting sqref="H32">
    <cfRule type="expression" dxfId="387" priority="28" stopIfTrue="1">
      <formula>ISERROR(H32)</formula>
    </cfRule>
  </conditionalFormatting>
  <conditionalFormatting sqref="H33">
    <cfRule type="expression" dxfId="386" priority="27" stopIfTrue="1">
      <formula>ISERROR(H33)</formula>
    </cfRule>
  </conditionalFormatting>
  <conditionalFormatting sqref="H34">
    <cfRule type="expression" dxfId="385" priority="26" stopIfTrue="1">
      <formula>ISERROR(H34)</formula>
    </cfRule>
  </conditionalFormatting>
  <conditionalFormatting sqref="H35">
    <cfRule type="expression" dxfId="384" priority="25" stopIfTrue="1">
      <formula>ISERROR(H35)</formula>
    </cfRule>
  </conditionalFormatting>
  <conditionalFormatting sqref="H36">
    <cfRule type="expression" dxfId="383" priority="24" stopIfTrue="1">
      <formula>ISERROR(H36)</formula>
    </cfRule>
  </conditionalFormatting>
  <conditionalFormatting sqref="H37">
    <cfRule type="expression" dxfId="382" priority="23" stopIfTrue="1">
      <formula>ISERROR(H37)</formula>
    </cfRule>
  </conditionalFormatting>
  <conditionalFormatting sqref="H39">
    <cfRule type="expression" dxfId="381" priority="22" stopIfTrue="1">
      <formula>ISERROR(H39)</formula>
    </cfRule>
  </conditionalFormatting>
  <conditionalFormatting sqref="H40">
    <cfRule type="expression" dxfId="380" priority="21" stopIfTrue="1">
      <formula>ISERROR(H40)</formula>
    </cfRule>
  </conditionalFormatting>
  <conditionalFormatting sqref="H41">
    <cfRule type="expression" dxfId="379" priority="20" stopIfTrue="1">
      <formula>ISERROR(H41)</formula>
    </cfRule>
  </conditionalFormatting>
  <conditionalFormatting sqref="H42">
    <cfRule type="expression" dxfId="378" priority="19" stopIfTrue="1">
      <formula>ISERROR(H42)</formula>
    </cfRule>
  </conditionalFormatting>
  <conditionalFormatting sqref="H43">
    <cfRule type="expression" dxfId="377" priority="18" stopIfTrue="1">
      <formula>ISERROR(H43)</formula>
    </cfRule>
  </conditionalFormatting>
  <conditionalFormatting sqref="H44">
    <cfRule type="expression" dxfId="376" priority="17" stopIfTrue="1">
      <formula>ISERROR(H44)</formula>
    </cfRule>
  </conditionalFormatting>
  <conditionalFormatting sqref="N8">
    <cfRule type="expression" dxfId="375" priority="16" stopIfTrue="1">
      <formula>ISERROR(N8)</formula>
    </cfRule>
  </conditionalFormatting>
  <conditionalFormatting sqref="N9">
    <cfRule type="expression" dxfId="374" priority="15" stopIfTrue="1">
      <formula>ISERROR(N9)</formula>
    </cfRule>
  </conditionalFormatting>
  <conditionalFormatting sqref="N10">
    <cfRule type="expression" dxfId="373" priority="14" stopIfTrue="1">
      <formula>ISERROR(N10)</formula>
    </cfRule>
  </conditionalFormatting>
  <conditionalFormatting sqref="N12">
    <cfRule type="expression" dxfId="372" priority="13" stopIfTrue="1">
      <formula>ISERROR(N12)</formula>
    </cfRule>
  </conditionalFormatting>
  <conditionalFormatting sqref="N13">
    <cfRule type="expression" dxfId="371" priority="12" stopIfTrue="1">
      <formula>ISERROR(N13)</formula>
    </cfRule>
  </conditionalFormatting>
  <conditionalFormatting sqref="N14">
    <cfRule type="expression" dxfId="370" priority="11" stopIfTrue="1">
      <formula>ISERROR(N14)</formula>
    </cfRule>
  </conditionalFormatting>
  <conditionalFormatting sqref="N15">
    <cfRule type="expression" dxfId="369" priority="10" stopIfTrue="1">
      <formula>ISERROR(N15)</formula>
    </cfRule>
  </conditionalFormatting>
  <conditionalFormatting sqref="N16">
    <cfRule type="expression" dxfId="368" priority="9" stopIfTrue="1">
      <formula>ISERROR(N16)</formula>
    </cfRule>
  </conditionalFormatting>
  <conditionalFormatting sqref="N17">
    <cfRule type="expression" dxfId="367" priority="8" stopIfTrue="1">
      <formula>ISERROR(N17)</formula>
    </cfRule>
  </conditionalFormatting>
  <conditionalFormatting sqref="N19">
    <cfRule type="expression" dxfId="366" priority="7" stopIfTrue="1">
      <formula>ISERROR(N19)</formula>
    </cfRule>
  </conditionalFormatting>
  <conditionalFormatting sqref="N20">
    <cfRule type="expression" dxfId="365" priority="6" stopIfTrue="1">
      <formula>ISERROR(N20)</formula>
    </cfRule>
  </conditionalFormatting>
  <conditionalFormatting sqref="N21">
    <cfRule type="expression" dxfId="364" priority="5" stopIfTrue="1">
      <formula>ISERROR(N21)</formula>
    </cfRule>
  </conditionalFormatting>
  <conditionalFormatting sqref="N23">
    <cfRule type="expression" dxfId="363" priority="4" stopIfTrue="1">
      <formula>ISERROR(N23)</formula>
    </cfRule>
  </conditionalFormatting>
  <conditionalFormatting sqref="N24">
    <cfRule type="expression" dxfId="362" priority="3" stopIfTrue="1">
      <formula>ISERROR(N24)</formula>
    </cfRule>
  </conditionalFormatting>
  <conditionalFormatting sqref="N25">
    <cfRule type="expression" dxfId="361" priority="2" stopIfTrue="1">
      <formula>ISERROR(N25)</formula>
    </cfRule>
  </conditionalFormatting>
  <conditionalFormatting sqref="N26">
    <cfRule type="expression" dxfId="360" priority="1" stopIfTrue="1">
      <formula>ISERROR(N26)</formula>
    </cfRule>
  </conditionalFormatting>
  <printOptions horizontalCentered="1" verticalCentered="1"/>
  <pageMargins left="0.25" right="0.25" top="0.75" bottom="0.75" header="0.3" footer="0.3"/>
  <pageSetup scale="43"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9" max="21" man="1"/>
  </rowBreaks>
  <ignoredErrors>
    <ignoredError sqref="F11:G11 F14:G14 L18:M18 F22:G22 L22:M22 F30:G30" formula="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80"/>
  <sheetViews>
    <sheetView zoomScale="70" zoomScaleNormal="70" workbookViewId="0">
      <pane ySplit="4" topLeftCell="A5" activePane="bottomLeft" state="frozen"/>
      <selection pane="bottomLeft"/>
    </sheetView>
  </sheetViews>
  <sheetFormatPr defaultColWidth="0" defaultRowHeight="12.75" zeroHeight="1" x14ac:dyDescent="0.2"/>
  <cols>
    <col min="1" max="1" width="2.85546875" customWidth="1"/>
    <col min="2" max="2" width="22.5703125" bestFit="1" customWidth="1"/>
    <col min="3" max="19" width="12.85546875" customWidth="1"/>
    <col min="20" max="20" width="2.85546875" customWidth="1"/>
    <col min="21" max="16384" width="9.140625" hidden="1"/>
  </cols>
  <sheetData>
    <row r="1" spans="1:20" x14ac:dyDescent="0.2">
      <c r="A1" s="25"/>
      <c r="B1" s="26"/>
      <c r="C1" s="79">
        <v>2</v>
      </c>
      <c r="D1" s="79">
        <v>3</v>
      </c>
      <c r="E1" s="80">
        <v>4</v>
      </c>
      <c r="F1" s="80">
        <v>5</v>
      </c>
      <c r="G1" s="80"/>
      <c r="H1" s="80">
        <v>6</v>
      </c>
      <c r="I1" s="80">
        <v>7</v>
      </c>
      <c r="J1" s="80"/>
      <c r="K1" s="80">
        <v>8</v>
      </c>
      <c r="L1" s="80">
        <v>9</v>
      </c>
      <c r="M1" s="80"/>
      <c r="N1" s="80">
        <v>10</v>
      </c>
      <c r="O1" s="80">
        <v>11</v>
      </c>
      <c r="P1" s="80"/>
      <c r="Q1" s="80">
        <v>12</v>
      </c>
      <c r="R1" s="80">
        <v>13</v>
      </c>
      <c r="S1" s="80">
        <v>2</v>
      </c>
      <c r="T1" s="25"/>
    </row>
    <row r="2" spans="1:20" ht="26.25" x14ac:dyDescent="0.4">
      <c r="A2" s="25"/>
      <c r="B2" s="26"/>
      <c r="C2" s="451" t="str">
        <f>UPPER("INVENTORY BY REGIONAL OFFICE "&amp;Transformation!B4)</f>
        <v>INVENTORY BY REGIONAL OFFICE AS OF: SEPTEMBER 05, 2015</v>
      </c>
      <c r="D2" s="452"/>
      <c r="E2" s="452"/>
      <c r="F2" s="452"/>
      <c r="G2" s="452"/>
      <c r="H2" s="452"/>
      <c r="I2" s="452"/>
      <c r="J2" s="452"/>
      <c r="K2" s="452"/>
      <c r="L2" s="452"/>
      <c r="M2" s="452"/>
      <c r="N2" s="452"/>
      <c r="O2" s="452"/>
      <c r="P2" s="452"/>
      <c r="Q2" s="452"/>
      <c r="R2" s="452"/>
      <c r="S2" s="453"/>
      <c r="T2" s="25"/>
    </row>
    <row r="3" spans="1:20" x14ac:dyDescent="0.2">
      <c r="A3" s="25"/>
      <c r="B3" s="26"/>
      <c r="C3" s="454" t="s">
        <v>233</v>
      </c>
      <c r="D3" s="455"/>
      <c r="E3" s="456" t="s">
        <v>213</v>
      </c>
      <c r="F3" s="457"/>
      <c r="G3" s="458"/>
      <c r="H3" s="456" t="s">
        <v>7</v>
      </c>
      <c r="I3" s="457"/>
      <c r="J3" s="458"/>
      <c r="K3" s="456" t="s">
        <v>33</v>
      </c>
      <c r="L3" s="457"/>
      <c r="M3" s="458"/>
      <c r="N3" s="456" t="s">
        <v>8</v>
      </c>
      <c r="O3" s="457"/>
      <c r="P3" s="458"/>
      <c r="Q3" s="81" t="s">
        <v>9</v>
      </c>
      <c r="R3" s="82" t="s">
        <v>10</v>
      </c>
      <c r="S3" s="82" t="s">
        <v>11</v>
      </c>
      <c r="T3" s="25"/>
    </row>
    <row r="4" spans="1:20" ht="38.25" x14ac:dyDescent="0.2">
      <c r="A4" s="83"/>
      <c r="B4" s="54"/>
      <c r="C4" s="84" t="s">
        <v>12</v>
      </c>
      <c r="D4" s="85" t="s">
        <v>140</v>
      </c>
      <c r="E4" s="86" t="s">
        <v>12</v>
      </c>
      <c r="F4" s="87" t="s">
        <v>3</v>
      </c>
      <c r="G4" s="88" t="s">
        <v>4</v>
      </c>
      <c r="H4" s="86" t="s">
        <v>12</v>
      </c>
      <c r="I4" s="87" t="s">
        <v>3</v>
      </c>
      <c r="J4" s="88" t="s">
        <v>4</v>
      </c>
      <c r="K4" s="86" t="s">
        <v>12</v>
      </c>
      <c r="L4" s="87" t="s">
        <v>3</v>
      </c>
      <c r="M4" s="88" t="s">
        <v>4</v>
      </c>
      <c r="N4" s="86" t="s">
        <v>12</v>
      </c>
      <c r="O4" s="87" t="s">
        <v>3</v>
      </c>
      <c r="P4" s="88" t="s">
        <v>4</v>
      </c>
      <c r="Q4" s="89" t="s">
        <v>12</v>
      </c>
      <c r="R4" s="89" t="s">
        <v>12</v>
      </c>
      <c r="S4" s="90" t="s">
        <v>498</v>
      </c>
      <c r="T4" s="91"/>
    </row>
    <row r="5" spans="1:20" ht="26.25" x14ac:dyDescent="0.4">
      <c r="A5" s="25"/>
      <c r="B5" s="26"/>
      <c r="C5" s="451" t="s">
        <v>496</v>
      </c>
      <c r="D5" s="452"/>
      <c r="E5" s="452"/>
      <c r="F5" s="452"/>
      <c r="G5" s="452"/>
      <c r="H5" s="452"/>
      <c r="I5" s="452"/>
      <c r="J5" s="452"/>
      <c r="K5" s="452"/>
      <c r="L5" s="452"/>
      <c r="M5" s="452"/>
      <c r="N5" s="452"/>
      <c r="O5" s="452"/>
      <c r="P5" s="452"/>
      <c r="Q5" s="452"/>
      <c r="R5" s="452"/>
      <c r="S5" s="453"/>
      <c r="T5" s="25"/>
    </row>
    <row r="6" spans="1:20" x14ac:dyDescent="0.2">
      <c r="A6" s="92"/>
      <c r="B6" s="93" t="s">
        <v>471</v>
      </c>
      <c r="C6" s="211">
        <f>IFERROR(VLOOKUP($B6,MMWR_TRAD_AGG_DISTRICT_COMP[],C$1,0),"ERROR")</f>
        <v>351544</v>
      </c>
      <c r="D6" s="189">
        <f>IFERROR(VLOOKUP($B6,MMWR_TRAD_AGG_DISTRICT_COMP[],D$1,0),"ERROR")</f>
        <v>372.19478073869999</v>
      </c>
      <c r="E6" s="197">
        <f>IFERROR(VLOOKUP($B6,MMWR_TRAD_AGG_DISTRICT_COMP[],E$1,0),"ERROR")</f>
        <v>340206</v>
      </c>
      <c r="F6" s="191">
        <f>IFERROR(VLOOKUP($B6,MMWR_TRAD_AGG_DISTRICT_COMP[],F$1,0),"ERROR")</f>
        <v>89816</v>
      </c>
      <c r="G6" s="214">
        <f t="shared" ref="G6:G69" si="0">IFERROR(F6/E6,"0%")</f>
        <v>0.26400475006319701</v>
      </c>
      <c r="H6" s="190">
        <f>IFERROR(VLOOKUP($B6,MMWR_TRAD_AGG_DISTRICT_COMP[],H$1,0),"ERROR")</f>
        <v>500506</v>
      </c>
      <c r="I6" s="191">
        <f>IFERROR(VLOOKUP($B6,MMWR_TRAD_AGG_DISTRICT_COMP[],I$1,0),"ERROR")</f>
        <v>303655</v>
      </c>
      <c r="J6" s="214">
        <f t="shared" ref="J6:J69" si="1">IFERROR(I6/H6,"0%")</f>
        <v>0.60669602362409247</v>
      </c>
      <c r="K6" s="190">
        <f>IFERROR(VLOOKUP($B6,MMWR_TRAD_AGG_DISTRICT_COMP[],K$1,0),"ERROR")</f>
        <v>86056</v>
      </c>
      <c r="L6" s="191">
        <f>IFERROR(VLOOKUP($B6,MMWR_TRAD_AGG_DISTRICT_COMP[],L$1,0),"ERROR")</f>
        <v>66303</v>
      </c>
      <c r="M6" s="214">
        <f t="shared" ref="M6:M69" si="2">IFERROR(L6/K6,"0%")</f>
        <v>0.77046341916891325</v>
      </c>
      <c r="N6" s="190">
        <f>IFERROR(VLOOKUP($B6,MMWR_TRAD_AGG_DISTRICT_COMP[],N$1,0),"ERROR")</f>
        <v>162123</v>
      </c>
      <c r="O6" s="191">
        <f>IFERROR(VLOOKUP($B6,MMWR_TRAD_AGG_DISTRICT_COMP[],O$1,0),"ERROR")</f>
        <v>101522</v>
      </c>
      <c r="P6" s="214">
        <f t="shared" ref="P6:P69" si="3">IFERROR(O6/N6,"0%")</f>
        <v>0.62620356149343404</v>
      </c>
      <c r="Q6" s="203">
        <f>IFERROR(VLOOKUP($B6,MMWR_TRAD_AGG_DISTRICT_COMP[],Q$1,0),"ERROR")</f>
        <v>9623</v>
      </c>
      <c r="R6" s="203">
        <f>IFERROR(VLOOKUP($B6,MMWR_TRAD_AGG_DISTRICT_COMP[],R$1,0),"ERROR")</f>
        <v>4432</v>
      </c>
      <c r="S6" s="206">
        <f>S7+S25+S38+S49+S62+S70</f>
        <v>309070</v>
      </c>
      <c r="T6" s="25"/>
    </row>
    <row r="7" spans="1:20" x14ac:dyDescent="0.2">
      <c r="A7" s="92"/>
      <c r="B7" s="101" t="s">
        <v>379</v>
      </c>
      <c r="C7" s="215">
        <f>IFERROR(VLOOKUP($B7,MMWR_TRAD_AGG_DISTRICT_COMP[],C$1,0),"ERROR")</f>
        <v>107158</v>
      </c>
      <c r="D7" s="200">
        <f>IFERROR(VLOOKUP($B7,MMWR_TRAD_AGG_DISTRICT_COMP[],D$1,0),"ERROR")</f>
        <v>425.11539969019998</v>
      </c>
      <c r="E7" s="216">
        <f>IFERROR(VLOOKUP($B7,MMWR_TRAD_AGG_DISTRICT_COMP[],E$1,0),"ERROR")</f>
        <v>80490</v>
      </c>
      <c r="F7" s="215">
        <f>IFERROR(VLOOKUP($B7,MMWR_TRAD_AGG_DISTRICT_COMP[],F$1,0),"ERROR")</f>
        <v>21180</v>
      </c>
      <c r="G7" s="217">
        <f t="shared" si="0"/>
        <v>0.26313827804696238</v>
      </c>
      <c r="H7" s="215">
        <f>IFERROR(VLOOKUP($B7,MMWR_TRAD_AGG_DISTRICT_COMP[],H$1,0),"ERROR")</f>
        <v>137839</v>
      </c>
      <c r="I7" s="215">
        <f>IFERROR(VLOOKUP($B7,MMWR_TRAD_AGG_DISTRICT_COMP[],I$1,0),"ERROR")</f>
        <v>96921</v>
      </c>
      <c r="J7" s="217">
        <f t="shared" si="1"/>
        <v>0.70314642445171538</v>
      </c>
      <c r="K7" s="215">
        <f>IFERROR(VLOOKUP($B7,MMWR_TRAD_AGG_DISTRICT_COMP[],K$1,0),"ERROR")</f>
        <v>22527</v>
      </c>
      <c r="L7" s="215">
        <f>IFERROR(VLOOKUP($B7,MMWR_TRAD_AGG_DISTRICT_COMP[],L$1,0),"ERROR")</f>
        <v>17063</v>
      </c>
      <c r="M7" s="217">
        <f t="shared" si="2"/>
        <v>0.75744661961202109</v>
      </c>
      <c r="N7" s="215">
        <f>IFERROR(VLOOKUP($B7,MMWR_TRAD_AGG_DISTRICT_COMP[],N$1,0),"ERROR")</f>
        <v>36040</v>
      </c>
      <c r="O7" s="215">
        <f>IFERROR(VLOOKUP($B7,MMWR_TRAD_AGG_DISTRICT_COMP[],O$1,0),"ERROR")</f>
        <v>25097</v>
      </c>
      <c r="P7" s="217">
        <f t="shared" si="3"/>
        <v>0.69636514983351827</v>
      </c>
      <c r="Q7" s="215">
        <f>IFERROR(VLOOKUP($B7,MMWR_TRAD_AGG_DISTRICT_COMP[],Q$1,0),"ERROR")</f>
        <v>8847</v>
      </c>
      <c r="R7" s="218">
        <f>IFERROR(VLOOKUP($B7,MMWR_TRAD_AGG_DISTRICT_COMP[],R$1,0),"ERROR")</f>
        <v>105</v>
      </c>
      <c r="S7" s="218">
        <f>IFERROR(VLOOKUP($B7,MMWR_APP_RO[],S$1,0),"ERROR")</f>
        <v>54740</v>
      </c>
      <c r="T7" s="25"/>
    </row>
    <row r="8" spans="1:20" x14ac:dyDescent="0.2">
      <c r="A8" s="107"/>
      <c r="B8" s="108" t="s">
        <v>36</v>
      </c>
      <c r="C8" s="212">
        <f>IFERROR(VLOOKUP($B8,MMWR_TRAD_AGG_RO_COMP[],C$1,0),"ERROR")</f>
        <v>8808</v>
      </c>
      <c r="D8" s="201">
        <f>IFERROR(VLOOKUP($B8,MMWR_TRAD_AGG_RO_COMP[],D$1,0),"ERROR")</f>
        <v>653.73478655769998</v>
      </c>
      <c r="E8" s="198">
        <f>IFERROR(VLOOKUP($B8,MMWR_TRAD_AGG_RO_COMP[],E$1,0),"ERROR")</f>
        <v>4874</v>
      </c>
      <c r="F8" s="194">
        <f>IFERROR(VLOOKUP($B8,MMWR_TRAD_AGG_RO_COMP[],F$1,0),"ERROR")</f>
        <v>1273</v>
      </c>
      <c r="G8" s="219">
        <f t="shared" si="0"/>
        <v>0.26118178087812882</v>
      </c>
      <c r="H8" s="193">
        <f>IFERROR(VLOOKUP($B8,MMWR_TRAD_AGG_RO_COMP[],H$1,0),"ERROR")</f>
        <v>10156</v>
      </c>
      <c r="I8" s="194">
        <f>IFERROR(VLOOKUP($B8,MMWR_TRAD_AGG_RO_COMP[],I$1,0),"ERROR")</f>
        <v>8283</v>
      </c>
      <c r="J8" s="219">
        <f t="shared" si="1"/>
        <v>0.81557699881843249</v>
      </c>
      <c r="K8" s="207">
        <f>IFERROR(VLOOKUP($B8,MMWR_TRAD_AGG_RO_COMP[],K$1,0),"ERROR")</f>
        <v>1011</v>
      </c>
      <c r="L8" s="208">
        <f>IFERROR(VLOOKUP($B8,MMWR_TRAD_AGG_RO_COMP[],L$1,0),"ERROR")</f>
        <v>890</v>
      </c>
      <c r="M8" s="219">
        <f t="shared" si="2"/>
        <v>0.88031651829871416</v>
      </c>
      <c r="N8" s="207">
        <f>IFERROR(VLOOKUP($B8,MMWR_TRAD_AGG_RO_COMP[],N$1,0),"ERROR")</f>
        <v>6192</v>
      </c>
      <c r="O8" s="208">
        <f>IFERROR(VLOOKUP($B8,MMWR_TRAD_AGG_RO_COMP[],O$1,0),"ERROR")</f>
        <v>5228</v>
      </c>
      <c r="P8" s="219">
        <f t="shared" si="3"/>
        <v>0.84431524547803616</v>
      </c>
      <c r="Q8" s="204">
        <f>IFERROR(VLOOKUP($B8,MMWR_TRAD_AGG_RO_COMP[],Q$1,0),"ERROR")</f>
        <v>23</v>
      </c>
      <c r="R8" s="204">
        <f>IFERROR(VLOOKUP($B8,MMWR_TRAD_AGG_RO_COMP[],R$1,0),"ERROR")</f>
        <v>5</v>
      </c>
      <c r="S8" s="204">
        <f>IFERROR(VLOOKUP($B8,MMWR_APP_RO[],S$1,0),"ERROR")</f>
        <v>5434</v>
      </c>
      <c r="T8" s="25"/>
    </row>
    <row r="9" spans="1:20" x14ac:dyDescent="0.2">
      <c r="A9" s="107"/>
      <c r="B9" s="108" t="s">
        <v>38</v>
      </c>
      <c r="C9" s="212">
        <f>IFERROR(VLOOKUP($B9,MMWR_TRAD_AGG_RO_COMP[],C$1,0),"ERROR")</f>
        <v>4361</v>
      </c>
      <c r="D9" s="201">
        <f>IFERROR(VLOOKUP($B9,MMWR_TRAD_AGG_RO_COMP[],D$1,0),"ERROR")</f>
        <v>546.18367346939999</v>
      </c>
      <c r="E9" s="198">
        <f>IFERROR(VLOOKUP($B9,MMWR_TRAD_AGG_RO_COMP[],E$1,0),"ERROR")</f>
        <v>3536</v>
      </c>
      <c r="F9" s="194">
        <f>IFERROR(VLOOKUP($B9,MMWR_TRAD_AGG_RO_COMP[],F$1,0),"ERROR")</f>
        <v>1028</v>
      </c>
      <c r="G9" s="219">
        <f t="shared" si="0"/>
        <v>0.29072398190045251</v>
      </c>
      <c r="H9" s="193">
        <f>IFERROR(VLOOKUP($B9,MMWR_TRAD_AGG_RO_COMP[],H$1,0),"ERROR")</f>
        <v>5872</v>
      </c>
      <c r="I9" s="194">
        <f>IFERROR(VLOOKUP($B9,MMWR_TRAD_AGG_RO_COMP[],I$1,0),"ERROR")</f>
        <v>4436</v>
      </c>
      <c r="J9" s="219">
        <f t="shared" si="1"/>
        <v>0.75544959128065392</v>
      </c>
      <c r="K9" s="207">
        <f>IFERROR(VLOOKUP($B9,MMWR_TRAD_AGG_RO_COMP[],K$1,0),"ERROR")</f>
        <v>2122</v>
      </c>
      <c r="L9" s="208">
        <f>IFERROR(VLOOKUP($B9,MMWR_TRAD_AGG_RO_COMP[],L$1,0),"ERROR")</f>
        <v>1950</v>
      </c>
      <c r="M9" s="219">
        <f t="shared" si="2"/>
        <v>0.91894439208294065</v>
      </c>
      <c r="N9" s="207">
        <f>IFERROR(VLOOKUP($B9,MMWR_TRAD_AGG_RO_COMP[],N$1,0),"ERROR")</f>
        <v>859</v>
      </c>
      <c r="O9" s="208">
        <f>IFERROR(VLOOKUP($B9,MMWR_TRAD_AGG_RO_COMP[],O$1,0),"ERROR")</f>
        <v>751</v>
      </c>
      <c r="P9" s="219">
        <f t="shared" si="3"/>
        <v>0.8742724097788126</v>
      </c>
      <c r="Q9" s="204">
        <f>IFERROR(VLOOKUP($B9,MMWR_TRAD_AGG_RO_COMP[],Q$1,0),"ERROR")</f>
        <v>2</v>
      </c>
      <c r="R9" s="204">
        <f>IFERROR(VLOOKUP($B9,MMWR_TRAD_AGG_RO_COMP[],R$1,0),"ERROR")</f>
        <v>11</v>
      </c>
      <c r="S9" s="204">
        <f>IFERROR(VLOOKUP($B9,MMWR_APP_RO[],S$1,0),"ERROR")</f>
        <v>3398</v>
      </c>
      <c r="T9" s="25"/>
    </row>
    <row r="10" spans="1:20" x14ac:dyDescent="0.2">
      <c r="A10" s="107"/>
      <c r="B10" s="108" t="s">
        <v>24</v>
      </c>
      <c r="C10" s="212">
        <f>IFERROR(VLOOKUP($B10,MMWR_TRAD_AGG_RO_COMP[],C$1,0),"ERROR")</f>
        <v>1122</v>
      </c>
      <c r="D10" s="201">
        <f>IFERROR(VLOOKUP($B10,MMWR_TRAD_AGG_RO_COMP[],D$1,0),"ERROR")</f>
        <v>81.171122994699999</v>
      </c>
      <c r="E10" s="198">
        <f>IFERROR(VLOOKUP($B10,MMWR_TRAD_AGG_RO_COMP[],E$1,0),"ERROR")</f>
        <v>4425</v>
      </c>
      <c r="F10" s="194">
        <f>IFERROR(VLOOKUP($B10,MMWR_TRAD_AGG_RO_COMP[],F$1,0),"ERROR")</f>
        <v>1142</v>
      </c>
      <c r="G10" s="219">
        <f t="shared" si="0"/>
        <v>0.25807909604519774</v>
      </c>
      <c r="H10" s="193">
        <f>IFERROR(VLOOKUP($B10,MMWR_TRAD_AGG_RO_COMP[],H$1,0),"ERROR")</f>
        <v>1971</v>
      </c>
      <c r="I10" s="194">
        <f>IFERROR(VLOOKUP($B10,MMWR_TRAD_AGG_RO_COMP[],I$1,0),"ERROR")</f>
        <v>357</v>
      </c>
      <c r="J10" s="219">
        <f t="shared" si="1"/>
        <v>0.18112633181126331</v>
      </c>
      <c r="K10" s="207">
        <f>IFERROR(VLOOKUP($B10,MMWR_TRAD_AGG_RO_COMP[],K$1,0),"ERROR")</f>
        <v>248</v>
      </c>
      <c r="L10" s="208">
        <f>IFERROR(VLOOKUP($B10,MMWR_TRAD_AGG_RO_COMP[],L$1,0),"ERROR")</f>
        <v>48</v>
      </c>
      <c r="M10" s="219">
        <f t="shared" si="2"/>
        <v>0.19354838709677419</v>
      </c>
      <c r="N10" s="207">
        <f>IFERROR(VLOOKUP($B10,MMWR_TRAD_AGG_RO_COMP[],N$1,0),"ERROR")</f>
        <v>460</v>
      </c>
      <c r="O10" s="208">
        <f>IFERROR(VLOOKUP($B10,MMWR_TRAD_AGG_RO_COMP[],O$1,0),"ERROR")</f>
        <v>312</v>
      </c>
      <c r="P10" s="219">
        <f t="shared" si="3"/>
        <v>0.67826086956521736</v>
      </c>
      <c r="Q10" s="204">
        <f>IFERROR(VLOOKUP($B10,MMWR_TRAD_AGG_RO_COMP[],Q$1,0),"ERROR")</f>
        <v>0</v>
      </c>
      <c r="R10" s="204">
        <f>IFERROR(VLOOKUP($B10,MMWR_TRAD_AGG_RO_COMP[],R$1,0),"ERROR")</f>
        <v>0</v>
      </c>
      <c r="S10" s="204">
        <f>IFERROR(VLOOKUP($B10,MMWR_APP_RO[],S$1,0),"ERROR")</f>
        <v>1744</v>
      </c>
      <c r="T10" s="25"/>
    </row>
    <row r="11" spans="1:20" x14ac:dyDescent="0.2">
      <c r="A11" s="107"/>
      <c r="B11" s="108" t="s">
        <v>47</v>
      </c>
      <c r="C11" s="212">
        <f>IFERROR(VLOOKUP($B11,MMWR_TRAD_AGG_RO_COMP[],C$1,0),"ERROR")</f>
        <v>1705</v>
      </c>
      <c r="D11" s="201">
        <f>IFERROR(VLOOKUP($B11,MMWR_TRAD_AGG_RO_COMP[],D$1,0),"ERROR")</f>
        <v>241.94545454550001</v>
      </c>
      <c r="E11" s="198">
        <f>IFERROR(VLOOKUP($B11,MMWR_TRAD_AGG_RO_COMP[],E$1,0),"ERROR")</f>
        <v>1627</v>
      </c>
      <c r="F11" s="194">
        <f>IFERROR(VLOOKUP($B11,MMWR_TRAD_AGG_RO_COMP[],F$1,0),"ERROR")</f>
        <v>371</v>
      </c>
      <c r="G11" s="219">
        <f t="shared" si="0"/>
        <v>0.22802704363859866</v>
      </c>
      <c r="H11" s="193">
        <f>IFERROR(VLOOKUP($B11,MMWR_TRAD_AGG_RO_COMP[],H$1,0),"ERROR")</f>
        <v>3346</v>
      </c>
      <c r="I11" s="194">
        <f>IFERROR(VLOOKUP($B11,MMWR_TRAD_AGG_RO_COMP[],I$1,0),"ERROR")</f>
        <v>1669</v>
      </c>
      <c r="J11" s="219">
        <f t="shared" si="1"/>
        <v>0.49880454273759711</v>
      </c>
      <c r="K11" s="207">
        <f>IFERROR(VLOOKUP($B11,MMWR_TRAD_AGG_RO_COMP[],K$1,0),"ERROR")</f>
        <v>385</v>
      </c>
      <c r="L11" s="208">
        <f>IFERROR(VLOOKUP($B11,MMWR_TRAD_AGG_RO_COMP[],L$1,0),"ERROR")</f>
        <v>304</v>
      </c>
      <c r="M11" s="219">
        <f t="shared" si="2"/>
        <v>0.78961038961038965</v>
      </c>
      <c r="N11" s="207">
        <f>IFERROR(VLOOKUP($B11,MMWR_TRAD_AGG_RO_COMP[],N$1,0),"ERROR")</f>
        <v>718</v>
      </c>
      <c r="O11" s="208">
        <f>IFERROR(VLOOKUP($B11,MMWR_TRAD_AGG_RO_COMP[],O$1,0),"ERROR")</f>
        <v>488</v>
      </c>
      <c r="P11" s="219">
        <f t="shared" si="3"/>
        <v>0.67966573816155984</v>
      </c>
      <c r="Q11" s="204">
        <f>IFERROR(VLOOKUP($B11,MMWR_TRAD_AGG_RO_COMP[],Q$1,0),"ERROR")</f>
        <v>0</v>
      </c>
      <c r="R11" s="204">
        <f>IFERROR(VLOOKUP($B11,MMWR_TRAD_AGG_RO_COMP[],R$1,0),"ERROR")</f>
        <v>3</v>
      </c>
      <c r="S11" s="204">
        <f>IFERROR(VLOOKUP($B11,MMWR_APP_RO[],S$1,0),"ERROR")</f>
        <v>787</v>
      </c>
      <c r="T11" s="25"/>
    </row>
    <row r="12" spans="1:20" x14ac:dyDescent="0.2">
      <c r="A12" s="107"/>
      <c r="B12" s="108" t="s">
        <v>50</v>
      </c>
      <c r="C12" s="212">
        <f>IFERROR(VLOOKUP($B12,MMWR_TRAD_AGG_RO_COMP[],C$1,0),"ERROR")</f>
        <v>2263</v>
      </c>
      <c r="D12" s="201">
        <f>IFERROR(VLOOKUP($B12,MMWR_TRAD_AGG_RO_COMP[],D$1,0),"ERROR")</f>
        <v>214.6659301812</v>
      </c>
      <c r="E12" s="198">
        <f>IFERROR(VLOOKUP($B12,MMWR_TRAD_AGG_RO_COMP[],E$1,0),"ERROR")</f>
        <v>2051</v>
      </c>
      <c r="F12" s="194">
        <f>IFERROR(VLOOKUP($B12,MMWR_TRAD_AGG_RO_COMP[],F$1,0),"ERROR")</f>
        <v>454</v>
      </c>
      <c r="G12" s="219">
        <f t="shared" si="0"/>
        <v>0.22135543637250121</v>
      </c>
      <c r="H12" s="193">
        <f>IFERROR(VLOOKUP($B12,MMWR_TRAD_AGG_RO_COMP[],H$1,0),"ERROR")</f>
        <v>3469</v>
      </c>
      <c r="I12" s="194">
        <f>IFERROR(VLOOKUP($B12,MMWR_TRAD_AGG_RO_COMP[],I$1,0),"ERROR")</f>
        <v>1801</v>
      </c>
      <c r="J12" s="219">
        <f t="shared" si="1"/>
        <v>0.51916978956471604</v>
      </c>
      <c r="K12" s="207">
        <f>IFERROR(VLOOKUP($B12,MMWR_TRAD_AGG_RO_COMP[],K$1,0),"ERROR")</f>
        <v>230</v>
      </c>
      <c r="L12" s="208">
        <f>IFERROR(VLOOKUP($B12,MMWR_TRAD_AGG_RO_COMP[],L$1,0),"ERROR")</f>
        <v>204</v>
      </c>
      <c r="M12" s="219">
        <f t="shared" si="2"/>
        <v>0.88695652173913042</v>
      </c>
      <c r="N12" s="207">
        <f>IFERROR(VLOOKUP($B12,MMWR_TRAD_AGG_RO_COMP[],N$1,0),"ERROR")</f>
        <v>1074</v>
      </c>
      <c r="O12" s="208">
        <f>IFERROR(VLOOKUP($B12,MMWR_TRAD_AGG_RO_COMP[],O$1,0),"ERROR")</f>
        <v>815</v>
      </c>
      <c r="P12" s="219">
        <f t="shared" si="3"/>
        <v>0.75884543761638734</v>
      </c>
      <c r="Q12" s="204">
        <f>IFERROR(VLOOKUP($B12,MMWR_TRAD_AGG_RO_COMP[],Q$1,0),"ERROR")</f>
        <v>2</v>
      </c>
      <c r="R12" s="204">
        <f>IFERROR(VLOOKUP($B12,MMWR_TRAD_AGG_RO_COMP[],R$1,0),"ERROR")</f>
        <v>17</v>
      </c>
      <c r="S12" s="204">
        <f>IFERROR(VLOOKUP($B12,MMWR_APP_RO[],S$1,0),"ERROR")</f>
        <v>1988</v>
      </c>
      <c r="T12" s="25"/>
    </row>
    <row r="13" spans="1:20" x14ac:dyDescent="0.2">
      <c r="A13" s="107"/>
      <c r="B13" s="108" t="s">
        <v>57</v>
      </c>
      <c r="C13" s="212">
        <f>IFERROR(VLOOKUP($B13,MMWR_TRAD_AGG_RO_COMP[],C$1,0),"ERROR")</f>
        <v>1758</v>
      </c>
      <c r="D13" s="201">
        <f>IFERROR(VLOOKUP($B13,MMWR_TRAD_AGG_RO_COMP[],D$1,0),"ERROR")</f>
        <v>383.47440273040002</v>
      </c>
      <c r="E13" s="198">
        <f>IFERROR(VLOOKUP($B13,MMWR_TRAD_AGG_RO_COMP[],E$1,0),"ERROR")</f>
        <v>1098</v>
      </c>
      <c r="F13" s="194">
        <f>IFERROR(VLOOKUP($B13,MMWR_TRAD_AGG_RO_COMP[],F$1,0),"ERROR")</f>
        <v>245</v>
      </c>
      <c r="G13" s="219">
        <f t="shared" si="0"/>
        <v>0.22313296903460839</v>
      </c>
      <c r="H13" s="193">
        <f>IFERROR(VLOOKUP($B13,MMWR_TRAD_AGG_RO_COMP[],H$1,0),"ERROR")</f>
        <v>2170</v>
      </c>
      <c r="I13" s="194">
        <f>IFERROR(VLOOKUP($B13,MMWR_TRAD_AGG_RO_COMP[],I$1,0),"ERROR")</f>
        <v>1474</v>
      </c>
      <c r="J13" s="219">
        <f t="shared" si="1"/>
        <v>0.6792626728110599</v>
      </c>
      <c r="K13" s="207">
        <f>IFERROR(VLOOKUP($B13,MMWR_TRAD_AGG_RO_COMP[],K$1,0),"ERROR")</f>
        <v>546</v>
      </c>
      <c r="L13" s="208">
        <f>IFERROR(VLOOKUP($B13,MMWR_TRAD_AGG_RO_COMP[],L$1,0),"ERROR")</f>
        <v>525</v>
      </c>
      <c r="M13" s="219">
        <f t="shared" si="2"/>
        <v>0.96153846153846156</v>
      </c>
      <c r="N13" s="207">
        <f>IFERROR(VLOOKUP($B13,MMWR_TRAD_AGG_RO_COMP[],N$1,0),"ERROR")</f>
        <v>140</v>
      </c>
      <c r="O13" s="208">
        <f>IFERROR(VLOOKUP($B13,MMWR_TRAD_AGG_RO_COMP[],O$1,0),"ERROR")</f>
        <v>84</v>
      </c>
      <c r="P13" s="219">
        <f t="shared" si="3"/>
        <v>0.6</v>
      </c>
      <c r="Q13" s="204">
        <f>IFERROR(VLOOKUP($B13,MMWR_TRAD_AGG_RO_COMP[],Q$1,0),"ERROR")</f>
        <v>0</v>
      </c>
      <c r="R13" s="204">
        <f>IFERROR(VLOOKUP($B13,MMWR_TRAD_AGG_RO_COMP[],R$1,0),"ERROR")</f>
        <v>1</v>
      </c>
      <c r="S13" s="204">
        <f>IFERROR(VLOOKUP($B13,MMWR_APP_RO[],S$1,0),"ERROR")</f>
        <v>626</v>
      </c>
      <c r="T13" s="25"/>
    </row>
    <row r="14" spans="1:20" x14ac:dyDescent="0.2">
      <c r="A14" s="107"/>
      <c r="B14" s="108" t="s">
        <v>63</v>
      </c>
      <c r="C14" s="212">
        <f>IFERROR(VLOOKUP($B14,MMWR_TRAD_AGG_RO_COMP[],C$1,0),"ERROR")</f>
        <v>3210</v>
      </c>
      <c r="D14" s="201">
        <f>IFERROR(VLOOKUP($B14,MMWR_TRAD_AGG_RO_COMP[],D$1,0),"ERROR")</f>
        <v>269.2607476636</v>
      </c>
      <c r="E14" s="198">
        <f>IFERROR(VLOOKUP($B14,MMWR_TRAD_AGG_RO_COMP[],E$1,0),"ERROR")</f>
        <v>4621</v>
      </c>
      <c r="F14" s="194">
        <f>IFERROR(VLOOKUP($B14,MMWR_TRAD_AGG_RO_COMP[],F$1,0),"ERROR")</f>
        <v>1161</v>
      </c>
      <c r="G14" s="219">
        <f t="shared" si="0"/>
        <v>0.25124431941138281</v>
      </c>
      <c r="H14" s="193">
        <f>IFERROR(VLOOKUP($B14,MMWR_TRAD_AGG_RO_COMP[],H$1,0),"ERROR")</f>
        <v>4878</v>
      </c>
      <c r="I14" s="194">
        <f>IFERROR(VLOOKUP($B14,MMWR_TRAD_AGG_RO_COMP[],I$1,0),"ERROR")</f>
        <v>2635</v>
      </c>
      <c r="J14" s="219">
        <f t="shared" si="1"/>
        <v>0.54018040180401805</v>
      </c>
      <c r="K14" s="207">
        <f>IFERROR(VLOOKUP($B14,MMWR_TRAD_AGG_RO_COMP[],K$1,0),"ERROR")</f>
        <v>1757</v>
      </c>
      <c r="L14" s="208">
        <f>IFERROR(VLOOKUP($B14,MMWR_TRAD_AGG_RO_COMP[],L$1,0),"ERROR")</f>
        <v>1186</v>
      </c>
      <c r="M14" s="219">
        <f t="shared" si="2"/>
        <v>0.67501422879908934</v>
      </c>
      <c r="N14" s="207">
        <f>IFERROR(VLOOKUP($B14,MMWR_TRAD_AGG_RO_COMP[],N$1,0),"ERROR")</f>
        <v>314</v>
      </c>
      <c r="O14" s="208">
        <f>IFERROR(VLOOKUP($B14,MMWR_TRAD_AGG_RO_COMP[],O$1,0),"ERROR")</f>
        <v>204</v>
      </c>
      <c r="P14" s="219">
        <f t="shared" si="3"/>
        <v>0.64968152866242035</v>
      </c>
      <c r="Q14" s="204">
        <f>IFERROR(VLOOKUP($B14,MMWR_TRAD_AGG_RO_COMP[],Q$1,0),"ERROR")</f>
        <v>0</v>
      </c>
      <c r="R14" s="204">
        <f>IFERROR(VLOOKUP($B14,MMWR_TRAD_AGG_RO_COMP[],R$1,0),"ERROR")</f>
        <v>12</v>
      </c>
      <c r="S14" s="204">
        <f>IFERROR(VLOOKUP($B14,MMWR_APP_RO[],S$1,0),"ERROR")</f>
        <v>3395</v>
      </c>
      <c r="T14" s="25"/>
    </row>
    <row r="15" spans="1:20" x14ac:dyDescent="0.2">
      <c r="A15" s="107"/>
      <c r="B15" s="108" t="s">
        <v>64</v>
      </c>
      <c r="C15" s="212">
        <f>IFERROR(VLOOKUP($B15,MMWR_TRAD_AGG_RO_COMP[],C$1,0),"ERROR")</f>
        <v>1092</v>
      </c>
      <c r="D15" s="201">
        <f>IFERROR(VLOOKUP($B15,MMWR_TRAD_AGG_RO_COMP[],D$1,0),"ERROR")</f>
        <v>76.926739926699994</v>
      </c>
      <c r="E15" s="198">
        <f>IFERROR(VLOOKUP($B15,MMWR_TRAD_AGG_RO_COMP[],E$1,0),"ERROR")</f>
        <v>2622</v>
      </c>
      <c r="F15" s="194">
        <f>IFERROR(VLOOKUP($B15,MMWR_TRAD_AGG_RO_COMP[],F$1,0),"ERROR")</f>
        <v>635</v>
      </c>
      <c r="G15" s="219">
        <f t="shared" si="0"/>
        <v>0.24218154080854309</v>
      </c>
      <c r="H15" s="193">
        <f>IFERROR(VLOOKUP($B15,MMWR_TRAD_AGG_RO_COMP[],H$1,0),"ERROR")</f>
        <v>2007</v>
      </c>
      <c r="I15" s="194">
        <f>IFERROR(VLOOKUP($B15,MMWR_TRAD_AGG_RO_COMP[],I$1,0),"ERROR")</f>
        <v>440</v>
      </c>
      <c r="J15" s="219">
        <f t="shared" si="1"/>
        <v>0.2192326856003986</v>
      </c>
      <c r="K15" s="207">
        <f>IFERROR(VLOOKUP($B15,MMWR_TRAD_AGG_RO_COMP[],K$1,0),"ERROR")</f>
        <v>765</v>
      </c>
      <c r="L15" s="208">
        <f>IFERROR(VLOOKUP($B15,MMWR_TRAD_AGG_RO_COMP[],L$1,0),"ERROR")</f>
        <v>252</v>
      </c>
      <c r="M15" s="219">
        <f t="shared" si="2"/>
        <v>0.32941176470588235</v>
      </c>
      <c r="N15" s="207">
        <f>IFERROR(VLOOKUP($B15,MMWR_TRAD_AGG_RO_COMP[],N$1,0),"ERROR")</f>
        <v>2676</v>
      </c>
      <c r="O15" s="208">
        <f>IFERROR(VLOOKUP($B15,MMWR_TRAD_AGG_RO_COMP[],O$1,0),"ERROR")</f>
        <v>1419</v>
      </c>
      <c r="P15" s="219">
        <f t="shared" si="3"/>
        <v>0.53026905829596416</v>
      </c>
      <c r="Q15" s="204">
        <f>IFERROR(VLOOKUP($B15,MMWR_TRAD_AGG_RO_COMP[],Q$1,0),"ERROR")</f>
        <v>0</v>
      </c>
      <c r="R15" s="204">
        <f>IFERROR(VLOOKUP($B15,MMWR_TRAD_AGG_RO_COMP[],R$1,0),"ERROR")</f>
        <v>1</v>
      </c>
      <c r="S15" s="204">
        <f>IFERROR(VLOOKUP($B15,MMWR_APP_RO[],S$1,0),"ERROR")</f>
        <v>2694</v>
      </c>
      <c r="T15" s="25"/>
    </row>
    <row r="16" spans="1:20" x14ac:dyDescent="0.2">
      <c r="A16" s="107"/>
      <c r="B16" s="108" t="s">
        <v>66</v>
      </c>
      <c r="C16" s="212">
        <f>IFERROR(VLOOKUP($B16,MMWR_TRAD_AGG_RO_COMP[],C$1,0),"ERROR")</f>
        <v>5509</v>
      </c>
      <c r="D16" s="201">
        <f>IFERROR(VLOOKUP($B16,MMWR_TRAD_AGG_RO_COMP[],D$1,0),"ERROR")</f>
        <v>388.1675440189</v>
      </c>
      <c r="E16" s="198">
        <f>IFERROR(VLOOKUP($B16,MMWR_TRAD_AGG_RO_COMP[],E$1,0),"ERROR")</f>
        <v>10040</v>
      </c>
      <c r="F16" s="194">
        <f>IFERROR(VLOOKUP($B16,MMWR_TRAD_AGG_RO_COMP[],F$1,0),"ERROR")</f>
        <v>3238</v>
      </c>
      <c r="G16" s="219">
        <f t="shared" si="0"/>
        <v>0.32250996015936256</v>
      </c>
      <c r="H16" s="193">
        <f>IFERROR(VLOOKUP($B16,MMWR_TRAD_AGG_RO_COMP[],H$1,0),"ERROR")</f>
        <v>8651</v>
      </c>
      <c r="I16" s="194">
        <f>IFERROR(VLOOKUP($B16,MMWR_TRAD_AGG_RO_COMP[],I$1,0),"ERROR")</f>
        <v>5587</v>
      </c>
      <c r="J16" s="219">
        <f t="shared" si="1"/>
        <v>0.64582129233614616</v>
      </c>
      <c r="K16" s="207">
        <f>IFERROR(VLOOKUP($B16,MMWR_TRAD_AGG_RO_COMP[],K$1,0),"ERROR")</f>
        <v>1720</v>
      </c>
      <c r="L16" s="208">
        <f>IFERROR(VLOOKUP($B16,MMWR_TRAD_AGG_RO_COMP[],L$1,0),"ERROR")</f>
        <v>647</v>
      </c>
      <c r="M16" s="219">
        <f t="shared" si="2"/>
        <v>0.37616279069767444</v>
      </c>
      <c r="N16" s="207">
        <f>IFERROR(VLOOKUP($B16,MMWR_TRAD_AGG_RO_COMP[],N$1,0),"ERROR")</f>
        <v>7408</v>
      </c>
      <c r="O16" s="208">
        <f>IFERROR(VLOOKUP($B16,MMWR_TRAD_AGG_RO_COMP[],O$1,0),"ERROR")</f>
        <v>4023</v>
      </c>
      <c r="P16" s="219">
        <f t="shared" si="3"/>
        <v>0.54306155507559395</v>
      </c>
      <c r="Q16" s="204">
        <f>IFERROR(VLOOKUP($B16,MMWR_TRAD_AGG_RO_COMP[],Q$1,0),"ERROR")</f>
        <v>8812</v>
      </c>
      <c r="R16" s="204">
        <f>IFERROR(VLOOKUP($B16,MMWR_TRAD_AGG_RO_COMP[],R$1,0),"ERROR")</f>
        <v>0</v>
      </c>
      <c r="S16" s="204">
        <f>IFERROR(VLOOKUP($B16,MMWR_APP_RO[],S$1,0),"ERROR")</f>
        <v>4947</v>
      </c>
      <c r="T16" s="25"/>
    </row>
    <row r="17" spans="1:20" x14ac:dyDescent="0.2">
      <c r="A17" s="107"/>
      <c r="B17" s="108" t="s">
        <v>68</v>
      </c>
      <c r="C17" s="212">
        <f>IFERROR(VLOOKUP($B17,MMWR_TRAD_AGG_RO_COMP[],C$1,0),"ERROR")</f>
        <v>4095</v>
      </c>
      <c r="D17" s="201">
        <f>IFERROR(VLOOKUP($B17,MMWR_TRAD_AGG_RO_COMP[],D$1,0),"ERROR")</f>
        <v>468.34920634920002</v>
      </c>
      <c r="E17" s="198">
        <f>IFERROR(VLOOKUP($B17,MMWR_TRAD_AGG_RO_COMP[],E$1,0),"ERROR")</f>
        <v>4901</v>
      </c>
      <c r="F17" s="194">
        <f>IFERROR(VLOOKUP($B17,MMWR_TRAD_AGG_RO_COMP[],F$1,0),"ERROR")</f>
        <v>1578</v>
      </c>
      <c r="G17" s="219">
        <f t="shared" si="0"/>
        <v>0.3219751071209957</v>
      </c>
      <c r="H17" s="193">
        <f>IFERROR(VLOOKUP($B17,MMWR_TRAD_AGG_RO_COMP[],H$1,0),"ERROR")</f>
        <v>5599</v>
      </c>
      <c r="I17" s="194">
        <f>IFERROR(VLOOKUP($B17,MMWR_TRAD_AGG_RO_COMP[],I$1,0),"ERROR")</f>
        <v>4297</v>
      </c>
      <c r="J17" s="219">
        <f t="shared" si="1"/>
        <v>0.76745847472762996</v>
      </c>
      <c r="K17" s="207">
        <f>IFERROR(VLOOKUP($B17,MMWR_TRAD_AGG_RO_COMP[],K$1,0),"ERROR")</f>
        <v>599</v>
      </c>
      <c r="L17" s="208">
        <f>IFERROR(VLOOKUP($B17,MMWR_TRAD_AGG_RO_COMP[],L$1,0),"ERROR")</f>
        <v>525</v>
      </c>
      <c r="M17" s="219">
        <f t="shared" si="2"/>
        <v>0.87646076794657768</v>
      </c>
      <c r="N17" s="207">
        <f>IFERROR(VLOOKUP($B17,MMWR_TRAD_AGG_RO_COMP[],N$1,0),"ERROR")</f>
        <v>1146</v>
      </c>
      <c r="O17" s="208">
        <f>IFERROR(VLOOKUP($B17,MMWR_TRAD_AGG_RO_COMP[],O$1,0),"ERROR")</f>
        <v>816</v>
      </c>
      <c r="P17" s="219">
        <f t="shared" si="3"/>
        <v>0.7120418848167539</v>
      </c>
      <c r="Q17" s="204">
        <f>IFERROR(VLOOKUP($B17,MMWR_TRAD_AGG_RO_COMP[],Q$1,0),"ERROR")</f>
        <v>0</v>
      </c>
      <c r="R17" s="204">
        <f>IFERROR(VLOOKUP($B17,MMWR_TRAD_AGG_RO_COMP[],R$1,0),"ERROR")</f>
        <v>3</v>
      </c>
      <c r="S17" s="204">
        <f>IFERROR(VLOOKUP($B17,MMWR_APP_RO[],S$1,0),"ERROR")</f>
        <v>4852</v>
      </c>
      <c r="T17" s="25"/>
    </row>
    <row r="18" spans="1:20" x14ac:dyDescent="0.2">
      <c r="A18" s="107"/>
      <c r="B18" s="108" t="s">
        <v>70</v>
      </c>
      <c r="C18" s="212">
        <f>IFERROR(VLOOKUP($B18,MMWR_TRAD_AGG_RO_COMP[],C$1,0),"ERROR")</f>
        <v>802</v>
      </c>
      <c r="D18" s="201">
        <f>IFERROR(VLOOKUP($B18,MMWR_TRAD_AGG_RO_COMP[],D$1,0),"ERROR")</f>
        <v>148.8653366584</v>
      </c>
      <c r="E18" s="198">
        <f>IFERROR(VLOOKUP($B18,MMWR_TRAD_AGG_RO_COMP[],E$1,0),"ERROR")</f>
        <v>2064</v>
      </c>
      <c r="F18" s="194">
        <f>IFERROR(VLOOKUP($B18,MMWR_TRAD_AGG_RO_COMP[],F$1,0),"ERROR")</f>
        <v>473</v>
      </c>
      <c r="G18" s="219">
        <f t="shared" si="0"/>
        <v>0.22916666666666666</v>
      </c>
      <c r="H18" s="193">
        <f>IFERROR(VLOOKUP($B18,MMWR_TRAD_AGG_RO_COMP[],H$1,0),"ERROR")</f>
        <v>3234</v>
      </c>
      <c r="I18" s="194">
        <f>IFERROR(VLOOKUP($B18,MMWR_TRAD_AGG_RO_COMP[],I$1,0),"ERROR")</f>
        <v>629</v>
      </c>
      <c r="J18" s="219">
        <f t="shared" si="1"/>
        <v>0.19449598021026593</v>
      </c>
      <c r="K18" s="207">
        <f>IFERROR(VLOOKUP($B18,MMWR_TRAD_AGG_RO_COMP[],K$1,0),"ERROR")</f>
        <v>1645</v>
      </c>
      <c r="L18" s="208">
        <f>IFERROR(VLOOKUP($B18,MMWR_TRAD_AGG_RO_COMP[],L$1,0),"ERROR")</f>
        <v>346</v>
      </c>
      <c r="M18" s="219">
        <f t="shared" si="2"/>
        <v>0.21033434650455926</v>
      </c>
      <c r="N18" s="207">
        <f>IFERROR(VLOOKUP($B18,MMWR_TRAD_AGG_RO_COMP[],N$1,0),"ERROR")</f>
        <v>249</v>
      </c>
      <c r="O18" s="208">
        <f>IFERROR(VLOOKUP($B18,MMWR_TRAD_AGG_RO_COMP[],O$1,0),"ERROR")</f>
        <v>108</v>
      </c>
      <c r="P18" s="219">
        <f t="shared" si="3"/>
        <v>0.43373493975903615</v>
      </c>
      <c r="Q18" s="204">
        <f>IFERROR(VLOOKUP($B18,MMWR_TRAD_AGG_RO_COMP[],Q$1,0),"ERROR")</f>
        <v>0</v>
      </c>
      <c r="R18" s="204">
        <f>IFERROR(VLOOKUP($B18,MMWR_TRAD_AGG_RO_COMP[],R$1,0),"ERROR")</f>
        <v>4</v>
      </c>
      <c r="S18" s="204">
        <f>IFERROR(VLOOKUP($B18,MMWR_APP_RO[],S$1,0),"ERROR")</f>
        <v>453</v>
      </c>
      <c r="T18" s="25"/>
    </row>
    <row r="19" spans="1:20" x14ac:dyDescent="0.2">
      <c r="A19" s="107"/>
      <c r="B19" s="108" t="s">
        <v>72</v>
      </c>
      <c r="C19" s="212">
        <f>IFERROR(VLOOKUP($B19,MMWR_TRAD_AGG_RO_COMP[],C$1,0),"ERROR")</f>
        <v>15484</v>
      </c>
      <c r="D19" s="201">
        <f>IFERROR(VLOOKUP($B19,MMWR_TRAD_AGG_RO_COMP[],D$1,0),"ERROR")</f>
        <v>489.2143502971</v>
      </c>
      <c r="E19" s="198">
        <f>IFERROR(VLOOKUP($B19,MMWR_TRAD_AGG_RO_COMP[],E$1,0),"ERROR")</f>
        <v>11227</v>
      </c>
      <c r="F19" s="194">
        <f>IFERROR(VLOOKUP($B19,MMWR_TRAD_AGG_RO_COMP[],F$1,0),"ERROR")</f>
        <v>2593</v>
      </c>
      <c r="G19" s="219">
        <f t="shared" si="0"/>
        <v>0.23096107597755411</v>
      </c>
      <c r="H19" s="193">
        <f>IFERROR(VLOOKUP($B19,MMWR_TRAD_AGG_RO_COMP[],H$1,0),"ERROR")</f>
        <v>17806</v>
      </c>
      <c r="I19" s="194">
        <f>IFERROR(VLOOKUP($B19,MMWR_TRAD_AGG_RO_COMP[],I$1,0),"ERROR")</f>
        <v>12012</v>
      </c>
      <c r="J19" s="219">
        <f t="shared" si="1"/>
        <v>0.67460406604515333</v>
      </c>
      <c r="K19" s="207">
        <f>IFERROR(VLOOKUP($B19,MMWR_TRAD_AGG_RO_COMP[],K$1,0),"ERROR")</f>
        <v>5741</v>
      </c>
      <c r="L19" s="208">
        <f>IFERROR(VLOOKUP($B19,MMWR_TRAD_AGG_RO_COMP[],L$1,0),"ERROR")</f>
        <v>5370</v>
      </c>
      <c r="M19" s="219">
        <f t="shared" si="2"/>
        <v>0.93537711200139351</v>
      </c>
      <c r="N19" s="207">
        <f>IFERROR(VLOOKUP($B19,MMWR_TRAD_AGG_RO_COMP[],N$1,0),"ERROR")</f>
        <v>5120</v>
      </c>
      <c r="O19" s="208">
        <f>IFERROR(VLOOKUP($B19,MMWR_TRAD_AGG_RO_COMP[],O$1,0),"ERROR")</f>
        <v>4245</v>
      </c>
      <c r="P19" s="219">
        <f t="shared" si="3"/>
        <v>0.8291015625</v>
      </c>
      <c r="Q19" s="204">
        <f>IFERROR(VLOOKUP($B19,MMWR_TRAD_AGG_RO_COMP[],Q$1,0),"ERROR")</f>
        <v>7</v>
      </c>
      <c r="R19" s="204">
        <f>IFERROR(VLOOKUP($B19,MMWR_TRAD_AGG_RO_COMP[],R$1,0),"ERROR")</f>
        <v>22</v>
      </c>
      <c r="S19" s="204">
        <f>IFERROR(VLOOKUP($B19,MMWR_APP_RO[],S$1,0),"ERROR")</f>
        <v>14229</v>
      </c>
      <c r="T19" s="25"/>
    </row>
    <row r="20" spans="1:20" x14ac:dyDescent="0.2">
      <c r="A20" s="107"/>
      <c r="B20" s="108" t="s">
        <v>81</v>
      </c>
      <c r="C20" s="212">
        <f>IFERROR(VLOOKUP($B20,MMWR_TRAD_AGG_RO_COMP[],C$1,0),"ERROR")</f>
        <v>1503</v>
      </c>
      <c r="D20" s="201">
        <f>IFERROR(VLOOKUP($B20,MMWR_TRAD_AGG_RO_COMP[],D$1,0),"ERROR")</f>
        <v>230.93213572849999</v>
      </c>
      <c r="E20" s="198">
        <f>IFERROR(VLOOKUP($B20,MMWR_TRAD_AGG_RO_COMP[],E$1,0),"ERROR")</f>
        <v>1182</v>
      </c>
      <c r="F20" s="194">
        <f>IFERROR(VLOOKUP($B20,MMWR_TRAD_AGG_RO_COMP[],F$1,0),"ERROR")</f>
        <v>165</v>
      </c>
      <c r="G20" s="219">
        <f t="shared" si="0"/>
        <v>0.13959390862944163</v>
      </c>
      <c r="H20" s="193">
        <f>IFERROR(VLOOKUP($B20,MMWR_TRAD_AGG_RO_COMP[],H$1,0),"ERROR")</f>
        <v>2306</v>
      </c>
      <c r="I20" s="194">
        <f>IFERROR(VLOOKUP($B20,MMWR_TRAD_AGG_RO_COMP[],I$1,0),"ERROR")</f>
        <v>1026</v>
      </c>
      <c r="J20" s="219">
        <f t="shared" si="1"/>
        <v>0.44492627927146572</v>
      </c>
      <c r="K20" s="207">
        <f>IFERROR(VLOOKUP($B20,MMWR_TRAD_AGG_RO_COMP[],K$1,0),"ERROR")</f>
        <v>981</v>
      </c>
      <c r="L20" s="208">
        <f>IFERROR(VLOOKUP($B20,MMWR_TRAD_AGG_RO_COMP[],L$1,0),"ERROR")</f>
        <v>561</v>
      </c>
      <c r="M20" s="219">
        <f t="shared" si="2"/>
        <v>0.5718654434250765</v>
      </c>
      <c r="N20" s="207">
        <f>IFERROR(VLOOKUP($B20,MMWR_TRAD_AGG_RO_COMP[],N$1,0),"ERROR")</f>
        <v>925</v>
      </c>
      <c r="O20" s="208">
        <f>IFERROR(VLOOKUP($B20,MMWR_TRAD_AGG_RO_COMP[],O$1,0),"ERROR")</f>
        <v>859</v>
      </c>
      <c r="P20" s="219">
        <f t="shared" si="3"/>
        <v>0.9286486486486486</v>
      </c>
      <c r="Q20" s="204">
        <f>IFERROR(VLOOKUP($B20,MMWR_TRAD_AGG_RO_COMP[],Q$1,0),"ERROR")</f>
        <v>1</v>
      </c>
      <c r="R20" s="204">
        <f>IFERROR(VLOOKUP($B20,MMWR_TRAD_AGG_RO_COMP[],R$1,0),"ERROR")</f>
        <v>0</v>
      </c>
      <c r="S20" s="204">
        <f>IFERROR(VLOOKUP($B20,MMWR_APP_RO[],S$1,0),"ERROR")</f>
        <v>363</v>
      </c>
      <c r="T20" s="25"/>
    </row>
    <row r="21" spans="1:20" x14ac:dyDescent="0.2">
      <c r="A21" s="107"/>
      <c r="B21" s="108" t="s">
        <v>440</v>
      </c>
      <c r="C21" s="212">
        <f>IFERROR(VLOOKUP($B21,MMWR_TRAD_AGG_RO_COMP[],C$1,0),"ERROR")</f>
        <v>37718</v>
      </c>
      <c r="D21" s="201">
        <f>IFERROR(VLOOKUP($B21,MMWR_TRAD_AGG_RO_COMP[],D$1,0),"ERROR")</f>
        <v>459.13855453629998</v>
      </c>
      <c r="E21" s="198">
        <f>IFERROR(VLOOKUP($B21,MMWR_TRAD_AGG_RO_COMP[],E$1,0),"ERROR")</f>
        <v>729</v>
      </c>
      <c r="F21" s="194">
        <f>IFERROR(VLOOKUP($B21,MMWR_TRAD_AGG_RO_COMP[],F$1,0),"ERROR")</f>
        <v>287</v>
      </c>
      <c r="G21" s="219">
        <f t="shared" si="0"/>
        <v>0.3936899862825789</v>
      </c>
      <c r="H21" s="193">
        <f>IFERROR(VLOOKUP($B21,MMWR_TRAD_AGG_RO_COMP[],H$1,0),"ERROR")</f>
        <v>38247</v>
      </c>
      <c r="I21" s="194">
        <f>IFERROR(VLOOKUP($B21,MMWR_TRAD_AGG_RO_COMP[],I$1,0),"ERROR")</f>
        <v>37222</v>
      </c>
      <c r="J21" s="219">
        <f t="shared" si="1"/>
        <v>0.97320051245849348</v>
      </c>
      <c r="K21" s="207">
        <f>IFERROR(VLOOKUP($B21,MMWR_TRAD_AGG_RO_COMP[],K$1,0),"ERROR")</f>
        <v>122</v>
      </c>
      <c r="L21" s="208">
        <f>IFERROR(VLOOKUP($B21,MMWR_TRAD_AGG_RO_COMP[],L$1,0),"ERROR")</f>
        <v>111</v>
      </c>
      <c r="M21" s="219">
        <f t="shared" si="2"/>
        <v>0.9098360655737705</v>
      </c>
      <c r="N21" s="207">
        <f>IFERROR(VLOOKUP($B21,MMWR_TRAD_AGG_RO_COMP[],N$1,0),"ERROR")</f>
        <v>1559</v>
      </c>
      <c r="O21" s="208">
        <f>IFERROR(VLOOKUP($B21,MMWR_TRAD_AGG_RO_COMP[],O$1,0),"ERROR")</f>
        <v>1397</v>
      </c>
      <c r="P21" s="219">
        <f t="shared" si="3"/>
        <v>0.89608723540731239</v>
      </c>
      <c r="Q21" s="204">
        <f>IFERROR(VLOOKUP($B21,MMWR_TRAD_AGG_RO_COMP[],Q$1,0),"ERROR")</f>
        <v>0</v>
      </c>
      <c r="R21" s="204">
        <f>IFERROR(VLOOKUP($B21,MMWR_TRAD_AGG_RO_COMP[],R$1,0),"ERROR")</f>
        <v>2</v>
      </c>
      <c r="S21" s="204">
        <f>IFERROR(VLOOKUP($B21,MMWR_APP_RO[],S$1,0),"ERROR")</f>
        <v>9</v>
      </c>
      <c r="T21" s="25"/>
    </row>
    <row r="22" spans="1:20" x14ac:dyDescent="0.2">
      <c r="A22" s="107"/>
      <c r="B22" s="108" t="s">
        <v>141</v>
      </c>
      <c r="C22" s="212">
        <f>IFERROR(VLOOKUP($B22,MMWR_TRAD_AGG_RO_COMP[],C$1,0),"ERROR")</f>
        <v>465</v>
      </c>
      <c r="D22" s="201">
        <f>IFERROR(VLOOKUP($B22,MMWR_TRAD_AGG_RO_COMP[],D$1,0),"ERROR")</f>
        <v>332.09247311830001</v>
      </c>
      <c r="E22" s="198">
        <f>IFERROR(VLOOKUP($B22,MMWR_TRAD_AGG_RO_COMP[],E$1,0),"ERROR")</f>
        <v>376</v>
      </c>
      <c r="F22" s="194">
        <f>IFERROR(VLOOKUP($B22,MMWR_TRAD_AGG_RO_COMP[],F$1,0),"ERROR")</f>
        <v>116</v>
      </c>
      <c r="G22" s="219">
        <f t="shared" si="0"/>
        <v>0.30851063829787234</v>
      </c>
      <c r="H22" s="193">
        <f>IFERROR(VLOOKUP($B22,MMWR_TRAD_AGG_RO_COMP[],H$1,0),"ERROR")</f>
        <v>640</v>
      </c>
      <c r="I22" s="194">
        <f>IFERROR(VLOOKUP($B22,MMWR_TRAD_AGG_RO_COMP[],I$1,0),"ERROR")</f>
        <v>424</v>
      </c>
      <c r="J22" s="219">
        <f t="shared" si="1"/>
        <v>0.66249999999999998</v>
      </c>
      <c r="K22" s="207">
        <f>IFERROR(VLOOKUP($B22,MMWR_TRAD_AGG_RO_COMP[],K$1,0),"ERROR")</f>
        <v>73</v>
      </c>
      <c r="L22" s="208">
        <f>IFERROR(VLOOKUP($B22,MMWR_TRAD_AGG_RO_COMP[],L$1,0),"ERROR")</f>
        <v>64</v>
      </c>
      <c r="M22" s="219">
        <f t="shared" si="2"/>
        <v>0.87671232876712324</v>
      </c>
      <c r="N22" s="207">
        <f>IFERROR(VLOOKUP($B22,MMWR_TRAD_AGG_RO_COMP[],N$1,0),"ERROR")</f>
        <v>99</v>
      </c>
      <c r="O22" s="208">
        <f>IFERROR(VLOOKUP($B22,MMWR_TRAD_AGG_RO_COMP[],O$1,0),"ERROR")</f>
        <v>77</v>
      </c>
      <c r="P22" s="219">
        <f t="shared" si="3"/>
        <v>0.77777777777777779</v>
      </c>
      <c r="Q22" s="204">
        <f>IFERROR(VLOOKUP($B22,MMWR_TRAD_AGG_RO_COMP[],Q$1,0),"ERROR")</f>
        <v>0</v>
      </c>
      <c r="R22" s="204">
        <f>IFERROR(VLOOKUP($B22,MMWR_TRAD_AGG_RO_COMP[],R$1,0),"ERROR")</f>
        <v>1</v>
      </c>
      <c r="S22" s="204">
        <f>IFERROR(VLOOKUP($B22,MMWR_APP_RO[],S$1,0),"ERROR")</f>
        <v>205</v>
      </c>
      <c r="T22" s="25"/>
    </row>
    <row r="23" spans="1:20" x14ac:dyDescent="0.2">
      <c r="A23" s="107"/>
      <c r="B23" s="108" t="s">
        <v>85</v>
      </c>
      <c r="C23" s="212">
        <f>IFERROR(VLOOKUP($B23,MMWR_TRAD_AGG_RO_COMP[],C$1,0),"ERROR")</f>
        <v>827</v>
      </c>
      <c r="D23" s="201">
        <f>IFERROR(VLOOKUP($B23,MMWR_TRAD_AGG_RO_COMP[],D$1,0),"ERROR")</f>
        <v>329.69165659010002</v>
      </c>
      <c r="E23" s="198">
        <f>IFERROR(VLOOKUP($B23,MMWR_TRAD_AGG_RO_COMP[],E$1,0),"ERROR")</f>
        <v>812</v>
      </c>
      <c r="F23" s="194">
        <f>IFERROR(VLOOKUP($B23,MMWR_TRAD_AGG_RO_COMP[],F$1,0),"ERROR")</f>
        <v>244</v>
      </c>
      <c r="G23" s="219">
        <f t="shared" si="0"/>
        <v>0.30049261083743845</v>
      </c>
      <c r="H23" s="193">
        <f>IFERROR(VLOOKUP($B23,MMWR_TRAD_AGG_RO_COMP[],H$1,0),"ERROR")</f>
        <v>882</v>
      </c>
      <c r="I23" s="194">
        <f>IFERROR(VLOOKUP($B23,MMWR_TRAD_AGG_RO_COMP[],I$1,0),"ERROR")</f>
        <v>424</v>
      </c>
      <c r="J23" s="219">
        <f t="shared" si="1"/>
        <v>0.48072562358276644</v>
      </c>
      <c r="K23" s="207">
        <f>IFERROR(VLOOKUP($B23,MMWR_TRAD_AGG_RO_COMP[],K$1,0),"ERROR")</f>
        <v>11</v>
      </c>
      <c r="L23" s="208">
        <f>IFERROR(VLOOKUP($B23,MMWR_TRAD_AGG_RO_COMP[],L$1,0),"ERROR")</f>
        <v>8</v>
      </c>
      <c r="M23" s="219">
        <f t="shared" si="2"/>
        <v>0.72727272727272729</v>
      </c>
      <c r="N23" s="207">
        <f>IFERROR(VLOOKUP($B23,MMWR_TRAD_AGG_RO_COMP[],N$1,0),"ERROR")</f>
        <v>275</v>
      </c>
      <c r="O23" s="208">
        <f>IFERROR(VLOOKUP($B23,MMWR_TRAD_AGG_RO_COMP[],O$1,0),"ERROR")</f>
        <v>137</v>
      </c>
      <c r="P23" s="219">
        <f t="shared" si="3"/>
        <v>0.49818181818181817</v>
      </c>
      <c r="Q23" s="204">
        <f>IFERROR(VLOOKUP($B23,MMWR_TRAD_AGG_RO_COMP[],Q$1,0),"ERROR")</f>
        <v>0</v>
      </c>
      <c r="R23" s="204">
        <f>IFERROR(VLOOKUP($B23,MMWR_TRAD_AGG_RO_COMP[],R$1,0),"ERROR")</f>
        <v>0</v>
      </c>
      <c r="S23" s="204">
        <f>IFERROR(VLOOKUP($B23,MMWR_APP_RO[],S$1,0),"ERROR")</f>
        <v>180</v>
      </c>
      <c r="T23" s="25"/>
    </row>
    <row r="24" spans="1:20" x14ac:dyDescent="0.2">
      <c r="A24" s="92"/>
      <c r="B24" s="116" t="s">
        <v>86</v>
      </c>
      <c r="C24" s="213">
        <f>IFERROR(VLOOKUP($B24,MMWR_TRAD_AGG_RO_COMP[],C$1,0),"ERROR")</f>
        <v>16436</v>
      </c>
      <c r="D24" s="202">
        <f>IFERROR(VLOOKUP($B24,MMWR_TRAD_AGG_RO_COMP[],D$1,0),"ERROR")</f>
        <v>301.777013872</v>
      </c>
      <c r="E24" s="199">
        <f>IFERROR(VLOOKUP($B24,MMWR_TRAD_AGG_RO_COMP[],E$1,0),"ERROR")</f>
        <v>24305</v>
      </c>
      <c r="F24" s="196">
        <f>IFERROR(VLOOKUP($B24,MMWR_TRAD_AGG_RO_COMP[],F$1,0),"ERROR")</f>
        <v>6177</v>
      </c>
      <c r="G24" s="220">
        <f t="shared" si="0"/>
        <v>0.25414523760543101</v>
      </c>
      <c r="H24" s="195">
        <f>IFERROR(VLOOKUP($B24,MMWR_TRAD_AGG_RO_COMP[],H$1,0),"ERROR")</f>
        <v>26605</v>
      </c>
      <c r="I24" s="196">
        <f>IFERROR(VLOOKUP($B24,MMWR_TRAD_AGG_RO_COMP[],I$1,0),"ERROR")</f>
        <v>14205</v>
      </c>
      <c r="J24" s="220">
        <f t="shared" si="1"/>
        <v>0.53392219507611349</v>
      </c>
      <c r="K24" s="209">
        <f>IFERROR(VLOOKUP($B24,MMWR_TRAD_AGG_RO_COMP[],K$1,0),"ERROR")</f>
        <v>4571</v>
      </c>
      <c r="L24" s="210">
        <f>IFERROR(VLOOKUP($B24,MMWR_TRAD_AGG_RO_COMP[],L$1,0),"ERROR")</f>
        <v>4072</v>
      </c>
      <c r="M24" s="220">
        <f t="shared" si="2"/>
        <v>0.89083351564209146</v>
      </c>
      <c r="N24" s="209">
        <f>IFERROR(VLOOKUP($B24,MMWR_TRAD_AGG_RO_COMP[],N$1,0),"ERROR")</f>
        <v>6826</v>
      </c>
      <c r="O24" s="210">
        <f>IFERROR(VLOOKUP($B24,MMWR_TRAD_AGG_RO_COMP[],O$1,0),"ERROR")</f>
        <v>4134</v>
      </c>
      <c r="P24" s="220">
        <f t="shared" si="3"/>
        <v>0.60562554937005564</v>
      </c>
      <c r="Q24" s="205">
        <f>IFERROR(VLOOKUP($B24,MMWR_TRAD_AGG_RO_COMP[],Q$1,0),"ERROR")</f>
        <v>0</v>
      </c>
      <c r="R24" s="205">
        <f>IFERROR(VLOOKUP($B24,MMWR_TRAD_AGG_RO_COMP[],R$1,0),"ERROR")</f>
        <v>23</v>
      </c>
      <c r="S24" s="204">
        <f>IFERROR(VLOOKUP($B24,MMWR_APP_RO[],S$1,0),"ERROR")</f>
        <v>9436</v>
      </c>
      <c r="T24" s="25"/>
    </row>
    <row r="25" spans="1:20" x14ac:dyDescent="0.2">
      <c r="A25" s="107"/>
      <c r="B25" s="101" t="s">
        <v>400</v>
      </c>
      <c r="C25" s="215">
        <f>IFERROR(VLOOKUP($B25,MMWR_TRAD_AGG_DISTRICT_COMP[],C$1,0),"ERROR")</f>
        <v>50064</v>
      </c>
      <c r="D25" s="200">
        <f>IFERROR(VLOOKUP($B25,MMWR_TRAD_AGG_DISTRICT_COMP[],D$1,0),"ERROR")</f>
        <v>382.49526605940002</v>
      </c>
      <c r="E25" s="216">
        <f>IFERROR(VLOOKUP($B25,MMWR_TRAD_AGG_DISTRICT_COMP[],E$1,0),"ERROR")</f>
        <v>56248</v>
      </c>
      <c r="F25" s="221">
        <f>IFERROR(VLOOKUP($B25,MMWR_TRAD_AGG_DISTRICT_COMP[],F$1,0),"ERROR")</f>
        <v>13460</v>
      </c>
      <c r="G25" s="217">
        <f t="shared" si="0"/>
        <v>0.23929739724079077</v>
      </c>
      <c r="H25" s="221">
        <f>IFERROR(VLOOKUP($B25,MMWR_TRAD_AGG_DISTRICT_COMP[],H$1,0),"ERROR")</f>
        <v>80369</v>
      </c>
      <c r="I25" s="221">
        <f>IFERROR(VLOOKUP($B25,MMWR_TRAD_AGG_DISTRICT_COMP[],I$1,0),"ERROR")</f>
        <v>41766</v>
      </c>
      <c r="J25" s="217">
        <f t="shared" si="1"/>
        <v>0.51967798529283682</v>
      </c>
      <c r="K25" s="215">
        <f>IFERROR(VLOOKUP($B25,MMWR_TRAD_AGG_DISTRICT_COMP[],K$1,0),"ERROR")</f>
        <v>9787</v>
      </c>
      <c r="L25" s="215">
        <f>IFERROR(VLOOKUP($B25,MMWR_TRAD_AGG_DISTRICT_COMP[],L$1,0),"ERROR")</f>
        <v>8075</v>
      </c>
      <c r="M25" s="217">
        <f t="shared" si="2"/>
        <v>0.8250740778583836</v>
      </c>
      <c r="N25" s="215">
        <f>IFERROR(VLOOKUP($B25,MMWR_TRAD_AGG_DISTRICT_COMP[],N$1,0),"ERROR")</f>
        <v>22543</v>
      </c>
      <c r="O25" s="215">
        <f>IFERROR(VLOOKUP($B25,MMWR_TRAD_AGG_DISTRICT_COMP[],O$1,0),"ERROR")</f>
        <v>16288</v>
      </c>
      <c r="P25" s="217">
        <f t="shared" si="3"/>
        <v>0.72253027547353943</v>
      </c>
      <c r="Q25" s="215">
        <f>IFERROR(VLOOKUP($B25,MMWR_TRAD_AGG_DISTRICT_COMP[],Q$1,0),"ERROR")</f>
        <v>156</v>
      </c>
      <c r="R25" s="218">
        <f>IFERROR(VLOOKUP($B25,MMWR_TRAD_AGG_DISTRICT_COMP[],R$1,0),"ERROR")</f>
        <v>1174</v>
      </c>
      <c r="S25" s="218">
        <f>IFERROR(VLOOKUP($B25,MMWR_APP_RO[],S$1,0),"ERROR")</f>
        <v>51219</v>
      </c>
      <c r="T25" s="25"/>
    </row>
    <row r="26" spans="1:20" x14ac:dyDescent="0.2">
      <c r="A26" s="107"/>
      <c r="B26" s="108" t="s">
        <v>40</v>
      </c>
      <c r="C26" s="212">
        <f>IFERROR(VLOOKUP($B26,MMWR_TRAD_AGG_RO_COMP[],C$1,0),"ERROR")</f>
        <v>6510</v>
      </c>
      <c r="D26" s="201">
        <f>IFERROR(VLOOKUP($B26,MMWR_TRAD_AGG_RO_COMP[],D$1,0),"ERROR")</f>
        <v>520.21705069120003</v>
      </c>
      <c r="E26" s="198">
        <f>IFERROR(VLOOKUP($B26,MMWR_TRAD_AGG_RO_COMP[],E$1,0),"ERROR")</f>
        <v>6752</v>
      </c>
      <c r="F26" s="194">
        <f>IFERROR(VLOOKUP($B26,MMWR_TRAD_AGG_RO_COMP[],F$1,0),"ERROR")</f>
        <v>2010</v>
      </c>
      <c r="G26" s="219">
        <f t="shared" si="0"/>
        <v>0.29768957345971564</v>
      </c>
      <c r="H26" s="193">
        <f>IFERROR(VLOOKUP($B26,MMWR_TRAD_AGG_RO_COMP[],H$1,0),"ERROR")</f>
        <v>7869</v>
      </c>
      <c r="I26" s="194">
        <f>IFERROR(VLOOKUP($B26,MMWR_TRAD_AGG_RO_COMP[],I$1,0),"ERROR")</f>
        <v>6011</v>
      </c>
      <c r="J26" s="219">
        <f t="shared" si="1"/>
        <v>0.76388359384928195</v>
      </c>
      <c r="K26" s="207">
        <f>IFERROR(VLOOKUP($B26,MMWR_TRAD_AGG_RO_COMP[],K$1,0),"ERROR")</f>
        <v>1372</v>
      </c>
      <c r="L26" s="208">
        <f>IFERROR(VLOOKUP($B26,MMWR_TRAD_AGG_RO_COMP[],L$1,0),"ERROR")</f>
        <v>1328</v>
      </c>
      <c r="M26" s="219">
        <f t="shared" si="2"/>
        <v>0.96793002915451898</v>
      </c>
      <c r="N26" s="207">
        <f>IFERROR(VLOOKUP($B26,MMWR_TRAD_AGG_RO_COMP[],N$1,0),"ERROR")</f>
        <v>2361</v>
      </c>
      <c r="O26" s="208">
        <f>IFERROR(VLOOKUP($B26,MMWR_TRAD_AGG_RO_COMP[],O$1,0),"ERROR")</f>
        <v>1829</v>
      </c>
      <c r="P26" s="219">
        <f t="shared" si="3"/>
        <v>0.77467174925878868</v>
      </c>
      <c r="Q26" s="204">
        <f>IFERROR(VLOOKUP($B26,MMWR_TRAD_AGG_RO_COMP[],Q$1,0),"ERROR")</f>
        <v>1</v>
      </c>
      <c r="R26" s="204">
        <f>IFERROR(VLOOKUP($B26,MMWR_TRAD_AGG_RO_COMP[],R$1,0),"ERROR")</f>
        <v>285</v>
      </c>
      <c r="S26" s="204">
        <f>IFERROR(VLOOKUP($B26,MMWR_APP_RO[],S$1,0),"ERROR")</f>
        <v>7504</v>
      </c>
      <c r="T26" s="25"/>
    </row>
    <row r="27" spans="1:20" x14ac:dyDescent="0.2">
      <c r="A27" s="107"/>
      <c r="B27" s="108" t="s">
        <v>41</v>
      </c>
      <c r="C27" s="212">
        <f>IFERROR(VLOOKUP($B27,MMWR_TRAD_AGG_RO_COMP[],C$1,0),"ERROR")</f>
        <v>7281</v>
      </c>
      <c r="D27" s="201">
        <f>IFERROR(VLOOKUP($B27,MMWR_TRAD_AGG_RO_COMP[],D$1,0),"ERROR")</f>
        <v>524.52424117570001</v>
      </c>
      <c r="E27" s="198">
        <f>IFERROR(VLOOKUP($B27,MMWR_TRAD_AGG_RO_COMP[],E$1,0),"ERROR")</f>
        <v>8107</v>
      </c>
      <c r="F27" s="194">
        <f>IFERROR(VLOOKUP($B27,MMWR_TRAD_AGG_RO_COMP[],F$1,0),"ERROR")</f>
        <v>2061</v>
      </c>
      <c r="G27" s="219">
        <f t="shared" si="0"/>
        <v>0.25422474404835327</v>
      </c>
      <c r="H27" s="193">
        <f>IFERROR(VLOOKUP($B27,MMWR_TRAD_AGG_RO_COMP[],H$1,0),"ERROR")</f>
        <v>9585</v>
      </c>
      <c r="I27" s="194">
        <f>IFERROR(VLOOKUP($B27,MMWR_TRAD_AGG_RO_COMP[],I$1,0),"ERROR")</f>
        <v>7578</v>
      </c>
      <c r="J27" s="219">
        <f t="shared" si="1"/>
        <v>0.79061032863849767</v>
      </c>
      <c r="K27" s="207">
        <f>IFERROR(VLOOKUP($B27,MMWR_TRAD_AGG_RO_COMP[],K$1,0),"ERROR")</f>
        <v>1519</v>
      </c>
      <c r="L27" s="208">
        <f>IFERROR(VLOOKUP($B27,MMWR_TRAD_AGG_RO_COMP[],L$1,0),"ERROR")</f>
        <v>1438</v>
      </c>
      <c r="M27" s="219">
        <f t="shared" si="2"/>
        <v>0.94667544437129691</v>
      </c>
      <c r="N27" s="207">
        <f>IFERROR(VLOOKUP($B27,MMWR_TRAD_AGG_RO_COMP[],N$1,0),"ERROR")</f>
        <v>6751</v>
      </c>
      <c r="O27" s="208">
        <f>IFERROR(VLOOKUP($B27,MMWR_TRAD_AGG_RO_COMP[],O$1,0),"ERROR")</f>
        <v>4041</v>
      </c>
      <c r="P27" s="219">
        <f t="shared" si="3"/>
        <v>0.59857798844615617</v>
      </c>
      <c r="Q27" s="204">
        <f>IFERROR(VLOOKUP($B27,MMWR_TRAD_AGG_RO_COMP[],Q$1,0),"ERROR")</f>
        <v>14</v>
      </c>
      <c r="R27" s="204">
        <f>IFERROR(VLOOKUP($B27,MMWR_TRAD_AGG_RO_COMP[],R$1,0),"ERROR")</f>
        <v>339</v>
      </c>
      <c r="S27" s="204">
        <f>IFERROR(VLOOKUP($B27,MMWR_APP_RO[],S$1,0),"ERROR")</f>
        <v>13921</v>
      </c>
      <c r="T27" s="25"/>
    </row>
    <row r="28" spans="1:20" x14ac:dyDescent="0.2">
      <c r="A28" s="107"/>
      <c r="B28" s="108" t="s">
        <v>44</v>
      </c>
      <c r="C28" s="212">
        <f>IFERROR(VLOOKUP($B28,MMWR_TRAD_AGG_RO_COMP[],C$1,0),"ERROR")</f>
        <v>1243</v>
      </c>
      <c r="D28" s="201">
        <f>IFERROR(VLOOKUP($B28,MMWR_TRAD_AGG_RO_COMP[],D$1,0),"ERROR")</f>
        <v>124.1834271923</v>
      </c>
      <c r="E28" s="198">
        <f>IFERROR(VLOOKUP($B28,MMWR_TRAD_AGG_RO_COMP[],E$1,0),"ERROR")</f>
        <v>2211</v>
      </c>
      <c r="F28" s="194">
        <f>IFERROR(VLOOKUP($B28,MMWR_TRAD_AGG_RO_COMP[],F$1,0),"ERROR")</f>
        <v>541</v>
      </c>
      <c r="G28" s="219">
        <f t="shared" si="0"/>
        <v>0.24468566259611035</v>
      </c>
      <c r="H28" s="193">
        <f>IFERROR(VLOOKUP($B28,MMWR_TRAD_AGG_RO_COMP[],H$1,0),"ERROR")</f>
        <v>2385</v>
      </c>
      <c r="I28" s="194">
        <f>IFERROR(VLOOKUP($B28,MMWR_TRAD_AGG_RO_COMP[],I$1,0),"ERROR")</f>
        <v>689</v>
      </c>
      <c r="J28" s="219">
        <f t="shared" si="1"/>
        <v>0.28888888888888886</v>
      </c>
      <c r="K28" s="207">
        <f>IFERROR(VLOOKUP($B28,MMWR_TRAD_AGG_RO_COMP[],K$1,0),"ERROR")</f>
        <v>201</v>
      </c>
      <c r="L28" s="208">
        <f>IFERROR(VLOOKUP($B28,MMWR_TRAD_AGG_RO_COMP[],L$1,0),"ERROR")</f>
        <v>160</v>
      </c>
      <c r="M28" s="219">
        <f t="shared" si="2"/>
        <v>0.79601990049751248</v>
      </c>
      <c r="N28" s="207">
        <f>IFERROR(VLOOKUP($B28,MMWR_TRAD_AGG_RO_COMP[],N$1,0),"ERROR")</f>
        <v>2847</v>
      </c>
      <c r="O28" s="208">
        <f>IFERROR(VLOOKUP($B28,MMWR_TRAD_AGG_RO_COMP[],O$1,0),"ERROR")</f>
        <v>2711</v>
      </c>
      <c r="P28" s="219">
        <f t="shared" si="3"/>
        <v>0.95223041798384267</v>
      </c>
      <c r="Q28" s="204">
        <f>IFERROR(VLOOKUP($B28,MMWR_TRAD_AGG_RO_COMP[],Q$1,0),"ERROR")</f>
        <v>0</v>
      </c>
      <c r="R28" s="204">
        <f>IFERROR(VLOOKUP($B28,MMWR_TRAD_AGG_RO_COMP[],R$1,0),"ERROR")</f>
        <v>11</v>
      </c>
      <c r="S28" s="204">
        <f>IFERROR(VLOOKUP($B28,MMWR_APP_RO[],S$1,0),"ERROR")</f>
        <v>1088</v>
      </c>
      <c r="T28" s="25"/>
    </row>
    <row r="29" spans="1:20" x14ac:dyDescent="0.2">
      <c r="A29" s="107"/>
      <c r="B29" s="108" t="s">
        <v>45</v>
      </c>
      <c r="C29" s="212">
        <f>IFERROR(VLOOKUP($B29,MMWR_TRAD_AGG_RO_COMP[],C$1,0),"ERROR")</f>
        <v>3084</v>
      </c>
      <c r="D29" s="201">
        <f>IFERROR(VLOOKUP($B29,MMWR_TRAD_AGG_RO_COMP[],D$1,0),"ERROR")</f>
        <v>231.44066147859999</v>
      </c>
      <c r="E29" s="198">
        <f>IFERROR(VLOOKUP($B29,MMWR_TRAD_AGG_RO_COMP[],E$1,0),"ERROR")</f>
        <v>7097</v>
      </c>
      <c r="F29" s="194">
        <f>IFERROR(VLOOKUP($B29,MMWR_TRAD_AGG_RO_COMP[],F$1,0),"ERROR")</f>
        <v>2040</v>
      </c>
      <c r="G29" s="219">
        <f t="shared" si="0"/>
        <v>0.28744539946456249</v>
      </c>
      <c r="H29" s="193">
        <f>IFERROR(VLOOKUP($B29,MMWR_TRAD_AGG_RO_COMP[],H$1,0),"ERROR")</f>
        <v>6327</v>
      </c>
      <c r="I29" s="194">
        <f>IFERROR(VLOOKUP($B29,MMWR_TRAD_AGG_RO_COMP[],I$1,0),"ERROR")</f>
        <v>2511</v>
      </c>
      <c r="J29" s="219">
        <f t="shared" si="1"/>
        <v>0.39687055476529159</v>
      </c>
      <c r="K29" s="207">
        <f>IFERROR(VLOOKUP($B29,MMWR_TRAD_AGG_RO_COMP[],K$1,0),"ERROR")</f>
        <v>1017</v>
      </c>
      <c r="L29" s="208">
        <f>IFERROR(VLOOKUP($B29,MMWR_TRAD_AGG_RO_COMP[],L$1,0),"ERROR")</f>
        <v>771</v>
      </c>
      <c r="M29" s="219">
        <f t="shared" si="2"/>
        <v>0.75811209439528027</v>
      </c>
      <c r="N29" s="207">
        <f>IFERROR(VLOOKUP($B29,MMWR_TRAD_AGG_RO_COMP[],N$1,0),"ERROR")</f>
        <v>651</v>
      </c>
      <c r="O29" s="208">
        <f>IFERROR(VLOOKUP($B29,MMWR_TRAD_AGG_RO_COMP[],O$1,0),"ERROR")</f>
        <v>418</v>
      </c>
      <c r="P29" s="219">
        <f t="shared" si="3"/>
        <v>0.64208909370199696</v>
      </c>
      <c r="Q29" s="204">
        <f>IFERROR(VLOOKUP($B29,MMWR_TRAD_AGG_RO_COMP[],Q$1,0),"ERROR")</f>
        <v>3</v>
      </c>
      <c r="R29" s="204">
        <f>IFERROR(VLOOKUP($B29,MMWR_TRAD_AGG_RO_COMP[],R$1,0),"ERROR")</f>
        <v>204</v>
      </c>
      <c r="S29" s="204">
        <f>IFERROR(VLOOKUP($B29,MMWR_APP_RO[],S$1,0),"ERROR")</f>
        <v>6043</v>
      </c>
      <c r="T29" s="25"/>
    </row>
    <row r="30" spans="1:20" x14ac:dyDescent="0.2">
      <c r="A30" s="107"/>
      <c r="B30" s="108" t="s">
        <v>46</v>
      </c>
      <c r="C30" s="212">
        <f>IFERROR(VLOOKUP($B30,MMWR_TRAD_AGG_RO_COMP[],C$1,0),"ERROR")</f>
        <v>165</v>
      </c>
      <c r="D30" s="201">
        <f>IFERROR(VLOOKUP($B30,MMWR_TRAD_AGG_RO_COMP[],D$1,0),"ERROR")</f>
        <v>51.393939393899998</v>
      </c>
      <c r="E30" s="198">
        <f>IFERROR(VLOOKUP($B30,MMWR_TRAD_AGG_RO_COMP[],E$1,0),"ERROR")</f>
        <v>866</v>
      </c>
      <c r="F30" s="194">
        <f>IFERROR(VLOOKUP($B30,MMWR_TRAD_AGG_RO_COMP[],F$1,0),"ERROR")</f>
        <v>181</v>
      </c>
      <c r="G30" s="219">
        <f t="shared" si="0"/>
        <v>0.20900692840646651</v>
      </c>
      <c r="H30" s="193">
        <f>IFERROR(VLOOKUP($B30,MMWR_TRAD_AGG_RO_COMP[],H$1,0),"ERROR")</f>
        <v>462</v>
      </c>
      <c r="I30" s="194">
        <f>IFERROR(VLOOKUP($B30,MMWR_TRAD_AGG_RO_COMP[],I$1,0),"ERROR")</f>
        <v>29</v>
      </c>
      <c r="J30" s="219">
        <f t="shared" si="1"/>
        <v>6.2770562770562768E-2</v>
      </c>
      <c r="K30" s="207">
        <f>IFERROR(VLOOKUP($B30,MMWR_TRAD_AGG_RO_COMP[],K$1,0),"ERROR")</f>
        <v>86</v>
      </c>
      <c r="L30" s="208">
        <f>IFERROR(VLOOKUP($B30,MMWR_TRAD_AGG_RO_COMP[],L$1,0),"ERROR")</f>
        <v>21</v>
      </c>
      <c r="M30" s="219">
        <f t="shared" si="2"/>
        <v>0.2441860465116279</v>
      </c>
      <c r="N30" s="207">
        <f>IFERROR(VLOOKUP($B30,MMWR_TRAD_AGG_RO_COMP[],N$1,0),"ERROR")</f>
        <v>46</v>
      </c>
      <c r="O30" s="208">
        <f>IFERROR(VLOOKUP($B30,MMWR_TRAD_AGG_RO_COMP[],O$1,0),"ERROR")</f>
        <v>14</v>
      </c>
      <c r="P30" s="219">
        <f t="shared" si="3"/>
        <v>0.30434782608695654</v>
      </c>
      <c r="Q30" s="204">
        <f>IFERROR(VLOOKUP($B30,MMWR_TRAD_AGG_RO_COMP[],Q$1,0),"ERROR")</f>
        <v>0</v>
      </c>
      <c r="R30" s="204">
        <f>IFERROR(VLOOKUP($B30,MMWR_TRAD_AGG_RO_COMP[],R$1,0),"ERROR")</f>
        <v>0</v>
      </c>
      <c r="S30" s="204">
        <f>IFERROR(VLOOKUP($B30,MMWR_APP_RO[],S$1,0),"ERROR")</f>
        <v>521</v>
      </c>
      <c r="T30" s="25"/>
    </row>
    <row r="31" spans="1:20" x14ac:dyDescent="0.2">
      <c r="A31" s="107"/>
      <c r="B31" s="108" t="s">
        <v>51</v>
      </c>
      <c r="C31" s="212">
        <f>IFERROR(VLOOKUP($B31,MMWR_TRAD_AGG_RO_COMP[],C$1,0),"ERROR")</f>
        <v>9968</v>
      </c>
      <c r="D31" s="201">
        <f>IFERROR(VLOOKUP($B31,MMWR_TRAD_AGG_RO_COMP[],D$1,0),"ERROR")</f>
        <v>570.86827849120004</v>
      </c>
      <c r="E31" s="198">
        <f>IFERROR(VLOOKUP($B31,MMWR_TRAD_AGG_RO_COMP[],E$1,0),"ERROR")</f>
        <v>4823</v>
      </c>
      <c r="F31" s="194">
        <f>IFERROR(VLOOKUP($B31,MMWR_TRAD_AGG_RO_COMP[],F$1,0),"ERROR")</f>
        <v>1124</v>
      </c>
      <c r="G31" s="219">
        <f t="shared" si="0"/>
        <v>0.23304996889902549</v>
      </c>
      <c r="H31" s="193">
        <f>IFERROR(VLOOKUP($B31,MMWR_TRAD_AGG_RO_COMP[],H$1,0),"ERROR")</f>
        <v>15872</v>
      </c>
      <c r="I31" s="194">
        <f>IFERROR(VLOOKUP($B31,MMWR_TRAD_AGG_RO_COMP[],I$1,0),"ERROR")</f>
        <v>9238</v>
      </c>
      <c r="J31" s="219">
        <f t="shared" si="1"/>
        <v>0.58203125</v>
      </c>
      <c r="K31" s="207">
        <f>IFERROR(VLOOKUP($B31,MMWR_TRAD_AGG_RO_COMP[],K$1,0),"ERROR")</f>
        <v>1014</v>
      </c>
      <c r="L31" s="208">
        <f>IFERROR(VLOOKUP($B31,MMWR_TRAD_AGG_RO_COMP[],L$1,0),"ERROR")</f>
        <v>857</v>
      </c>
      <c r="M31" s="219">
        <f t="shared" si="2"/>
        <v>0.84516765285996054</v>
      </c>
      <c r="N31" s="207">
        <f>IFERROR(VLOOKUP($B31,MMWR_TRAD_AGG_RO_COMP[],N$1,0),"ERROR")</f>
        <v>1920</v>
      </c>
      <c r="O31" s="208">
        <f>IFERROR(VLOOKUP($B31,MMWR_TRAD_AGG_RO_COMP[],O$1,0),"ERROR")</f>
        <v>1398</v>
      </c>
      <c r="P31" s="219">
        <f t="shared" si="3"/>
        <v>0.72812500000000002</v>
      </c>
      <c r="Q31" s="204">
        <f>IFERROR(VLOOKUP($B31,MMWR_TRAD_AGG_RO_COMP[],Q$1,0),"ERROR")</f>
        <v>3</v>
      </c>
      <c r="R31" s="204">
        <f>IFERROR(VLOOKUP($B31,MMWR_TRAD_AGG_RO_COMP[],R$1,0),"ERROR")</f>
        <v>210</v>
      </c>
      <c r="S31" s="204">
        <f>IFERROR(VLOOKUP($B31,MMWR_APP_RO[],S$1,0),"ERROR")</f>
        <v>8129</v>
      </c>
      <c r="T31" s="25"/>
    </row>
    <row r="32" spans="1:20" x14ac:dyDescent="0.2">
      <c r="A32" s="107"/>
      <c r="B32" s="108" t="s">
        <v>53</v>
      </c>
      <c r="C32" s="212">
        <f>IFERROR(VLOOKUP($B32,MMWR_TRAD_AGG_RO_COMP[],C$1,0),"ERROR")</f>
        <v>2682</v>
      </c>
      <c r="D32" s="201">
        <f>IFERROR(VLOOKUP($B32,MMWR_TRAD_AGG_RO_COMP[],D$1,0),"ERROR")</f>
        <v>123.86241610739999</v>
      </c>
      <c r="E32" s="198">
        <f>IFERROR(VLOOKUP($B32,MMWR_TRAD_AGG_RO_COMP[],E$1,0),"ERROR")</f>
        <v>1862</v>
      </c>
      <c r="F32" s="194">
        <f>IFERROR(VLOOKUP($B32,MMWR_TRAD_AGG_RO_COMP[],F$1,0),"ERROR")</f>
        <v>279</v>
      </c>
      <c r="G32" s="219">
        <f t="shared" si="0"/>
        <v>0.1498388829215897</v>
      </c>
      <c r="H32" s="193">
        <f>IFERROR(VLOOKUP($B32,MMWR_TRAD_AGG_RO_COMP[],H$1,0),"ERROR")</f>
        <v>4841</v>
      </c>
      <c r="I32" s="194">
        <f>IFERROR(VLOOKUP($B32,MMWR_TRAD_AGG_RO_COMP[],I$1,0),"ERROR")</f>
        <v>1018</v>
      </c>
      <c r="J32" s="219">
        <f t="shared" si="1"/>
        <v>0.21028713075810782</v>
      </c>
      <c r="K32" s="207">
        <f>IFERROR(VLOOKUP($B32,MMWR_TRAD_AGG_RO_COMP[],K$1,0),"ERROR")</f>
        <v>606</v>
      </c>
      <c r="L32" s="208">
        <f>IFERROR(VLOOKUP($B32,MMWR_TRAD_AGG_RO_COMP[],L$1,0),"ERROR")</f>
        <v>463</v>
      </c>
      <c r="M32" s="219">
        <f t="shared" si="2"/>
        <v>0.764026402640264</v>
      </c>
      <c r="N32" s="207">
        <f>IFERROR(VLOOKUP($B32,MMWR_TRAD_AGG_RO_COMP[],N$1,0),"ERROR")</f>
        <v>331</v>
      </c>
      <c r="O32" s="208">
        <f>IFERROR(VLOOKUP($B32,MMWR_TRAD_AGG_RO_COMP[],O$1,0),"ERROR")</f>
        <v>183</v>
      </c>
      <c r="P32" s="219">
        <f t="shared" si="3"/>
        <v>0.55287009063444104</v>
      </c>
      <c r="Q32" s="204">
        <f>IFERROR(VLOOKUP($B32,MMWR_TRAD_AGG_RO_COMP[],Q$1,0),"ERROR")</f>
        <v>0</v>
      </c>
      <c r="R32" s="204">
        <f>IFERROR(VLOOKUP($B32,MMWR_TRAD_AGG_RO_COMP[],R$1,0),"ERROR")</f>
        <v>14</v>
      </c>
      <c r="S32" s="204">
        <f>IFERROR(VLOOKUP($B32,MMWR_APP_RO[],S$1,0),"ERROR")</f>
        <v>1401</v>
      </c>
      <c r="T32" s="25"/>
    </row>
    <row r="33" spans="1:20" x14ac:dyDescent="0.2">
      <c r="A33" s="107"/>
      <c r="B33" s="108" t="s">
        <v>59</v>
      </c>
      <c r="C33" s="212">
        <f>IFERROR(VLOOKUP($B33,MMWR_TRAD_AGG_RO_COMP[],C$1,0),"ERROR")</f>
        <v>7492</v>
      </c>
      <c r="D33" s="201">
        <f>IFERROR(VLOOKUP($B33,MMWR_TRAD_AGG_RO_COMP[],D$1,0),"ERROR")</f>
        <v>244.890950347</v>
      </c>
      <c r="E33" s="198">
        <f>IFERROR(VLOOKUP($B33,MMWR_TRAD_AGG_RO_COMP[],E$1,0),"ERROR")</f>
        <v>5842</v>
      </c>
      <c r="F33" s="194">
        <f>IFERROR(VLOOKUP($B33,MMWR_TRAD_AGG_RO_COMP[],F$1,0),"ERROR")</f>
        <v>1263</v>
      </c>
      <c r="G33" s="219">
        <f t="shared" si="0"/>
        <v>0.21619308456008215</v>
      </c>
      <c r="H33" s="193">
        <f>IFERROR(VLOOKUP($B33,MMWR_TRAD_AGG_RO_COMP[],H$1,0),"ERROR")</f>
        <v>9723</v>
      </c>
      <c r="I33" s="194">
        <f>IFERROR(VLOOKUP($B33,MMWR_TRAD_AGG_RO_COMP[],I$1,0),"ERROR")</f>
        <v>4695</v>
      </c>
      <c r="J33" s="219">
        <f t="shared" si="1"/>
        <v>0.48287565566183277</v>
      </c>
      <c r="K33" s="207">
        <f>IFERROR(VLOOKUP($B33,MMWR_TRAD_AGG_RO_COMP[],K$1,0),"ERROR")</f>
        <v>334</v>
      </c>
      <c r="L33" s="208">
        <f>IFERROR(VLOOKUP($B33,MMWR_TRAD_AGG_RO_COMP[],L$1,0),"ERROR")</f>
        <v>222</v>
      </c>
      <c r="M33" s="219">
        <f t="shared" si="2"/>
        <v>0.66467065868263475</v>
      </c>
      <c r="N33" s="207">
        <f>IFERROR(VLOOKUP($B33,MMWR_TRAD_AGG_RO_COMP[],N$1,0),"ERROR")</f>
        <v>446</v>
      </c>
      <c r="O33" s="208">
        <f>IFERROR(VLOOKUP($B33,MMWR_TRAD_AGG_RO_COMP[],O$1,0),"ERROR")</f>
        <v>200</v>
      </c>
      <c r="P33" s="219">
        <f t="shared" si="3"/>
        <v>0.44843049327354262</v>
      </c>
      <c r="Q33" s="204">
        <f>IFERROR(VLOOKUP($B33,MMWR_TRAD_AGG_RO_COMP[],Q$1,0),"ERROR")</f>
        <v>71</v>
      </c>
      <c r="R33" s="204">
        <f>IFERROR(VLOOKUP($B33,MMWR_TRAD_AGG_RO_COMP[],R$1,0),"ERROR")</f>
        <v>0</v>
      </c>
      <c r="S33" s="204">
        <f>IFERROR(VLOOKUP($B33,MMWR_APP_RO[],S$1,0),"ERROR")</f>
        <v>3056</v>
      </c>
      <c r="T33" s="25"/>
    </row>
    <row r="34" spans="1:20" x14ac:dyDescent="0.2">
      <c r="A34" s="107"/>
      <c r="B34" s="108" t="s">
        <v>77</v>
      </c>
      <c r="C34" s="212">
        <f>IFERROR(VLOOKUP($B34,MMWR_TRAD_AGG_RO_COMP[],C$1,0),"ERROR")</f>
        <v>335</v>
      </c>
      <c r="D34" s="201">
        <f>IFERROR(VLOOKUP($B34,MMWR_TRAD_AGG_RO_COMP[],D$1,0),"ERROR")</f>
        <v>101.7044776119</v>
      </c>
      <c r="E34" s="198">
        <f>IFERROR(VLOOKUP($B34,MMWR_TRAD_AGG_RO_COMP[],E$1,0),"ERROR")</f>
        <v>837</v>
      </c>
      <c r="F34" s="194">
        <f>IFERROR(VLOOKUP($B34,MMWR_TRAD_AGG_RO_COMP[],F$1,0),"ERROR")</f>
        <v>210</v>
      </c>
      <c r="G34" s="219">
        <f t="shared" si="0"/>
        <v>0.25089605734767023</v>
      </c>
      <c r="H34" s="193">
        <f>IFERROR(VLOOKUP($B34,MMWR_TRAD_AGG_RO_COMP[],H$1,0),"ERROR")</f>
        <v>715</v>
      </c>
      <c r="I34" s="194">
        <f>IFERROR(VLOOKUP($B34,MMWR_TRAD_AGG_RO_COMP[],I$1,0),"ERROR")</f>
        <v>94</v>
      </c>
      <c r="J34" s="219">
        <f t="shared" si="1"/>
        <v>0.13146853146853146</v>
      </c>
      <c r="K34" s="207">
        <f>IFERROR(VLOOKUP($B34,MMWR_TRAD_AGG_RO_COMP[],K$1,0),"ERROR")</f>
        <v>451</v>
      </c>
      <c r="L34" s="208">
        <f>IFERROR(VLOOKUP($B34,MMWR_TRAD_AGG_RO_COMP[],L$1,0),"ERROR")</f>
        <v>120</v>
      </c>
      <c r="M34" s="219">
        <f t="shared" si="2"/>
        <v>0.26607538802660752</v>
      </c>
      <c r="N34" s="207">
        <f>IFERROR(VLOOKUP($B34,MMWR_TRAD_AGG_RO_COMP[],N$1,0),"ERROR")</f>
        <v>33</v>
      </c>
      <c r="O34" s="208">
        <f>IFERROR(VLOOKUP($B34,MMWR_TRAD_AGG_RO_COMP[],O$1,0),"ERROR")</f>
        <v>11</v>
      </c>
      <c r="P34" s="219">
        <f t="shared" si="3"/>
        <v>0.33333333333333331</v>
      </c>
      <c r="Q34" s="204">
        <f>IFERROR(VLOOKUP($B34,MMWR_TRAD_AGG_RO_COMP[],Q$1,0),"ERROR")</f>
        <v>0</v>
      </c>
      <c r="R34" s="204">
        <f>IFERROR(VLOOKUP($B34,MMWR_TRAD_AGG_RO_COMP[],R$1,0),"ERROR")</f>
        <v>1</v>
      </c>
      <c r="S34" s="204">
        <f>IFERROR(VLOOKUP($B34,MMWR_APP_RO[],S$1,0),"ERROR")</f>
        <v>229</v>
      </c>
      <c r="T34" s="25"/>
    </row>
    <row r="35" spans="1:20" x14ac:dyDescent="0.2">
      <c r="A35" s="107"/>
      <c r="B35" s="108" t="s">
        <v>78</v>
      </c>
      <c r="C35" s="212">
        <f>IFERROR(VLOOKUP($B35,MMWR_TRAD_AGG_RO_COMP[],C$1,0),"ERROR")</f>
        <v>5014</v>
      </c>
      <c r="D35" s="201">
        <f>IFERROR(VLOOKUP($B35,MMWR_TRAD_AGG_RO_COMP[],D$1,0),"ERROR")</f>
        <v>267.5153570004</v>
      </c>
      <c r="E35" s="198">
        <f>IFERROR(VLOOKUP($B35,MMWR_TRAD_AGG_RO_COMP[],E$1,0),"ERROR")</f>
        <v>4953</v>
      </c>
      <c r="F35" s="194">
        <f>IFERROR(VLOOKUP($B35,MMWR_TRAD_AGG_RO_COMP[],F$1,0),"ERROR")</f>
        <v>962</v>
      </c>
      <c r="G35" s="219">
        <f t="shared" si="0"/>
        <v>0.1942257217847769</v>
      </c>
      <c r="H35" s="193">
        <f>IFERROR(VLOOKUP($B35,MMWR_TRAD_AGG_RO_COMP[],H$1,0),"ERROR")</f>
        <v>7620</v>
      </c>
      <c r="I35" s="194">
        <f>IFERROR(VLOOKUP($B35,MMWR_TRAD_AGG_RO_COMP[],I$1,0),"ERROR")</f>
        <v>4697</v>
      </c>
      <c r="J35" s="219">
        <f t="shared" si="1"/>
        <v>0.61640419947506564</v>
      </c>
      <c r="K35" s="207">
        <f>IFERROR(VLOOKUP($B35,MMWR_TRAD_AGG_RO_COMP[],K$1,0),"ERROR")</f>
        <v>2242</v>
      </c>
      <c r="L35" s="208">
        <f>IFERROR(VLOOKUP($B35,MMWR_TRAD_AGG_RO_COMP[],L$1,0),"ERROR")</f>
        <v>2116</v>
      </c>
      <c r="M35" s="219">
        <f t="shared" si="2"/>
        <v>0.94380017841213204</v>
      </c>
      <c r="N35" s="207">
        <f>IFERROR(VLOOKUP($B35,MMWR_TRAD_AGG_RO_COMP[],N$1,0),"ERROR")</f>
        <v>5586</v>
      </c>
      <c r="O35" s="208">
        <f>IFERROR(VLOOKUP($B35,MMWR_TRAD_AGG_RO_COMP[],O$1,0),"ERROR")</f>
        <v>4676</v>
      </c>
      <c r="P35" s="219">
        <f t="shared" si="3"/>
        <v>0.83709273182957389</v>
      </c>
      <c r="Q35" s="204">
        <f>IFERROR(VLOOKUP($B35,MMWR_TRAD_AGG_RO_COMP[],Q$1,0),"ERROR")</f>
        <v>42</v>
      </c>
      <c r="R35" s="204">
        <f>IFERROR(VLOOKUP($B35,MMWR_TRAD_AGG_RO_COMP[],R$1,0),"ERROR")</f>
        <v>100</v>
      </c>
      <c r="S35" s="204">
        <f>IFERROR(VLOOKUP($B35,MMWR_APP_RO[],S$1,0),"ERROR")</f>
        <v>6310</v>
      </c>
      <c r="T35" s="25"/>
    </row>
    <row r="36" spans="1:20" x14ac:dyDescent="0.2">
      <c r="A36" s="28"/>
      <c r="B36" s="108" t="s">
        <v>79</v>
      </c>
      <c r="C36" s="222">
        <f>IFERROR(VLOOKUP($B36,MMWR_TRAD_AGG_RO_COMP[],C$1,0),"ERROR")</f>
        <v>4751</v>
      </c>
      <c r="D36" s="223">
        <f>IFERROR(VLOOKUP($B36,MMWR_TRAD_AGG_RO_COMP[],D$1,0),"ERROR")</f>
        <v>335.65354662179999</v>
      </c>
      <c r="E36" s="224">
        <f>IFERROR(VLOOKUP($B36,MMWR_TRAD_AGG_RO_COMP[],E$1,0),"ERROR")</f>
        <v>10319</v>
      </c>
      <c r="F36" s="225">
        <f>IFERROR(VLOOKUP($B36,MMWR_TRAD_AGG_RO_COMP[],F$1,0),"ERROR")</f>
        <v>2178</v>
      </c>
      <c r="G36" s="226">
        <f t="shared" si="0"/>
        <v>0.21106696385308654</v>
      </c>
      <c r="H36" s="227">
        <f>IFERROR(VLOOKUP($B36,MMWR_TRAD_AGG_RO_COMP[],H$1,0),"ERROR")</f>
        <v>12668</v>
      </c>
      <c r="I36" s="225">
        <f>IFERROR(VLOOKUP($B36,MMWR_TRAD_AGG_RO_COMP[],I$1,0),"ERROR")</f>
        <v>4180</v>
      </c>
      <c r="J36" s="226">
        <f t="shared" si="1"/>
        <v>0.32996526681401955</v>
      </c>
      <c r="K36" s="228">
        <f>IFERROR(VLOOKUP($B36,MMWR_TRAD_AGG_RO_COMP[],K$1,0),"ERROR")</f>
        <v>471</v>
      </c>
      <c r="L36" s="229">
        <f>IFERROR(VLOOKUP($B36,MMWR_TRAD_AGG_RO_COMP[],L$1,0),"ERROR")</f>
        <v>324</v>
      </c>
      <c r="M36" s="226">
        <f t="shared" si="2"/>
        <v>0.68789808917197448</v>
      </c>
      <c r="N36" s="228">
        <f>IFERROR(VLOOKUP($B36,MMWR_TRAD_AGG_RO_COMP[],N$1,0),"ERROR")</f>
        <v>1400</v>
      </c>
      <c r="O36" s="229">
        <f>IFERROR(VLOOKUP($B36,MMWR_TRAD_AGG_RO_COMP[],O$1,0),"ERROR")</f>
        <v>722</v>
      </c>
      <c r="P36" s="226">
        <f t="shared" si="3"/>
        <v>0.51571428571428568</v>
      </c>
      <c r="Q36" s="230">
        <f>IFERROR(VLOOKUP($B36,MMWR_TRAD_AGG_RO_COMP[],Q$1,0),"ERROR")</f>
        <v>22</v>
      </c>
      <c r="R36" s="230">
        <f>IFERROR(VLOOKUP($B36,MMWR_TRAD_AGG_RO_COMP[],R$1,0),"ERROR")</f>
        <v>0</v>
      </c>
      <c r="S36" s="204">
        <f>IFERROR(VLOOKUP($B36,MMWR_APP_RO[],S$1,0),"ERROR")</f>
        <v>1724</v>
      </c>
      <c r="T36" s="28"/>
    </row>
    <row r="37" spans="1:20" x14ac:dyDescent="0.2">
      <c r="A37" s="28"/>
      <c r="B37" s="116" t="s">
        <v>84</v>
      </c>
      <c r="C37" s="231">
        <f>IFERROR(VLOOKUP($B37,MMWR_TRAD_AGG_RO_COMP[],C$1,0),"ERROR")</f>
        <v>1539</v>
      </c>
      <c r="D37" s="232">
        <f>IFERROR(VLOOKUP($B37,MMWR_TRAD_AGG_RO_COMP[],D$1,0),"ERROR")</f>
        <v>155.6504223522</v>
      </c>
      <c r="E37" s="233">
        <f>IFERROR(VLOOKUP($B37,MMWR_TRAD_AGG_RO_COMP[],E$1,0),"ERROR")</f>
        <v>2579</v>
      </c>
      <c r="F37" s="234">
        <f>IFERROR(VLOOKUP($B37,MMWR_TRAD_AGG_RO_COMP[],F$1,0),"ERROR")</f>
        <v>611</v>
      </c>
      <c r="G37" s="235">
        <f t="shared" si="0"/>
        <v>0.23691353237689028</v>
      </c>
      <c r="H37" s="236">
        <f>IFERROR(VLOOKUP($B37,MMWR_TRAD_AGG_RO_COMP[],H$1,0),"ERROR")</f>
        <v>2302</v>
      </c>
      <c r="I37" s="234">
        <f>IFERROR(VLOOKUP($B37,MMWR_TRAD_AGG_RO_COMP[],I$1,0),"ERROR")</f>
        <v>1026</v>
      </c>
      <c r="J37" s="235">
        <f t="shared" si="1"/>
        <v>0.44569939183318852</v>
      </c>
      <c r="K37" s="237">
        <f>IFERROR(VLOOKUP($B37,MMWR_TRAD_AGG_RO_COMP[],K$1,0),"ERROR")</f>
        <v>474</v>
      </c>
      <c r="L37" s="238">
        <f>IFERROR(VLOOKUP($B37,MMWR_TRAD_AGG_RO_COMP[],L$1,0),"ERROR")</f>
        <v>255</v>
      </c>
      <c r="M37" s="235">
        <f t="shared" si="2"/>
        <v>0.53797468354430378</v>
      </c>
      <c r="N37" s="237">
        <f>IFERROR(VLOOKUP($B37,MMWR_TRAD_AGG_RO_COMP[],N$1,0),"ERROR")</f>
        <v>171</v>
      </c>
      <c r="O37" s="238">
        <f>IFERROR(VLOOKUP($B37,MMWR_TRAD_AGG_RO_COMP[],O$1,0),"ERROR")</f>
        <v>85</v>
      </c>
      <c r="P37" s="235">
        <f t="shared" si="3"/>
        <v>0.49707602339181284</v>
      </c>
      <c r="Q37" s="239">
        <f>IFERROR(VLOOKUP($B37,MMWR_TRAD_AGG_RO_COMP[],Q$1,0),"ERROR")</f>
        <v>0</v>
      </c>
      <c r="R37" s="239">
        <f>IFERROR(VLOOKUP($B37,MMWR_TRAD_AGG_RO_COMP[],R$1,0),"ERROR")</f>
        <v>10</v>
      </c>
      <c r="S37" s="204">
        <f>IFERROR(VLOOKUP($B37,MMWR_APP_RO[],S$1,0),"ERROR")</f>
        <v>1293</v>
      </c>
      <c r="T37" s="28"/>
    </row>
    <row r="38" spans="1:20" x14ac:dyDescent="0.2">
      <c r="A38" s="28"/>
      <c r="B38" s="101" t="s">
        <v>395</v>
      </c>
      <c r="C38" s="215">
        <f>IFERROR(VLOOKUP($B38,MMWR_TRAD_AGG_DISTRICT_COMP[],C$1,0),"ERROR")</f>
        <v>59979</v>
      </c>
      <c r="D38" s="200">
        <f>IFERROR(VLOOKUP($B38,MMWR_TRAD_AGG_DISTRICT_COMP[],D$1,0),"ERROR")</f>
        <v>319.91940512510001</v>
      </c>
      <c r="E38" s="216">
        <f>IFERROR(VLOOKUP($B38,MMWR_TRAD_AGG_DISTRICT_COMP[],E$1,0),"ERROR")</f>
        <v>68305</v>
      </c>
      <c r="F38" s="221">
        <f>IFERROR(VLOOKUP($B38,MMWR_TRAD_AGG_DISTRICT_COMP[],F$1,0),"ERROR")</f>
        <v>18249</v>
      </c>
      <c r="G38" s="217">
        <f t="shared" si="0"/>
        <v>0.26716931410584877</v>
      </c>
      <c r="H38" s="221">
        <f>IFERROR(VLOOKUP($B38,MMWR_TRAD_AGG_DISTRICT_COMP[],H$1,0),"ERROR")</f>
        <v>93668</v>
      </c>
      <c r="I38" s="221">
        <f>IFERROR(VLOOKUP($B38,MMWR_TRAD_AGG_DISTRICT_COMP[],I$1,0),"ERROR")</f>
        <v>49194</v>
      </c>
      <c r="J38" s="217">
        <f t="shared" si="1"/>
        <v>0.52519537088440027</v>
      </c>
      <c r="K38" s="215">
        <f>IFERROR(VLOOKUP($B38,MMWR_TRAD_AGG_DISTRICT_COMP[],K$1,0),"ERROR")</f>
        <v>14422</v>
      </c>
      <c r="L38" s="215">
        <f>IFERROR(VLOOKUP($B38,MMWR_TRAD_AGG_DISTRICT_COMP[],L$1,0),"ERROR")</f>
        <v>9874</v>
      </c>
      <c r="M38" s="217">
        <f t="shared" si="2"/>
        <v>0.68464845375121341</v>
      </c>
      <c r="N38" s="215">
        <f>IFERROR(VLOOKUP($B38,MMWR_TRAD_AGG_DISTRICT_COMP[],N$1,0),"ERROR")</f>
        <v>21495</v>
      </c>
      <c r="O38" s="215">
        <f>IFERROR(VLOOKUP($B38,MMWR_TRAD_AGG_DISTRICT_COMP[],O$1,0),"ERROR")</f>
        <v>14970</v>
      </c>
      <c r="P38" s="217">
        <f t="shared" si="3"/>
        <v>0.69644103279832514</v>
      </c>
      <c r="Q38" s="215">
        <f>IFERROR(VLOOKUP($B38,MMWR_TRAD_AGG_DISTRICT_COMP[],Q$1,0),"ERROR")</f>
        <v>113</v>
      </c>
      <c r="R38" s="218">
        <f>IFERROR(VLOOKUP($B38,MMWR_TRAD_AGG_DISTRICT_COMP[],R$1,0),"ERROR")</f>
        <v>1250</v>
      </c>
      <c r="S38" s="218">
        <f>IFERROR(VLOOKUP($B38,MMWR_APP_RO[],S$1,0),"ERROR")</f>
        <v>64675</v>
      </c>
      <c r="T38" s="28"/>
    </row>
    <row r="39" spans="1:20" x14ac:dyDescent="0.2">
      <c r="A39" s="28"/>
      <c r="B39" s="108" t="s">
        <v>39</v>
      </c>
      <c r="C39" s="222">
        <f>IFERROR(VLOOKUP($B39,MMWR_TRAD_AGG_RO_COMP[],C$1,0),"ERROR")</f>
        <v>627</v>
      </c>
      <c r="D39" s="223">
        <f>IFERROR(VLOOKUP($B39,MMWR_TRAD_AGG_RO_COMP[],D$1,0),"ERROR")</f>
        <v>247.6012759171</v>
      </c>
      <c r="E39" s="224">
        <f>IFERROR(VLOOKUP($B39,MMWR_TRAD_AGG_RO_COMP[],E$1,0),"ERROR")</f>
        <v>846</v>
      </c>
      <c r="F39" s="225">
        <f>IFERROR(VLOOKUP($B39,MMWR_TRAD_AGG_RO_COMP[],F$1,0),"ERROR")</f>
        <v>169</v>
      </c>
      <c r="G39" s="226">
        <f t="shared" si="0"/>
        <v>0.19976359338061467</v>
      </c>
      <c r="H39" s="227">
        <f>IFERROR(VLOOKUP($B39,MMWR_TRAD_AGG_RO_COMP[],H$1,0),"ERROR")</f>
        <v>922</v>
      </c>
      <c r="I39" s="225">
        <f>IFERROR(VLOOKUP($B39,MMWR_TRAD_AGG_RO_COMP[],I$1,0),"ERROR")</f>
        <v>406</v>
      </c>
      <c r="J39" s="226">
        <f t="shared" si="1"/>
        <v>0.4403470715835141</v>
      </c>
      <c r="K39" s="228">
        <f>IFERROR(VLOOKUP($B39,MMWR_TRAD_AGG_RO_COMP[],K$1,0),"ERROR")</f>
        <v>89</v>
      </c>
      <c r="L39" s="229">
        <f>IFERROR(VLOOKUP($B39,MMWR_TRAD_AGG_RO_COMP[],L$1,0),"ERROR")</f>
        <v>75</v>
      </c>
      <c r="M39" s="226">
        <f t="shared" si="2"/>
        <v>0.84269662921348309</v>
      </c>
      <c r="N39" s="228">
        <f>IFERROR(VLOOKUP($B39,MMWR_TRAD_AGG_RO_COMP[],N$1,0),"ERROR")</f>
        <v>124</v>
      </c>
      <c r="O39" s="229">
        <f>IFERROR(VLOOKUP($B39,MMWR_TRAD_AGG_RO_COMP[],O$1,0),"ERROR")</f>
        <v>34</v>
      </c>
      <c r="P39" s="226">
        <f t="shared" si="3"/>
        <v>0.27419354838709675</v>
      </c>
      <c r="Q39" s="230">
        <f>IFERROR(VLOOKUP($B39,MMWR_TRAD_AGG_RO_COMP[],Q$1,0),"ERROR")</f>
        <v>17</v>
      </c>
      <c r="R39" s="230">
        <f>IFERROR(VLOOKUP($B39,MMWR_TRAD_AGG_RO_COMP[],R$1,0),"ERROR")</f>
        <v>7</v>
      </c>
      <c r="S39" s="204">
        <f>IFERROR(VLOOKUP($B39,MMWR_APP_RO[],S$1,0),"ERROR")</f>
        <v>324</v>
      </c>
      <c r="T39" s="28"/>
    </row>
    <row r="40" spans="1:20" x14ac:dyDescent="0.2">
      <c r="A40" s="28"/>
      <c r="B40" s="108" t="s">
        <v>43</v>
      </c>
      <c r="C40" s="222">
        <f>IFERROR(VLOOKUP($B40,MMWR_TRAD_AGG_RO_COMP[],C$1,0),"ERROR")</f>
        <v>6840</v>
      </c>
      <c r="D40" s="223">
        <f>IFERROR(VLOOKUP($B40,MMWR_TRAD_AGG_RO_COMP[],D$1,0),"ERROR")</f>
        <v>420.62719298249999</v>
      </c>
      <c r="E40" s="224">
        <f>IFERROR(VLOOKUP($B40,MMWR_TRAD_AGG_RO_COMP[],E$1,0),"ERROR")</f>
        <v>7173</v>
      </c>
      <c r="F40" s="225">
        <f>IFERROR(VLOOKUP($B40,MMWR_TRAD_AGG_RO_COMP[],F$1,0),"ERROR")</f>
        <v>2667</v>
      </c>
      <c r="G40" s="226">
        <f t="shared" si="0"/>
        <v>0.37181095775826012</v>
      </c>
      <c r="H40" s="227">
        <f>IFERROR(VLOOKUP($B40,MMWR_TRAD_AGG_RO_COMP[],H$1,0),"ERROR")</f>
        <v>8982</v>
      </c>
      <c r="I40" s="225">
        <f>IFERROR(VLOOKUP($B40,MMWR_TRAD_AGG_RO_COMP[],I$1,0),"ERROR")</f>
        <v>6145</v>
      </c>
      <c r="J40" s="226">
        <f t="shared" si="1"/>
        <v>0.68414606991761295</v>
      </c>
      <c r="K40" s="228">
        <f>IFERROR(VLOOKUP($B40,MMWR_TRAD_AGG_RO_COMP[],K$1,0),"ERROR")</f>
        <v>2029</v>
      </c>
      <c r="L40" s="229">
        <f>IFERROR(VLOOKUP($B40,MMWR_TRAD_AGG_RO_COMP[],L$1,0),"ERROR")</f>
        <v>1768</v>
      </c>
      <c r="M40" s="226">
        <f t="shared" si="2"/>
        <v>0.87136520453425337</v>
      </c>
      <c r="N40" s="228">
        <f>IFERROR(VLOOKUP($B40,MMWR_TRAD_AGG_RO_COMP[],N$1,0),"ERROR")</f>
        <v>4892</v>
      </c>
      <c r="O40" s="229">
        <f>IFERROR(VLOOKUP($B40,MMWR_TRAD_AGG_RO_COMP[],O$1,0),"ERROR")</f>
        <v>3792</v>
      </c>
      <c r="P40" s="226">
        <f t="shared" si="3"/>
        <v>0.7751430907604252</v>
      </c>
      <c r="Q40" s="230">
        <f>IFERROR(VLOOKUP($B40,MMWR_TRAD_AGG_RO_COMP[],Q$1,0),"ERROR")</f>
        <v>0</v>
      </c>
      <c r="R40" s="230">
        <f>IFERROR(VLOOKUP($B40,MMWR_TRAD_AGG_RO_COMP[],R$1,0),"ERROR")</f>
        <v>66</v>
      </c>
      <c r="S40" s="204">
        <f>IFERROR(VLOOKUP($B40,MMWR_APP_RO[],S$1,0),"ERROR")</f>
        <v>5786</v>
      </c>
      <c r="T40" s="28"/>
    </row>
    <row r="41" spans="1:20" x14ac:dyDescent="0.2">
      <c r="A41" s="28"/>
      <c r="B41" s="108" t="s">
        <v>187</v>
      </c>
      <c r="C41" s="222">
        <f>IFERROR(VLOOKUP($B41,MMWR_TRAD_AGG_RO_COMP[],C$1,0),"ERROR")</f>
        <v>756</v>
      </c>
      <c r="D41" s="223">
        <f>IFERROR(VLOOKUP($B41,MMWR_TRAD_AGG_RO_COMP[],D$1,0),"ERROR")</f>
        <v>188.7314814815</v>
      </c>
      <c r="E41" s="224">
        <f>IFERROR(VLOOKUP($B41,MMWR_TRAD_AGG_RO_COMP[],E$1,0),"ERROR")</f>
        <v>845</v>
      </c>
      <c r="F41" s="225">
        <f>IFERROR(VLOOKUP($B41,MMWR_TRAD_AGG_RO_COMP[],F$1,0),"ERROR")</f>
        <v>76</v>
      </c>
      <c r="G41" s="226">
        <f t="shared" si="0"/>
        <v>8.9940828402366862E-2</v>
      </c>
      <c r="H41" s="227">
        <f>IFERROR(VLOOKUP($B41,MMWR_TRAD_AGG_RO_COMP[],H$1,0),"ERROR")</f>
        <v>1229</v>
      </c>
      <c r="I41" s="225">
        <f>IFERROR(VLOOKUP($B41,MMWR_TRAD_AGG_RO_COMP[],I$1,0),"ERROR")</f>
        <v>380</v>
      </c>
      <c r="J41" s="226">
        <f t="shared" si="1"/>
        <v>0.30919446704637915</v>
      </c>
      <c r="K41" s="228">
        <f>IFERROR(VLOOKUP($B41,MMWR_TRAD_AGG_RO_COMP[],K$1,0),"ERROR")</f>
        <v>338</v>
      </c>
      <c r="L41" s="229">
        <f>IFERROR(VLOOKUP($B41,MMWR_TRAD_AGG_RO_COMP[],L$1,0),"ERROR")</f>
        <v>171</v>
      </c>
      <c r="M41" s="226">
        <f t="shared" si="2"/>
        <v>0.50591715976331364</v>
      </c>
      <c r="N41" s="228">
        <f>IFERROR(VLOOKUP($B41,MMWR_TRAD_AGG_RO_COMP[],N$1,0),"ERROR")</f>
        <v>88</v>
      </c>
      <c r="O41" s="229">
        <f>IFERROR(VLOOKUP($B41,MMWR_TRAD_AGG_RO_COMP[],O$1,0),"ERROR")</f>
        <v>30</v>
      </c>
      <c r="P41" s="226">
        <f t="shared" si="3"/>
        <v>0.34090909090909088</v>
      </c>
      <c r="Q41" s="230">
        <f>IFERROR(VLOOKUP($B41,MMWR_TRAD_AGG_RO_COMP[],Q$1,0),"ERROR")</f>
        <v>0</v>
      </c>
      <c r="R41" s="230">
        <f>IFERROR(VLOOKUP($B41,MMWR_TRAD_AGG_RO_COMP[],R$1,0),"ERROR")</f>
        <v>2</v>
      </c>
      <c r="S41" s="204">
        <f>IFERROR(VLOOKUP($B41,MMWR_APP_RO[],S$1,0),"ERROR")</f>
        <v>240</v>
      </c>
      <c r="T41" s="28"/>
    </row>
    <row r="42" spans="1:20" x14ac:dyDescent="0.2">
      <c r="A42" s="28"/>
      <c r="B42" s="108" t="s">
        <v>49</v>
      </c>
      <c r="C42" s="222">
        <f>IFERROR(VLOOKUP($B42,MMWR_TRAD_AGG_RO_COMP[],C$1,0),"ERROR")</f>
        <v>13136</v>
      </c>
      <c r="D42" s="223">
        <f>IFERROR(VLOOKUP($B42,MMWR_TRAD_AGG_RO_COMP[],D$1,0),"ERROR")</f>
        <v>340.34264616320002</v>
      </c>
      <c r="E42" s="224">
        <f>IFERROR(VLOOKUP($B42,MMWR_TRAD_AGG_RO_COMP[],E$1,0),"ERROR")</f>
        <v>16779</v>
      </c>
      <c r="F42" s="225">
        <f>IFERROR(VLOOKUP($B42,MMWR_TRAD_AGG_RO_COMP[],F$1,0),"ERROR")</f>
        <v>5037</v>
      </c>
      <c r="G42" s="226">
        <f t="shared" si="0"/>
        <v>0.30019667441444664</v>
      </c>
      <c r="H42" s="227">
        <f>IFERROR(VLOOKUP($B42,MMWR_TRAD_AGG_RO_COMP[],H$1,0),"ERROR")</f>
        <v>17348</v>
      </c>
      <c r="I42" s="225">
        <f>IFERROR(VLOOKUP($B42,MMWR_TRAD_AGG_RO_COMP[],I$1,0),"ERROR")</f>
        <v>11495</v>
      </c>
      <c r="J42" s="226">
        <f t="shared" si="1"/>
        <v>0.66261240488817152</v>
      </c>
      <c r="K42" s="228">
        <f>IFERROR(VLOOKUP($B42,MMWR_TRAD_AGG_RO_COMP[],K$1,0),"ERROR")</f>
        <v>1782</v>
      </c>
      <c r="L42" s="229">
        <f>IFERROR(VLOOKUP($B42,MMWR_TRAD_AGG_RO_COMP[],L$1,0),"ERROR")</f>
        <v>1466</v>
      </c>
      <c r="M42" s="226">
        <f t="shared" si="2"/>
        <v>0.82267115600448937</v>
      </c>
      <c r="N42" s="228">
        <f>IFERROR(VLOOKUP($B42,MMWR_TRAD_AGG_RO_COMP[],N$1,0),"ERROR")</f>
        <v>4107</v>
      </c>
      <c r="O42" s="229">
        <f>IFERROR(VLOOKUP($B42,MMWR_TRAD_AGG_RO_COMP[],O$1,0),"ERROR")</f>
        <v>3035</v>
      </c>
      <c r="P42" s="226">
        <f t="shared" si="3"/>
        <v>0.73898222546871195</v>
      </c>
      <c r="Q42" s="230">
        <f>IFERROR(VLOOKUP($B42,MMWR_TRAD_AGG_RO_COMP[],Q$1,0),"ERROR")</f>
        <v>0</v>
      </c>
      <c r="R42" s="230">
        <f>IFERROR(VLOOKUP($B42,MMWR_TRAD_AGG_RO_COMP[],R$1,0),"ERROR")</f>
        <v>242</v>
      </c>
      <c r="S42" s="204">
        <f>IFERROR(VLOOKUP($B42,MMWR_APP_RO[],S$1,0),"ERROR")</f>
        <v>19420</v>
      </c>
      <c r="T42" s="28"/>
    </row>
    <row r="43" spans="1:20" x14ac:dyDescent="0.2">
      <c r="A43" s="28"/>
      <c r="B43" s="108" t="s">
        <v>52</v>
      </c>
      <c r="C43" s="222">
        <f>IFERROR(VLOOKUP($B43,MMWR_TRAD_AGG_RO_COMP[],C$1,0),"ERROR")</f>
        <v>4203</v>
      </c>
      <c r="D43" s="223">
        <f>IFERROR(VLOOKUP($B43,MMWR_TRAD_AGG_RO_COMP[],D$1,0),"ERROR")</f>
        <v>384.77230549609999</v>
      </c>
      <c r="E43" s="224">
        <f>IFERROR(VLOOKUP($B43,MMWR_TRAD_AGG_RO_COMP[],E$1,0),"ERROR")</f>
        <v>4275</v>
      </c>
      <c r="F43" s="225">
        <f>IFERROR(VLOOKUP($B43,MMWR_TRAD_AGG_RO_COMP[],F$1,0),"ERROR")</f>
        <v>1583</v>
      </c>
      <c r="G43" s="226">
        <f t="shared" si="0"/>
        <v>0.37029239766081873</v>
      </c>
      <c r="H43" s="227">
        <f>IFERROR(VLOOKUP($B43,MMWR_TRAD_AGG_RO_COMP[],H$1,0),"ERROR")</f>
        <v>6224</v>
      </c>
      <c r="I43" s="225">
        <f>IFERROR(VLOOKUP($B43,MMWR_TRAD_AGG_RO_COMP[],I$1,0),"ERROR")</f>
        <v>4007</v>
      </c>
      <c r="J43" s="226">
        <f t="shared" si="1"/>
        <v>0.64379820051413883</v>
      </c>
      <c r="K43" s="228">
        <f>IFERROR(VLOOKUP($B43,MMWR_TRAD_AGG_RO_COMP[],K$1,0),"ERROR")</f>
        <v>1965</v>
      </c>
      <c r="L43" s="229">
        <f>IFERROR(VLOOKUP($B43,MMWR_TRAD_AGG_RO_COMP[],L$1,0),"ERROR")</f>
        <v>1492</v>
      </c>
      <c r="M43" s="226">
        <f t="shared" si="2"/>
        <v>0.75928753180661579</v>
      </c>
      <c r="N43" s="228">
        <f>IFERROR(VLOOKUP($B43,MMWR_TRAD_AGG_RO_COMP[],N$1,0),"ERROR")</f>
        <v>2243</v>
      </c>
      <c r="O43" s="229">
        <f>IFERROR(VLOOKUP($B43,MMWR_TRAD_AGG_RO_COMP[],O$1,0),"ERROR")</f>
        <v>1345</v>
      </c>
      <c r="P43" s="226">
        <f t="shared" si="3"/>
        <v>0.59964333481943821</v>
      </c>
      <c r="Q43" s="230">
        <f>IFERROR(VLOOKUP($B43,MMWR_TRAD_AGG_RO_COMP[],Q$1,0),"ERROR")</f>
        <v>91</v>
      </c>
      <c r="R43" s="230">
        <f>IFERROR(VLOOKUP($B43,MMWR_TRAD_AGG_RO_COMP[],R$1,0),"ERROR")</f>
        <v>175</v>
      </c>
      <c r="S43" s="204">
        <f>IFERROR(VLOOKUP($B43,MMWR_APP_RO[],S$1,0),"ERROR")</f>
        <v>4265</v>
      </c>
      <c r="T43" s="28"/>
    </row>
    <row r="44" spans="1:20" x14ac:dyDescent="0.2">
      <c r="A44" s="28"/>
      <c r="B44" s="108" t="s">
        <v>54</v>
      </c>
      <c r="C44" s="222">
        <f>IFERROR(VLOOKUP($B44,MMWR_TRAD_AGG_RO_COMP[],C$1,0),"ERROR")</f>
        <v>4678</v>
      </c>
      <c r="D44" s="223">
        <f>IFERROR(VLOOKUP($B44,MMWR_TRAD_AGG_RO_COMP[],D$1,0),"ERROR")</f>
        <v>331.0273621206</v>
      </c>
      <c r="E44" s="224">
        <f>IFERROR(VLOOKUP($B44,MMWR_TRAD_AGG_RO_COMP[],E$1,0),"ERROR")</f>
        <v>3499</v>
      </c>
      <c r="F44" s="225">
        <f>IFERROR(VLOOKUP($B44,MMWR_TRAD_AGG_RO_COMP[],F$1,0),"ERROR")</f>
        <v>606</v>
      </c>
      <c r="G44" s="226">
        <f t="shared" si="0"/>
        <v>0.17319234066876249</v>
      </c>
      <c r="H44" s="227">
        <f>IFERROR(VLOOKUP($B44,MMWR_TRAD_AGG_RO_COMP[],H$1,0),"ERROR")</f>
        <v>8285</v>
      </c>
      <c r="I44" s="225">
        <f>IFERROR(VLOOKUP($B44,MMWR_TRAD_AGG_RO_COMP[],I$1,0),"ERROR")</f>
        <v>3749</v>
      </c>
      <c r="J44" s="226">
        <f t="shared" si="1"/>
        <v>0.45250452625226312</v>
      </c>
      <c r="K44" s="228">
        <f>IFERROR(VLOOKUP($B44,MMWR_TRAD_AGG_RO_COMP[],K$1,0),"ERROR")</f>
        <v>3795</v>
      </c>
      <c r="L44" s="229">
        <f>IFERROR(VLOOKUP($B44,MMWR_TRAD_AGG_RO_COMP[],L$1,0),"ERROR")</f>
        <v>2198</v>
      </c>
      <c r="M44" s="226">
        <f t="shared" si="2"/>
        <v>0.57918313570487479</v>
      </c>
      <c r="N44" s="228">
        <f>IFERROR(VLOOKUP($B44,MMWR_TRAD_AGG_RO_COMP[],N$1,0),"ERROR")</f>
        <v>5452</v>
      </c>
      <c r="O44" s="229">
        <f>IFERROR(VLOOKUP($B44,MMWR_TRAD_AGG_RO_COMP[],O$1,0),"ERROR")</f>
        <v>4733</v>
      </c>
      <c r="P44" s="226">
        <f t="shared" si="3"/>
        <v>0.86812179016874547</v>
      </c>
      <c r="Q44" s="230">
        <f>IFERROR(VLOOKUP($B44,MMWR_TRAD_AGG_RO_COMP[],Q$1,0),"ERROR")</f>
        <v>1</v>
      </c>
      <c r="R44" s="230">
        <f>IFERROR(VLOOKUP($B44,MMWR_TRAD_AGG_RO_COMP[],R$1,0),"ERROR")</f>
        <v>158</v>
      </c>
      <c r="S44" s="204">
        <f>IFERROR(VLOOKUP($B44,MMWR_APP_RO[],S$1,0),"ERROR")</f>
        <v>5250</v>
      </c>
      <c r="T44" s="28"/>
    </row>
    <row r="45" spans="1:20" x14ac:dyDescent="0.2">
      <c r="A45" s="28"/>
      <c r="B45" s="108" t="s">
        <v>27</v>
      </c>
      <c r="C45" s="222">
        <f>IFERROR(VLOOKUP($B45,MMWR_TRAD_AGG_RO_COMP[],C$1,0),"ERROR")</f>
        <v>2307</v>
      </c>
      <c r="D45" s="223">
        <f>IFERROR(VLOOKUP($B45,MMWR_TRAD_AGG_RO_COMP[],D$1,0),"ERROR")</f>
        <v>131.5058517555</v>
      </c>
      <c r="E45" s="224">
        <f>IFERROR(VLOOKUP($B45,MMWR_TRAD_AGG_RO_COMP[],E$1,0),"ERROR")</f>
        <v>6823</v>
      </c>
      <c r="F45" s="225">
        <f>IFERROR(VLOOKUP($B45,MMWR_TRAD_AGG_RO_COMP[],F$1,0),"ERROR")</f>
        <v>1568</v>
      </c>
      <c r="G45" s="226">
        <f t="shared" si="0"/>
        <v>0.22981093360691779</v>
      </c>
      <c r="H45" s="227">
        <f>IFERROR(VLOOKUP($B45,MMWR_TRAD_AGG_RO_COMP[],H$1,0),"ERROR")</f>
        <v>9786</v>
      </c>
      <c r="I45" s="225">
        <f>IFERROR(VLOOKUP($B45,MMWR_TRAD_AGG_RO_COMP[],I$1,0),"ERROR")</f>
        <v>2461</v>
      </c>
      <c r="J45" s="226">
        <f t="shared" si="1"/>
        <v>0.25148170856325364</v>
      </c>
      <c r="K45" s="228">
        <f>IFERROR(VLOOKUP($B45,MMWR_TRAD_AGG_RO_COMP[],K$1,0),"ERROR")</f>
        <v>1084</v>
      </c>
      <c r="L45" s="229">
        <f>IFERROR(VLOOKUP($B45,MMWR_TRAD_AGG_RO_COMP[],L$1,0),"ERROR")</f>
        <v>513</v>
      </c>
      <c r="M45" s="226">
        <f t="shared" si="2"/>
        <v>0.4732472324723247</v>
      </c>
      <c r="N45" s="228">
        <f>IFERROR(VLOOKUP($B45,MMWR_TRAD_AGG_RO_COMP[],N$1,0),"ERROR")</f>
        <v>526</v>
      </c>
      <c r="O45" s="229">
        <f>IFERROR(VLOOKUP($B45,MMWR_TRAD_AGG_RO_COMP[],O$1,0),"ERROR")</f>
        <v>205</v>
      </c>
      <c r="P45" s="226">
        <f t="shared" si="3"/>
        <v>0.38973384030418251</v>
      </c>
      <c r="Q45" s="230">
        <f>IFERROR(VLOOKUP($B45,MMWR_TRAD_AGG_RO_COMP[],Q$1,0),"ERROR")</f>
        <v>0</v>
      </c>
      <c r="R45" s="230">
        <f>IFERROR(VLOOKUP($B45,MMWR_TRAD_AGG_RO_COMP[],R$1,0),"ERROR")</f>
        <v>64</v>
      </c>
      <c r="S45" s="204">
        <f>IFERROR(VLOOKUP($B45,MMWR_APP_RO[],S$1,0),"ERROR")</f>
        <v>3900</v>
      </c>
      <c r="T45" s="28"/>
    </row>
    <row r="46" spans="1:20" x14ac:dyDescent="0.2">
      <c r="A46" s="28"/>
      <c r="B46" s="108" t="s">
        <v>62</v>
      </c>
      <c r="C46" s="222">
        <f>IFERROR(VLOOKUP($B46,MMWR_TRAD_AGG_RO_COMP[],C$1,0),"ERROR")</f>
        <v>5577</v>
      </c>
      <c r="D46" s="223">
        <f>IFERROR(VLOOKUP($B46,MMWR_TRAD_AGG_RO_COMP[],D$1,0),"ERROR")</f>
        <v>400.70163170159998</v>
      </c>
      <c r="E46" s="224">
        <f>IFERROR(VLOOKUP($B46,MMWR_TRAD_AGG_RO_COMP[],E$1,0),"ERROR")</f>
        <v>5501</v>
      </c>
      <c r="F46" s="225">
        <f>IFERROR(VLOOKUP($B46,MMWR_TRAD_AGG_RO_COMP[],F$1,0),"ERROR")</f>
        <v>1311</v>
      </c>
      <c r="G46" s="226">
        <f t="shared" si="0"/>
        <v>0.23832030539901836</v>
      </c>
      <c r="H46" s="227">
        <f>IFERROR(VLOOKUP($B46,MMWR_TRAD_AGG_RO_COMP[],H$1,0),"ERROR")</f>
        <v>7036</v>
      </c>
      <c r="I46" s="225">
        <f>IFERROR(VLOOKUP($B46,MMWR_TRAD_AGG_RO_COMP[],I$1,0),"ERROR")</f>
        <v>4358</v>
      </c>
      <c r="J46" s="226">
        <f t="shared" si="1"/>
        <v>0.61938601478112565</v>
      </c>
      <c r="K46" s="228">
        <f>IFERROR(VLOOKUP($B46,MMWR_TRAD_AGG_RO_COMP[],K$1,0),"ERROR")</f>
        <v>586</v>
      </c>
      <c r="L46" s="229">
        <f>IFERROR(VLOOKUP($B46,MMWR_TRAD_AGG_RO_COMP[],L$1,0),"ERROR")</f>
        <v>446</v>
      </c>
      <c r="M46" s="226">
        <f t="shared" si="2"/>
        <v>0.76109215017064846</v>
      </c>
      <c r="N46" s="228">
        <f>IFERROR(VLOOKUP($B46,MMWR_TRAD_AGG_RO_COMP[],N$1,0),"ERROR")</f>
        <v>953</v>
      </c>
      <c r="O46" s="229">
        <f>IFERROR(VLOOKUP($B46,MMWR_TRAD_AGG_RO_COMP[],O$1,0),"ERROR")</f>
        <v>450</v>
      </c>
      <c r="P46" s="226">
        <f t="shared" si="3"/>
        <v>0.47219307450157399</v>
      </c>
      <c r="Q46" s="230">
        <f>IFERROR(VLOOKUP($B46,MMWR_TRAD_AGG_RO_COMP[],Q$1,0),"ERROR")</f>
        <v>3</v>
      </c>
      <c r="R46" s="230">
        <f>IFERROR(VLOOKUP($B46,MMWR_TRAD_AGG_RO_COMP[],R$1,0),"ERROR")</f>
        <v>302</v>
      </c>
      <c r="S46" s="204">
        <f>IFERROR(VLOOKUP($B46,MMWR_APP_RO[],S$1,0),"ERROR")</f>
        <v>5766</v>
      </c>
      <c r="T46" s="28"/>
    </row>
    <row r="47" spans="1:20" x14ac:dyDescent="0.2">
      <c r="A47" s="28"/>
      <c r="B47" s="108" t="s">
        <v>73</v>
      </c>
      <c r="C47" s="222">
        <f>IFERROR(VLOOKUP($B47,MMWR_TRAD_AGG_RO_COMP[],C$1,0),"ERROR")</f>
        <v>8152</v>
      </c>
      <c r="D47" s="223">
        <f>IFERROR(VLOOKUP($B47,MMWR_TRAD_AGG_RO_COMP[],D$1,0),"ERROR")</f>
        <v>205.7268155054</v>
      </c>
      <c r="E47" s="224">
        <f>IFERROR(VLOOKUP($B47,MMWR_TRAD_AGG_RO_COMP[],E$1,0),"ERROR")</f>
        <v>5248</v>
      </c>
      <c r="F47" s="225">
        <f>IFERROR(VLOOKUP($B47,MMWR_TRAD_AGG_RO_COMP[],F$1,0),"ERROR")</f>
        <v>709</v>
      </c>
      <c r="G47" s="226">
        <f t="shared" si="0"/>
        <v>0.13509908536585366</v>
      </c>
      <c r="H47" s="227">
        <f>IFERROR(VLOOKUP($B47,MMWR_TRAD_AGG_RO_COMP[],H$1,0),"ERROR")</f>
        <v>17406</v>
      </c>
      <c r="I47" s="225">
        <f>IFERROR(VLOOKUP($B47,MMWR_TRAD_AGG_RO_COMP[],I$1,0),"ERROR")</f>
        <v>6975</v>
      </c>
      <c r="J47" s="226">
        <f t="shared" si="1"/>
        <v>0.40072388831437433</v>
      </c>
      <c r="K47" s="228">
        <f>IFERROR(VLOOKUP($B47,MMWR_TRAD_AGG_RO_COMP[],K$1,0),"ERROR")</f>
        <v>1029</v>
      </c>
      <c r="L47" s="229">
        <f>IFERROR(VLOOKUP($B47,MMWR_TRAD_AGG_RO_COMP[],L$1,0),"ERROR")</f>
        <v>456</v>
      </c>
      <c r="M47" s="226">
        <f t="shared" si="2"/>
        <v>0.44314868804664725</v>
      </c>
      <c r="N47" s="228">
        <f>IFERROR(VLOOKUP($B47,MMWR_TRAD_AGG_RO_COMP[],N$1,0),"ERROR")</f>
        <v>81</v>
      </c>
      <c r="O47" s="229">
        <f>IFERROR(VLOOKUP($B47,MMWR_TRAD_AGG_RO_COMP[],O$1,0),"ERROR")</f>
        <v>43</v>
      </c>
      <c r="P47" s="226">
        <f t="shared" si="3"/>
        <v>0.53086419753086422</v>
      </c>
      <c r="Q47" s="230">
        <f>IFERROR(VLOOKUP($B47,MMWR_TRAD_AGG_RO_COMP[],Q$1,0),"ERROR")</f>
        <v>0</v>
      </c>
      <c r="R47" s="230">
        <f>IFERROR(VLOOKUP($B47,MMWR_TRAD_AGG_RO_COMP[],R$1,0),"ERROR")</f>
        <v>5</v>
      </c>
      <c r="S47" s="204">
        <f>IFERROR(VLOOKUP($B47,MMWR_APP_RO[],S$1,0),"ERROR")</f>
        <v>430</v>
      </c>
      <c r="T47" s="28"/>
    </row>
    <row r="48" spans="1:20" x14ac:dyDescent="0.2">
      <c r="A48" s="28"/>
      <c r="B48" s="116" t="s">
        <v>82</v>
      </c>
      <c r="C48" s="231">
        <f>IFERROR(VLOOKUP($B48,MMWR_TRAD_AGG_RO_COMP[],C$1,0),"ERROR")</f>
        <v>13703</v>
      </c>
      <c r="D48" s="232">
        <f>IFERROR(VLOOKUP($B48,MMWR_TRAD_AGG_RO_COMP[],D$1,0),"ERROR")</f>
        <v>303.71174195430001</v>
      </c>
      <c r="E48" s="233">
        <f>IFERROR(VLOOKUP($B48,MMWR_TRAD_AGG_RO_COMP[],E$1,0),"ERROR")</f>
        <v>17316</v>
      </c>
      <c r="F48" s="234">
        <f>IFERROR(VLOOKUP($B48,MMWR_TRAD_AGG_RO_COMP[],F$1,0),"ERROR")</f>
        <v>4523</v>
      </c>
      <c r="G48" s="235">
        <f t="shared" si="0"/>
        <v>0.26120351120351121</v>
      </c>
      <c r="H48" s="236">
        <f>IFERROR(VLOOKUP($B48,MMWR_TRAD_AGG_RO_COMP[],H$1,0),"ERROR")</f>
        <v>16450</v>
      </c>
      <c r="I48" s="234">
        <f>IFERROR(VLOOKUP($B48,MMWR_TRAD_AGG_RO_COMP[],I$1,0),"ERROR")</f>
        <v>9218</v>
      </c>
      <c r="J48" s="235">
        <f t="shared" si="1"/>
        <v>0.56036474164133743</v>
      </c>
      <c r="K48" s="237">
        <f>IFERROR(VLOOKUP($B48,MMWR_TRAD_AGG_RO_COMP[],K$1,0),"ERROR")</f>
        <v>1725</v>
      </c>
      <c r="L48" s="238">
        <f>IFERROR(VLOOKUP($B48,MMWR_TRAD_AGG_RO_COMP[],L$1,0),"ERROR")</f>
        <v>1289</v>
      </c>
      <c r="M48" s="235">
        <f t="shared" si="2"/>
        <v>0.74724637681159423</v>
      </c>
      <c r="N48" s="237">
        <f>IFERROR(VLOOKUP($B48,MMWR_TRAD_AGG_RO_COMP[],N$1,0),"ERROR")</f>
        <v>3029</v>
      </c>
      <c r="O48" s="238">
        <f>IFERROR(VLOOKUP($B48,MMWR_TRAD_AGG_RO_COMP[],O$1,0),"ERROR")</f>
        <v>1303</v>
      </c>
      <c r="P48" s="235">
        <f t="shared" si="3"/>
        <v>0.43017497523935294</v>
      </c>
      <c r="Q48" s="239">
        <f>IFERROR(VLOOKUP($B48,MMWR_TRAD_AGG_RO_COMP[],Q$1,0),"ERROR")</f>
        <v>1</v>
      </c>
      <c r="R48" s="239">
        <f>IFERROR(VLOOKUP($B48,MMWR_TRAD_AGG_RO_COMP[],R$1,0),"ERROR")</f>
        <v>229</v>
      </c>
      <c r="S48" s="204">
        <f>IFERROR(VLOOKUP($B48,MMWR_APP_RO[],S$1,0),"ERROR")</f>
        <v>19294</v>
      </c>
      <c r="T48" s="28"/>
    </row>
    <row r="49" spans="1:20" x14ac:dyDescent="0.2">
      <c r="A49" s="28"/>
      <c r="B49" s="101" t="s">
        <v>414</v>
      </c>
      <c r="C49" s="215">
        <f>IFERROR(VLOOKUP($B49,MMWR_TRAD_AGG_DISTRICT_COMP[],C$1,0),"ERROR")</f>
        <v>64292</v>
      </c>
      <c r="D49" s="200">
        <f>IFERROR(VLOOKUP($B49,MMWR_TRAD_AGG_DISTRICT_COMP[],D$1,0),"ERROR")</f>
        <v>364.23121072610002</v>
      </c>
      <c r="E49" s="216">
        <f>IFERROR(VLOOKUP($B49,MMWR_TRAD_AGG_DISTRICT_COMP[],E$1,0),"ERROR")</f>
        <v>62571</v>
      </c>
      <c r="F49" s="221">
        <f>IFERROR(VLOOKUP($B49,MMWR_TRAD_AGG_DISTRICT_COMP[],F$1,0),"ERROR")</f>
        <v>16192</v>
      </c>
      <c r="G49" s="217">
        <f t="shared" si="0"/>
        <v>0.25877802816001022</v>
      </c>
      <c r="H49" s="221">
        <f>IFERROR(VLOOKUP($B49,MMWR_TRAD_AGG_DISTRICT_COMP[],H$1,0),"ERROR")</f>
        <v>89113</v>
      </c>
      <c r="I49" s="221">
        <f>IFERROR(VLOOKUP($B49,MMWR_TRAD_AGG_DISTRICT_COMP[],I$1,0),"ERROR")</f>
        <v>54401</v>
      </c>
      <c r="J49" s="217">
        <f t="shared" si="1"/>
        <v>0.61047209722487183</v>
      </c>
      <c r="K49" s="215">
        <f>IFERROR(VLOOKUP($B49,MMWR_TRAD_AGG_DISTRICT_COMP[],K$1,0),"ERROR")</f>
        <v>19204</v>
      </c>
      <c r="L49" s="215">
        <f>IFERROR(VLOOKUP($B49,MMWR_TRAD_AGG_DISTRICT_COMP[],L$1,0),"ERROR")</f>
        <v>15642</v>
      </c>
      <c r="M49" s="217">
        <f t="shared" si="2"/>
        <v>0.81451780878983548</v>
      </c>
      <c r="N49" s="215">
        <f>IFERROR(VLOOKUP($B49,MMWR_TRAD_AGG_DISTRICT_COMP[],N$1,0),"ERROR")</f>
        <v>23359</v>
      </c>
      <c r="O49" s="215">
        <f>IFERROR(VLOOKUP($B49,MMWR_TRAD_AGG_DISTRICT_COMP[],O$1,0),"ERROR")</f>
        <v>16867</v>
      </c>
      <c r="P49" s="217">
        <f t="shared" si="3"/>
        <v>0.72207714371334386</v>
      </c>
      <c r="Q49" s="215">
        <f>IFERROR(VLOOKUP($B49,MMWR_TRAD_AGG_DISTRICT_COMP[],Q$1,0),"ERROR")</f>
        <v>345</v>
      </c>
      <c r="R49" s="218">
        <f>IFERROR(VLOOKUP($B49,MMWR_TRAD_AGG_DISTRICT_COMP[],R$1,0),"ERROR")</f>
        <v>730</v>
      </c>
      <c r="S49" s="218">
        <f>IFERROR(VLOOKUP($B49,MMWR_APP_RO[],S$1,0),"ERROR")</f>
        <v>42719</v>
      </c>
      <c r="T49" s="28"/>
    </row>
    <row r="50" spans="1:20" x14ac:dyDescent="0.2">
      <c r="A50" s="28"/>
      <c r="B50" s="108" t="s">
        <v>34</v>
      </c>
      <c r="C50" s="222">
        <f>IFERROR(VLOOKUP($B50,MMWR_TRAD_AGG_RO_COMP[],C$1,0),"ERROR")</f>
        <v>1335</v>
      </c>
      <c r="D50" s="223">
        <f>IFERROR(VLOOKUP($B50,MMWR_TRAD_AGG_RO_COMP[],D$1,0),"ERROR")</f>
        <v>120.9670411985</v>
      </c>
      <c r="E50" s="224">
        <f>IFERROR(VLOOKUP($B50,MMWR_TRAD_AGG_RO_COMP[],E$1,0),"ERROR")</f>
        <v>2827</v>
      </c>
      <c r="F50" s="225">
        <f>IFERROR(VLOOKUP($B50,MMWR_TRAD_AGG_RO_COMP[],F$1,0),"ERROR")</f>
        <v>820</v>
      </c>
      <c r="G50" s="226">
        <f t="shared" si="0"/>
        <v>0.29006013441811107</v>
      </c>
      <c r="H50" s="227">
        <f>IFERROR(VLOOKUP($B50,MMWR_TRAD_AGG_RO_COMP[],H$1,0),"ERROR")</f>
        <v>1880</v>
      </c>
      <c r="I50" s="225">
        <f>IFERROR(VLOOKUP($B50,MMWR_TRAD_AGG_RO_COMP[],I$1,0),"ERROR")</f>
        <v>458</v>
      </c>
      <c r="J50" s="226">
        <f t="shared" si="1"/>
        <v>0.24361702127659574</v>
      </c>
      <c r="K50" s="228">
        <f>IFERROR(VLOOKUP($B50,MMWR_TRAD_AGG_RO_COMP[],K$1,0),"ERROR")</f>
        <v>201</v>
      </c>
      <c r="L50" s="229">
        <f>IFERROR(VLOOKUP($B50,MMWR_TRAD_AGG_RO_COMP[],L$1,0),"ERROR")</f>
        <v>108</v>
      </c>
      <c r="M50" s="226">
        <f t="shared" si="2"/>
        <v>0.53731343283582089</v>
      </c>
      <c r="N50" s="228">
        <f>IFERROR(VLOOKUP($B50,MMWR_TRAD_AGG_RO_COMP[],N$1,0),"ERROR")</f>
        <v>289</v>
      </c>
      <c r="O50" s="229">
        <f>IFERROR(VLOOKUP($B50,MMWR_TRAD_AGG_RO_COMP[],O$1,0),"ERROR")</f>
        <v>149</v>
      </c>
      <c r="P50" s="226">
        <f t="shared" si="3"/>
        <v>0.51557093425605538</v>
      </c>
      <c r="Q50" s="230">
        <f>IFERROR(VLOOKUP($B50,MMWR_TRAD_AGG_RO_COMP[],Q$1,0),"ERROR")</f>
        <v>0</v>
      </c>
      <c r="R50" s="230">
        <f>IFERROR(VLOOKUP($B50,MMWR_TRAD_AGG_RO_COMP[],R$1,0),"ERROR")</f>
        <v>19</v>
      </c>
      <c r="S50" s="204">
        <f>IFERROR(VLOOKUP($B50,MMWR_APP_RO[],S$1,0),"ERROR")</f>
        <v>1831</v>
      </c>
      <c r="T50" s="28"/>
    </row>
    <row r="51" spans="1:20" x14ac:dyDescent="0.2">
      <c r="A51" s="28"/>
      <c r="B51" s="108" t="s">
        <v>35</v>
      </c>
      <c r="C51" s="222">
        <f>IFERROR(VLOOKUP($B51,MMWR_TRAD_AGG_RO_COMP[],C$1,0),"ERROR")</f>
        <v>2130</v>
      </c>
      <c r="D51" s="223">
        <f>IFERROR(VLOOKUP($B51,MMWR_TRAD_AGG_RO_COMP[],D$1,0),"ERROR")</f>
        <v>480.7981220657</v>
      </c>
      <c r="E51" s="224">
        <f>IFERROR(VLOOKUP($B51,MMWR_TRAD_AGG_RO_COMP[],E$1,0),"ERROR")</f>
        <v>863</v>
      </c>
      <c r="F51" s="225">
        <f>IFERROR(VLOOKUP($B51,MMWR_TRAD_AGG_RO_COMP[],F$1,0),"ERROR")</f>
        <v>101</v>
      </c>
      <c r="G51" s="226">
        <f t="shared" si="0"/>
        <v>0.11703360370799537</v>
      </c>
      <c r="H51" s="227">
        <f>IFERROR(VLOOKUP($B51,MMWR_TRAD_AGG_RO_COMP[],H$1,0),"ERROR")</f>
        <v>2778</v>
      </c>
      <c r="I51" s="225">
        <f>IFERROR(VLOOKUP($B51,MMWR_TRAD_AGG_RO_COMP[],I$1,0),"ERROR")</f>
        <v>1995</v>
      </c>
      <c r="J51" s="226">
        <f t="shared" si="1"/>
        <v>0.71814254859611226</v>
      </c>
      <c r="K51" s="228">
        <f>IFERROR(VLOOKUP($B51,MMWR_TRAD_AGG_RO_COMP[],K$1,0),"ERROR")</f>
        <v>1911</v>
      </c>
      <c r="L51" s="229">
        <f>IFERROR(VLOOKUP($B51,MMWR_TRAD_AGG_RO_COMP[],L$1,0),"ERROR")</f>
        <v>1778</v>
      </c>
      <c r="M51" s="226">
        <f t="shared" si="2"/>
        <v>0.93040293040293043</v>
      </c>
      <c r="N51" s="228">
        <f>IFERROR(VLOOKUP($B51,MMWR_TRAD_AGG_RO_COMP[],N$1,0),"ERROR")</f>
        <v>200</v>
      </c>
      <c r="O51" s="229">
        <f>IFERROR(VLOOKUP($B51,MMWR_TRAD_AGG_RO_COMP[],O$1,0),"ERROR")</f>
        <v>105</v>
      </c>
      <c r="P51" s="226">
        <f t="shared" si="3"/>
        <v>0.52500000000000002</v>
      </c>
      <c r="Q51" s="230">
        <f>IFERROR(VLOOKUP($B51,MMWR_TRAD_AGG_RO_COMP[],Q$1,0),"ERROR")</f>
        <v>0</v>
      </c>
      <c r="R51" s="230">
        <f>IFERROR(VLOOKUP($B51,MMWR_TRAD_AGG_RO_COMP[],R$1,0),"ERROR")</f>
        <v>2</v>
      </c>
      <c r="S51" s="204">
        <f>IFERROR(VLOOKUP($B51,MMWR_APP_RO[],S$1,0),"ERROR")</f>
        <v>228</v>
      </c>
      <c r="T51" s="28"/>
    </row>
    <row r="52" spans="1:20" x14ac:dyDescent="0.2">
      <c r="A52" s="28"/>
      <c r="B52" s="108" t="s">
        <v>37</v>
      </c>
      <c r="C52" s="222">
        <f>IFERROR(VLOOKUP($B52,MMWR_TRAD_AGG_RO_COMP[],C$1,0),"ERROR")</f>
        <v>334</v>
      </c>
      <c r="D52" s="223">
        <f>IFERROR(VLOOKUP($B52,MMWR_TRAD_AGG_RO_COMP[],D$1,0),"ERROR")</f>
        <v>77.760479041899998</v>
      </c>
      <c r="E52" s="224">
        <f>IFERROR(VLOOKUP($B52,MMWR_TRAD_AGG_RO_COMP[],E$1,0),"ERROR")</f>
        <v>1478</v>
      </c>
      <c r="F52" s="225">
        <f>IFERROR(VLOOKUP($B52,MMWR_TRAD_AGG_RO_COMP[],F$1,0),"ERROR")</f>
        <v>339</v>
      </c>
      <c r="G52" s="226">
        <f t="shared" si="0"/>
        <v>0.2293640054127199</v>
      </c>
      <c r="H52" s="227">
        <f>IFERROR(VLOOKUP($B52,MMWR_TRAD_AGG_RO_COMP[],H$1,0),"ERROR")</f>
        <v>764</v>
      </c>
      <c r="I52" s="225">
        <f>IFERROR(VLOOKUP($B52,MMWR_TRAD_AGG_RO_COMP[],I$1,0),"ERROR")</f>
        <v>91</v>
      </c>
      <c r="J52" s="226">
        <f t="shared" si="1"/>
        <v>0.11910994764397906</v>
      </c>
      <c r="K52" s="228">
        <f>IFERROR(VLOOKUP($B52,MMWR_TRAD_AGG_RO_COMP[],K$1,0),"ERROR")</f>
        <v>94</v>
      </c>
      <c r="L52" s="229">
        <f>IFERROR(VLOOKUP($B52,MMWR_TRAD_AGG_RO_COMP[],L$1,0),"ERROR")</f>
        <v>16</v>
      </c>
      <c r="M52" s="226">
        <f t="shared" si="2"/>
        <v>0.1702127659574468</v>
      </c>
      <c r="N52" s="228">
        <f>IFERROR(VLOOKUP($B52,MMWR_TRAD_AGG_RO_COMP[],N$1,0),"ERROR")</f>
        <v>101</v>
      </c>
      <c r="O52" s="229">
        <f>IFERROR(VLOOKUP($B52,MMWR_TRAD_AGG_RO_COMP[],O$1,0),"ERROR")</f>
        <v>39</v>
      </c>
      <c r="P52" s="226">
        <f t="shared" si="3"/>
        <v>0.38613861386138615</v>
      </c>
      <c r="Q52" s="230">
        <f>IFERROR(VLOOKUP($B52,MMWR_TRAD_AGG_RO_COMP[],Q$1,0),"ERROR")</f>
        <v>0</v>
      </c>
      <c r="R52" s="230">
        <f>IFERROR(VLOOKUP($B52,MMWR_TRAD_AGG_RO_COMP[],R$1,0),"ERROR")</f>
        <v>11</v>
      </c>
      <c r="S52" s="204">
        <f>IFERROR(VLOOKUP($B52,MMWR_APP_RO[],S$1,0),"ERROR")</f>
        <v>921</v>
      </c>
      <c r="T52" s="28"/>
    </row>
    <row r="53" spans="1:20" x14ac:dyDescent="0.2">
      <c r="A53" s="28"/>
      <c r="B53" s="108" t="s">
        <v>48</v>
      </c>
      <c r="C53" s="222">
        <f>IFERROR(VLOOKUP($B53,MMWR_TRAD_AGG_RO_COMP[],C$1,0),"ERROR")</f>
        <v>1994</v>
      </c>
      <c r="D53" s="223">
        <f>IFERROR(VLOOKUP($B53,MMWR_TRAD_AGG_RO_COMP[],D$1,0),"ERROR")</f>
        <v>219.4699097292</v>
      </c>
      <c r="E53" s="224">
        <f>IFERROR(VLOOKUP($B53,MMWR_TRAD_AGG_RO_COMP[],E$1,0),"ERROR")</f>
        <v>2581</v>
      </c>
      <c r="F53" s="225">
        <f>IFERROR(VLOOKUP($B53,MMWR_TRAD_AGG_RO_COMP[],F$1,0),"ERROR")</f>
        <v>594</v>
      </c>
      <c r="G53" s="226">
        <f t="shared" si="0"/>
        <v>0.23014335528864782</v>
      </c>
      <c r="H53" s="227">
        <f>IFERROR(VLOOKUP($B53,MMWR_TRAD_AGG_RO_COMP[],H$1,0),"ERROR")</f>
        <v>2622</v>
      </c>
      <c r="I53" s="225">
        <f>IFERROR(VLOOKUP($B53,MMWR_TRAD_AGG_RO_COMP[],I$1,0),"ERROR")</f>
        <v>1421</v>
      </c>
      <c r="J53" s="226">
        <f t="shared" si="1"/>
        <v>0.54195270785659799</v>
      </c>
      <c r="K53" s="228">
        <f>IFERROR(VLOOKUP($B53,MMWR_TRAD_AGG_RO_COMP[],K$1,0),"ERROR")</f>
        <v>421</v>
      </c>
      <c r="L53" s="229">
        <f>IFERROR(VLOOKUP($B53,MMWR_TRAD_AGG_RO_COMP[],L$1,0),"ERROR")</f>
        <v>333</v>
      </c>
      <c r="M53" s="226">
        <f t="shared" si="2"/>
        <v>0.79097387173396672</v>
      </c>
      <c r="N53" s="228">
        <f>IFERROR(VLOOKUP($B53,MMWR_TRAD_AGG_RO_COMP[],N$1,0),"ERROR")</f>
        <v>90</v>
      </c>
      <c r="O53" s="229">
        <f>IFERROR(VLOOKUP($B53,MMWR_TRAD_AGG_RO_COMP[],O$1,0),"ERROR")</f>
        <v>65</v>
      </c>
      <c r="P53" s="226">
        <f t="shared" si="3"/>
        <v>0.72222222222222221</v>
      </c>
      <c r="Q53" s="230">
        <f>IFERROR(VLOOKUP($B53,MMWR_TRAD_AGG_RO_COMP[],Q$1,0),"ERROR")</f>
        <v>0</v>
      </c>
      <c r="R53" s="230">
        <f>IFERROR(VLOOKUP($B53,MMWR_TRAD_AGG_RO_COMP[],R$1,0),"ERROR")</f>
        <v>0</v>
      </c>
      <c r="S53" s="204">
        <f>IFERROR(VLOOKUP($B53,MMWR_APP_RO[],S$1,0),"ERROR")</f>
        <v>1248</v>
      </c>
      <c r="T53" s="28"/>
    </row>
    <row r="54" spans="1:20" x14ac:dyDescent="0.2">
      <c r="A54" s="28"/>
      <c r="B54" s="108" t="s">
        <v>55</v>
      </c>
      <c r="C54" s="222">
        <f>IFERROR(VLOOKUP($B54,MMWR_TRAD_AGG_RO_COMP[],C$1,0),"ERROR")</f>
        <v>7478</v>
      </c>
      <c r="D54" s="223">
        <f>IFERROR(VLOOKUP($B54,MMWR_TRAD_AGG_RO_COMP[],D$1,0),"ERROR")</f>
        <v>388.47017919230001</v>
      </c>
      <c r="E54" s="224">
        <f>IFERROR(VLOOKUP($B54,MMWR_TRAD_AGG_RO_COMP[],E$1,0),"ERROR")</f>
        <v>9720</v>
      </c>
      <c r="F54" s="225">
        <f>IFERROR(VLOOKUP($B54,MMWR_TRAD_AGG_RO_COMP[],F$1,0),"ERROR")</f>
        <v>3109</v>
      </c>
      <c r="G54" s="226">
        <f t="shared" si="0"/>
        <v>0.31985596707818931</v>
      </c>
      <c r="H54" s="227">
        <f>IFERROR(VLOOKUP($B54,MMWR_TRAD_AGG_RO_COMP[],H$1,0),"ERROR")</f>
        <v>9239</v>
      </c>
      <c r="I54" s="225">
        <f>IFERROR(VLOOKUP($B54,MMWR_TRAD_AGG_RO_COMP[],I$1,0),"ERROR")</f>
        <v>6165</v>
      </c>
      <c r="J54" s="226">
        <f t="shared" si="1"/>
        <v>0.66728000865894577</v>
      </c>
      <c r="K54" s="228">
        <f>IFERROR(VLOOKUP($B54,MMWR_TRAD_AGG_RO_COMP[],K$1,0),"ERROR")</f>
        <v>912</v>
      </c>
      <c r="L54" s="229">
        <f>IFERROR(VLOOKUP($B54,MMWR_TRAD_AGG_RO_COMP[],L$1,0),"ERROR")</f>
        <v>841</v>
      </c>
      <c r="M54" s="226">
        <f t="shared" si="2"/>
        <v>0.92214912280701755</v>
      </c>
      <c r="N54" s="228">
        <f>IFERROR(VLOOKUP($B54,MMWR_TRAD_AGG_RO_COMP[],N$1,0),"ERROR")</f>
        <v>5603</v>
      </c>
      <c r="O54" s="229">
        <f>IFERROR(VLOOKUP($B54,MMWR_TRAD_AGG_RO_COMP[],O$1,0),"ERROR")</f>
        <v>3890</v>
      </c>
      <c r="P54" s="226">
        <f t="shared" si="3"/>
        <v>0.69427092628948772</v>
      </c>
      <c r="Q54" s="230">
        <f>IFERROR(VLOOKUP($B54,MMWR_TRAD_AGG_RO_COMP[],Q$1,0),"ERROR")</f>
        <v>2</v>
      </c>
      <c r="R54" s="230">
        <f>IFERROR(VLOOKUP($B54,MMWR_TRAD_AGG_RO_COMP[],R$1,0),"ERROR")</f>
        <v>34</v>
      </c>
      <c r="S54" s="204">
        <f>IFERROR(VLOOKUP($B54,MMWR_APP_RO[],S$1,0),"ERROR")</f>
        <v>4501</v>
      </c>
      <c r="T54" s="28"/>
    </row>
    <row r="55" spans="1:20" x14ac:dyDescent="0.2">
      <c r="A55" s="28"/>
      <c r="B55" s="108" t="s">
        <v>58</v>
      </c>
      <c r="C55" s="222">
        <f>IFERROR(VLOOKUP($B55,MMWR_TRAD_AGG_RO_COMP[],C$1,0),"ERROR")</f>
        <v>744</v>
      </c>
      <c r="D55" s="223">
        <f>IFERROR(VLOOKUP($B55,MMWR_TRAD_AGG_RO_COMP[],D$1,0),"ERROR")</f>
        <v>144.55779569890001</v>
      </c>
      <c r="E55" s="224">
        <f>IFERROR(VLOOKUP($B55,MMWR_TRAD_AGG_RO_COMP[],E$1,0),"ERROR")</f>
        <v>904</v>
      </c>
      <c r="F55" s="225">
        <f>IFERROR(VLOOKUP($B55,MMWR_TRAD_AGG_RO_COMP[],F$1,0),"ERROR")</f>
        <v>282</v>
      </c>
      <c r="G55" s="226">
        <f t="shared" si="0"/>
        <v>0.31194690265486724</v>
      </c>
      <c r="H55" s="227">
        <f>IFERROR(VLOOKUP($B55,MMWR_TRAD_AGG_RO_COMP[],H$1,0),"ERROR")</f>
        <v>963</v>
      </c>
      <c r="I55" s="225">
        <f>IFERROR(VLOOKUP($B55,MMWR_TRAD_AGG_RO_COMP[],I$1,0),"ERROR")</f>
        <v>380</v>
      </c>
      <c r="J55" s="226">
        <f t="shared" si="1"/>
        <v>0.39460020768431986</v>
      </c>
      <c r="K55" s="228">
        <f>IFERROR(VLOOKUP($B55,MMWR_TRAD_AGG_RO_COMP[],K$1,0),"ERROR")</f>
        <v>151</v>
      </c>
      <c r="L55" s="229">
        <f>IFERROR(VLOOKUP($B55,MMWR_TRAD_AGG_RO_COMP[],L$1,0),"ERROR")</f>
        <v>119</v>
      </c>
      <c r="M55" s="226">
        <f t="shared" si="2"/>
        <v>0.78807947019867552</v>
      </c>
      <c r="N55" s="228">
        <f>IFERROR(VLOOKUP($B55,MMWR_TRAD_AGG_RO_COMP[],N$1,0),"ERROR")</f>
        <v>730</v>
      </c>
      <c r="O55" s="229">
        <f>IFERROR(VLOOKUP($B55,MMWR_TRAD_AGG_RO_COMP[],O$1,0),"ERROR")</f>
        <v>445</v>
      </c>
      <c r="P55" s="226">
        <f t="shared" si="3"/>
        <v>0.6095890410958904</v>
      </c>
      <c r="Q55" s="230">
        <f>IFERROR(VLOOKUP($B55,MMWR_TRAD_AGG_RO_COMP[],Q$1,0),"ERROR")</f>
        <v>343</v>
      </c>
      <c r="R55" s="230">
        <f>IFERROR(VLOOKUP($B55,MMWR_TRAD_AGG_RO_COMP[],R$1,0),"ERROR")</f>
        <v>141</v>
      </c>
      <c r="S55" s="204">
        <f>IFERROR(VLOOKUP($B55,MMWR_APP_RO[],S$1,0),"ERROR")</f>
        <v>1063</v>
      </c>
      <c r="T55" s="28"/>
    </row>
    <row r="56" spans="1:20" x14ac:dyDescent="0.2">
      <c r="A56" s="28"/>
      <c r="B56" s="108" t="s">
        <v>65</v>
      </c>
      <c r="C56" s="222">
        <f>IFERROR(VLOOKUP($B56,MMWR_TRAD_AGG_RO_COMP[],C$1,0),"ERROR")</f>
        <v>11246</v>
      </c>
      <c r="D56" s="223">
        <f>IFERROR(VLOOKUP($B56,MMWR_TRAD_AGG_RO_COMP[],D$1,0),"ERROR")</f>
        <v>377.10519295749998</v>
      </c>
      <c r="E56" s="224">
        <f>IFERROR(VLOOKUP($B56,MMWR_TRAD_AGG_RO_COMP[],E$1,0),"ERROR")</f>
        <v>11002</v>
      </c>
      <c r="F56" s="225">
        <f>IFERROR(VLOOKUP($B56,MMWR_TRAD_AGG_RO_COMP[],F$1,0),"ERROR")</f>
        <v>2992</v>
      </c>
      <c r="G56" s="226">
        <f t="shared" si="0"/>
        <v>0.27195055444464644</v>
      </c>
      <c r="H56" s="227">
        <f>IFERROR(VLOOKUP($B56,MMWR_TRAD_AGG_RO_COMP[],H$1,0),"ERROR")</f>
        <v>14653</v>
      </c>
      <c r="I56" s="225">
        <f>IFERROR(VLOOKUP($B56,MMWR_TRAD_AGG_RO_COMP[],I$1,0),"ERROR")</f>
        <v>10084</v>
      </c>
      <c r="J56" s="226">
        <f t="shared" si="1"/>
        <v>0.68818671944311749</v>
      </c>
      <c r="K56" s="228">
        <f>IFERROR(VLOOKUP($B56,MMWR_TRAD_AGG_RO_COMP[],K$1,0),"ERROR")</f>
        <v>5128</v>
      </c>
      <c r="L56" s="229">
        <f>IFERROR(VLOOKUP($B56,MMWR_TRAD_AGG_RO_COMP[],L$1,0),"ERROR")</f>
        <v>3765</v>
      </c>
      <c r="M56" s="226">
        <f t="shared" si="2"/>
        <v>0.73420436817472701</v>
      </c>
      <c r="N56" s="228">
        <f>IFERROR(VLOOKUP($B56,MMWR_TRAD_AGG_RO_COMP[],N$1,0),"ERROR")</f>
        <v>3532</v>
      </c>
      <c r="O56" s="229">
        <f>IFERROR(VLOOKUP($B56,MMWR_TRAD_AGG_RO_COMP[],O$1,0),"ERROR")</f>
        <v>2630</v>
      </c>
      <c r="P56" s="226">
        <f t="shared" si="3"/>
        <v>0.74462061155152892</v>
      </c>
      <c r="Q56" s="230">
        <f>IFERROR(VLOOKUP($B56,MMWR_TRAD_AGG_RO_COMP[],Q$1,0),"ERROR")</f>
        <v>0</v>
      </c>
      <c r="R56" s="230">
        <f>IFERROR(VLOOKUP($B56,MMWR_TRAD_AGG_RO_COMP[],R$1,0),"ERROR")</f>
        <v>46</v>
      </c>
      <c r="S56" s="204">
        <f>IFERROR(VLOOKUP($B56,MMWR_APP_RO[],S$1,0),"ERROR")</f>
        <v>8773</v>
      </c>
      <c r="T56" s="28"/>
    </row>
    <row r="57" spans="1:20" x14ac:dyDescent="0.2">
      <c r="A57" s="28"/>
      <c r="B57" s="108" t="s">
        <v>67</v>
      </c>
      <c r="C57" s="222">
        <f>IFERROR(VLOOKUP($B57,MMWR_TRAD_AGG_RO_COMP[],C$1,0),"ERROR")</f>
        <v>5450</v>
      </c>
      <c r="D57" s="223">
        <f>IFERROR(VLOOKUP($B57,MMWR_TRAD_AGG_RO_COMP[],D$1,0),"ERROR")</f>
        <v>264.73284403669999</v>
      </c>
      <c r="E57" s="224">
        <f>IFERROR(VLOOKUP($B57,MMWR_TRAD_AGG_RO_COMP[],E$1,0),"ERROR")</f>
        <v>4945</v>
      </c>
      <c r="F57" s="225">
        <f>IFERROR(VLOOKUP($B57,MMWR_TRAD_AGG_RO_COMP[],F$1,0),"ERROR")</f>
        <v>1171</v>
      </c>
      <c r="G57" s="226">
        <f t="shared" si="0"/>
        <v>0.23680485338725984</v>
      </c>
      <c r="H57" s="227">
        <f>IFERROR(VLOOKUP($B57,MMWR_TRAD_AGG_RO_COMP[],H$1,0),"ERROR")</f>
        <v>6466</v>
      </c>
      <c r="I57" s="225">
        <f>IFERROR(VLOOKUP($B57,MMWR_TRAD_AGG_RO_COMP[],I$1,0),"ERROR")</f>
        <v>3611</v>
      </c>
      <c r="J57" s="226">
        <f t="shared" si="1"/>
        <v>0.55845963501391893</v>
      </c>
      <c r="K57" s="228">
        <f>IFERROR(VLOOKUP($B57,MMWR_TRAD_AGG_RO_COMP[],K$1,0),"ERROR")</f>
        <v>273</v>
      </c>
      <c r="L57" s="229">
        <f>IFERROR(VLOOKUP($B57,MMWR_TRAD_AGG_RO_COMP[],L$1,0),"ERROR")</f>
        <v>193</v>
      </c>
      <c r="M57" s="226">
        <f t="shared" si="2"/>
        <v>0.706959706959707</v>
      </c>
      <c r="N57" s="228">
        <f>IFERROR(VLOOKUP($B57,MMWR_TRAD_AGG_RO_COMP[],N$1,0),"ERROR")</f>
        <v>2800</v>
      </c>
      <c r="O57" s="229">
        <f>IFERROR(VLOOKUP($B57,MMWR_TRAD_AGG_RO_COMP[],O$1,0),"ERROR")</f>
        <v>2211</v>
      </c>
      <c r="P57" s="226">
        <f t="shared" si="3"/>
        <v>0.78964285714285709</v>
      </c>
      <c r="Q57" s="230">
        <f>IFERROR(VLOOKUP($B57,MMWR_TRAD_AGG_RO_COMP[],Q$1,0),"ERROR")</f>
        <v>0</v>
      </c>
      <c r="R57" s="230">
        <f>IFERROR(VLOOKUP($B57,MMWR_TRAD_AGG_RO_COMP[],R$1,0),"ERROR")</f>
        <v>71</v>
      </c>
      <c r="S57" s="204">
        <f>IFERROR(VLOOKUP($B57,MMWR_APP_RO[],S$1,0),"ERROR")</f>
        <v>7034</v>
      </c>
      <c r="T57" s="28"/>
    </row>
    <row r="58" spans="1:20" x14ac:dyDescent="0.2">
      <c r="A58" s="28"/>
      <c r="B58" s="108" t="s">
        <v>69</v>
      </c>
      <c r="C58" s="222">
        <f>IFERROR(VLOOKUP($B58,MMWR_TRAD_AGG_RO_COMP[],C$1,0),"ERROR")</f>
        <v>8366</v>
      </c>
      <c r="D58" s="223">
        <f>IFERROR(VLOOKUP($B58,MMWR_TRAD_AGG_RO_COMP[],D$1,0),"ERROR")</f>
        <v>398.50848673199999</v>
      </c>
      <c r="E58" s="224">
        <f>IFERROR(VLOOKUP($B58,MMWR_TRAD_AGG_RO_COMP[],E$1,0),"ERROR")</f>
        <v>5041</v>
      </c>
      <c r="F58" s="225">
        <f>IFERROR(VLOOKUP($B58,MMWR_TRAD_AGG_RO_COMP[],F$1,0),"ERROR")</f>
        <v>1824</v>
      </c>
      <c r="G58" s="226">
        <f t="shared" si="0"/>
        <v>0.36183296964887918</v>
      </c>
      <c r="H58" s="227">
        <f>IFERROR(VLOOKUP($B58,MMWR_TRAD_AGG_RO_COMP[],H$1,0),"ERROR")</f>
        <v>10533</v>
      </c>
      <c r="I58" s="225">
        <f>IFERROR(VLOOKUP($B58,MMWR_TRAD_AGG_RO_COMP[],I$1,0),"ERROR")</f>
        <v>7228</v>
      </c>
      <c r="J58" s="226">
        <f t="shared" si="1"/>
        <v>0.68622424760277223</v>
      </c>
      <c r="K58" s="228">
        <f>IFERROR(VLOOKUP($B58,MMWR_TRAD_AGG_RO_COMP[],K$1,0),"ERROR")</f>
        <v>3833</v>
      </c>
      <c r="L58" s="229">
        <f>IFERROR(VLOOKUP($B58,MMWR_TRAD_AGG_RO_COMP[],L$1,0),"ERROR")</f>
        <v>3208</v>
      </c>
      <c r="M58" s="226">
        <f t="shared" si="2"/>
        <v>0.83694234281241842</v>
      </c>
      <c r="N58" s="228">
        <f>IFERROR(VLOOKUP($B58,MMWR_TRAD_AGG_RO_COMP[],N$1,0),"ERROR")</f>
        <v>1506</v>
      </c>
      <c r="O58" s="229">
        <f>IFERROR(VLOOKUP($B58,MMWR_TRAD_AGG_RO_COMP[],O$1,0),"ERROR")</f>
        <v>655</v>
      </c>
      <c r="P58" s="226">
        <f t="shared" si="3"/>
        <v>0.4349269588313413</v>
      </c>
      <c r="Q58" s="230">
        <f>IFERROR(VLOOKUP($B58,MMWR_TRAD_AGG_RO_COMP[],Q$1,0),"ERROR")</f>
        <v>0</v>
      </c>
      <c r="R58" s="230">
        <f>IFERROR(VLOOKUP($B58,MMWR_TRAD_AGG_RO_COMP[],R$1,0),"ERROR")</f>
        <v>77</v>
      </c>
      <c r="S58" s="204">
        <f>IFERROR(VLOOKUP($B58,MMWR_APP_RO[],S$1,0),"ERROR")</f>
        <v>5435</v>
      </c>
      <c r="T58" s="28"/>
    </row>
    <row r="59" spans="1:20" x14ac:dyDescent="0.2">
      <c r="A59" s="28"/>
      <c r="B59" s="108" t="s">
        <v>71</v>
      </c>
      <c r="C59" s="222">
        <f>IFERROR(VLOOKUP($B59,MMWR_TRAD_AGG_RO_COMP[],C$1,0),"ERROR")</f>
        <v>3616</v>
      </c>
      <c r="D59" s="223">
        <f>IFERROR(VLOOKUP($B59,MMWR_TRAD_AGG_RO_COMP[],D$1,0),"ERROR")</f>
        <v>470.19828539820003</v>
      </c>
      <c r="E59" s="224">
        <f>IFERROR(VLOOKUP($B59,MMWR_TRAD_AGG_RO_COMP[],E$1,0),"ERROR")</f>
        <v>3553</v>
      </c>
      <c r="F59" s="225">
        <f>IFERROR(VLOOKUP($B59,MMWR_TRAD_AGG_RO_COMP[],F$1,0),"ERROR")</f>
        <v>1152</v>
      </c>
      <c r="G59" s="226">
        <f t="shared" si="0"/>
        <v>0.32423304249929635</v>
      </c>
      <c r="H59" s="227">
        <f>IFERROR(VLOOKUP($B59,MMWR_TRAD_AGG_RO_COMP[],H$1,0),"ERROR")</f>
        <v>4304</v>
      </c>
      <c r="I59" s="225">
        <f>IFERROR(VLOOKUP($B59,MMWR_TRAD_AGG_RO_COMP[],I$1,0),"ERROR")</f>
        <v>2902</v>
      </c>
      <c r="J59" s="226">
        <f t="shared" si="1"/>
        <v>0.6742565055762082</v>
      </c>
      <c r="K59" s="228">
        <f>IFERROR(VLOOKUP($B59,MMWR_TRAD_AGG_RO_COMP[],K$1,0),"ERROR")</f>
        <v>397</v>
      </c>
      <c r="L59" s="229">
        <f>IFERROR(VLOOKUP($B59,MMWR_TRAD_AGG_RO_COMP[],L$1,0),"ERROR")</f>
        <v>356</v>
      </c>
      <c r="M59" s="226">
        <f t="shared" si="2"/>
        <v>0.89672544080604533</v>
      </c>
      <c r="N59" s="228">
        <f>IFERROR(VLOOKUP($B59,MMWR_TRAD_AGG_RO_COMP[],N$1,0),"ERROR")</f>
        <v>1204</v>
      </c>
      <c r="O59" s="229">
        <f>IFERROR(VLOOKUP($B59,MMWR_TRAD_AGG_RO_COMP[],O$1,0),"ERROR")</f>
        <v>734</v>
      </c>
      <c r="P59" s="226">
        <f t="shared" si="3"/>
        <v>0.60963455149501666</v>
      </c>
      <c r="Q59" s="230">
        <f>IFERROR(VLOOKUP($B59,MMWR_TRAD_AGG_RO_COMP[],Q$1,0),"ERROR")</f>
        <v>0</v>
      </c>
      <c r="R59" s="230">
        <f>IFERROR(VLOOKUP($B59,MMWR_TRAD_AGG_RO_COMP[],R$1,0),"ERROR")</f>
        <v>112</v>
      </c>
      <c r="S59" s="204">
        <f>IFERROR(VLOOKUP($B59,MMWR_APP_RO[],S$1,0),"ERROR")</f>
        <v>2803</v>
      </c>
      <c r="T59" s="28"/>
    </row>
    <row r="60" spans="1:20" x14ac:dyDescent="0.2">
      <c r="A60" s="28"/>
      <c r="B60" s="108" t="s">
        <v>74</v>
      </c>
      <c r="C60" s="222">
        <f>IFERROR(VLOOKUP($B60,MMWR_TRAD_AGG_RO_COMP[],C$1,0),"ERROR")</f>
        <v>7715</v>
      </c>
      <c r="D60" s="223">
        <f>IFERROR(VLOOKUP($B60,MMWR_TRAD_AGG_RO_COMP[],D$1,0),"ERROR")</f>
        <v>322.33182112769998</v>
      </c>
      <c r="E60" s="224">
        <f>IFERROR(VLOOKUP($B60,MMWR_TRAD_AGG_RO_COMP[],E$1,0),"ERROR")</f>
        <v>12251</v>
      </c>
      <c r="F60" s="225">
        <f>IFERROR(VLOOKUP($B60,MMWR_TRAD_AGG_RO_COMP[],F$1,0),"ERROR")</f>
        <v>2101</v>
      </c>
      <c r="G60" s="226">
        <f t="shared" si="0"/>
        <v>0.17149620439147825</v>
      </c>
      <c r="H60" s="227">
        <f>IFERROR(VLOOKUP($B60,MMWR_TRAD_AGG_RO_COMP[],H$1,0),"ERROR")</f>
        <v>15694</v>
      </c>
      <c r="I60" s="225">
        <f>IFERROR(VLOOKUP($B60,MMWR_TRAD_AGG_RO_COMP[],I$1,0),"ERROR")</f>
        <v>6606</v>
      </c>
      <c r="J60" s="226">
        <f t="shared" si="1"/>
        <v>0.42092519434178666</v>
      </c>
      <c r="K60" s="228">
        <f>IFERROR(VLOOKUP($B60,MMWR_TRAD_AGG_RO_COMP[],K$1,0),"ERROR")</f>
        <v>1911</v>
      </c>
      <c r="L60" s="229">
        <f>IFERROR(VLOOKUP($B60,MMWR_TRAD_AGG_RO_COMP[],L$1,0),"ERROR")</f>
        <v>1348</v>
      </c>
      <c r="M60" s="226">
        <f t="shared" si="2"/>
        <v>0.70538984824699114</v>
      </c>
      <c r="N60" s="228">
        <f>IFERROR(VLOOKUP($B60,MMWR_TRAD_AGG_RO_COMP[],N$1,0),"ERROR")</f>
        <v>1954</v>
      </c>
      <c r="O60" s="229">
        <f>IFERROR(VLOOKUP($B60,MMWR_TRAD_AGG_RO_COMP[],O$1,0),"ERROR")</f>
        <v>1374</v>
      </c>
      <c r="P60" s="226">
        <f t="shared" si="3"/>
        <v>0.70317297850562943</v>
      </c>
      <c r="Q60" s="230">
        <f>IFERROR(VLOOKUP($B60,MMWR_TRAD_AGG_RO_COMP[],Q$1,0),"ERROR")</f>
        <v>0</v>
      </c>
      <c r="R60" s="230">
        <f>IFERROR(VLOOKUP($B60,MMWR_TRAD_AGG_RO_COMP[],R$1,0),"ERROR")</f>
        <v>69</v>
      </c>
      <c r="S60" s="204">
        <f>IFERROR(VLOOKUP($B60,MMWR_APP_RO[],S$1,0),"ERROR")</f>
        <v>4180</v>
      </c>
      <c r="T60" s="28"/>
    </row>
    <row r="61" spans="1:20" x14ac:dyDescent="0.2">
      <c r="A61" s="28"/>
      <c r="B61" s="116" t="s">
        <v>76</v>
      </c>
      <c r="C61" s="231">
        <f>IFERROR(VLOOKUP($B61,MMWR_TRAD_AGG_RO_COMP[],C$1,0),"ERROR")</f>
        <v>13884</v>
      </c>
      <c r="D61" s="232">
        <f>IFERROR(VLOOKUP($B61,MMWR_TRAD_AGG_RO_COMP[],D$1,0),"ERROR")</f>
        <v>399.79602420050003</v>
      </c>
      <c r="E61" s="233">
        <f>IFERROR(VLOOKUP($B61,MMWR_TRAD_AGG_RO_COMP[],E$1,0),"ERROR")</f>
        <v>7406</v>
      </c>
      <c r="F61" s="234">
        <f>IFERROR(VLOOKUP($B61,MMWR_TRAD_AGG_RO_COMP[],F$1,0),"ERROR")</f>
        <v>1707</v>
      </c>
      <c r="G61" s="235">
        <f t="shared" si="0"/>
        <v>0.23048879287064541</v>
      </c>
      <c r="H61" s="236">
        <f>IFERROR(VLOOKUP($B61,MMWR_TRAD_AGG_RO_COMP[],H$1,0),"ERROR")</f>
        <v>19217</v>
      </c>
      <c r="I61" s="234">
        <f>IFERROR(VLOOKUP($B61,MMWR_TRAD_AGG_RO_COMP[],I$1,0),"ERROR")</f>
        <v>13460</v>
      </c>
      <c r="J61" s="235">
        <f t="shared" si="1"/>
        <v>0.70042150179528539</v>
      </c>
      <c r="K61" s="237">
        <f>IFERROR(VLOOKUP($B61,MMWR_TRAD_AGG_RO_COMP[],K$1,0),"ERROR")</f>
        <v>3972</v>
      </c>
      <c r="L61" s="238">
        <f>IFERROR(VLOOKUP($B61,MMWR_TRAD_AGG_RO_COMP[],L$1,0),"ERROR")</f>
        <v>3577</v>
      </c>
      <c r="M61" s="235">
        <f t="shared" si="2"/>
        <v>0.90055387713997981</v>
      </c>
      <c r="N61" s="237">
        <f>IFERROR(VLOOKUP($B61,MMWR_TRAD_AGG_RO_COMP[],N$1,0),"ERROR")</f>
        <v>5350</v>
      </c>
      <c r="O61" s="238">
        <f>IFERROR(VLOOKUP($B61,MMWR_TRAD_AGG_RO_COMP[],O$1,0),"ERROR")</f>
        <v>4570</v>
      </c>
      <c r="P61" s="235">
        <f t="shared" si="3"/>
        <v>0.85420560747663554</v>
      </c>
      <c r="Q61" s="239">
        <f>IFERROR(VLOOKUP($B61,MMWR_TRAD_AGG_RO_COMP[],Q$1,0),"ERROR")</f>
        <v>0</v>
      </c>
      <c r="R61" s="239">
        <f>IFERROR(VLOOKUP($B61,MMWR_TRAD_AGG_RO_COMP[],R$1,0),"ERROR")</f>
        <v>148</v>
      </c>
      <c r="S61" s="204">
        <f>IFERROR(VLOOKUP($B61,MMWR_APP_RO[],S$1,0),"ERROR")</f>
        <v>4702</v>
      </c>
      <c r="T61" s="28"/>
    </row>
    <row r="62" spans="1:20" x14ac:dyDescent="0.2">
      <c r="A62" s="28"/>
      <c r="B62" s="101" t="s">
        <v>390</v>
      </c>
      <c r="C62" s="215">
        <f>IFERROR(VLOOKUP($B62,MMWR_TRAD_AGG_DISTRICT_COMP[],C$1,0),"ERROR")</f>
        <v>70003</v>
      </c>
      <c r="D62" s="200">
        <f>IFERROR(VLOOKUP($B62,MMWR_TRAD_AGG_DISTRICT_COMP[],D$1,0),"ERROR")</f>
        <v>335.60758824620001</v>
      </c>
      <c r="E62" s="216">
        <f>IFERROR(VLOOKUP($B62,MMWR_TRAD_AGG_DISTRICT_COMP[],E$1,0),"ERROR")</f>
        <v>72591</v>
      </c>
      <c r="F62" s="221">
        <f>IFERROR(VLOOKUP($B62,MMWR_TRAD_AGG_DISTRICT_COMP[],F$1,0),"ERROR")</f>
        <v>20735</v>
      </c>
      <c r="G62" s="217">
        <f t="shared" si="0"/>
        <v>0.28564147070573487</v>
      </c>
      <c r="H62" s="221">
        <f>IFERROR(VLOOKUP($B62,MMWR_TRAD_AGG_DISTRICT_COMP[],H$1,0),"ERROR")</f>
        <v>99468</v>
      </c>
      <c r="I62" s="221">
        <f>IFERROR(VLOOKUP($B62,MMWR_TRAD_AGG_DISTRICT_COMP[],I$1,0),"ERROR")</f>
        <v>61324</v>
      </c>
      <c r="J62" s="217">
        <f t="shared" si="1"/>
        <v>0.61651988579241568</v>
      </c>
      <c r="K62" s="215">
        <f>IFERROR(VLOOKUP($B62,MMWR_TRAD_AGG_DISTRICT_COMP[],K$1,0),"ERROR")</f>
        <v>20114</v>
      </c>
      <c r="L62" s="215">
        <f>IFERROR(VLOOKUP($B62,MMWR_TRAD_AGG_DISTRICT_COMP[],L$1,0),"ERROR")</f>
        <v>15648</v>
      </c>
      <c r="M62" s="217">
        <f t="shared" si="2"/>
        <v>0.77796559610221738</v>
      </c>
      <c r="N62" s="215">
        <f>IFERROR(VLOOKUP($B62,MMWR_TRAD_AGG_DISTRICT_COMP[],N$1,0),"ERROR")</f>
        <v>38802</v>
      </c>
      <c r="O62" s="215">
        <f>IFERROR(VLOOKUP($B62,MMWR_TRAD_AGG_DISTRICT_COMP[],O$1,0),"ERROR")</f>
        <v>22061</v>
      </c>
      <c r="P62" s="217">
        <f t="shared" si="3"/>
        <v>0.56855316736250705</v>
      </c>
      <c r="Q62" s="215">
        <f>IFERROR(VLOOKUP($B62,MMWR_TRAD_AGG_DISTRICT_COMP[],Q$1,0),"ERROR")</f>
        <v>162</v>
      </c>
      <c r="R62" s="218">
        <f>IFERROR(VLOOKUP($B62,MMWR_TRAD_AGG_DISTRICT_COMP[],R$1,0),"ERROR")</f>
        <v>1173</v>
      </c>
      <c r="S62" s="218">
        <f>IFERROR(VLOOKUP($B62,MMWR_APP_RO[],S$1,0),"ERROR")</f>
        <v>83206</v>
      </c>
      <c r="T62" s="28"/>
    </row>
    <row r="63" spans="1:20" x14ac:dyDescent="0.2">
      <c r="A63" s="28"/>
      <c r="B63" s="108" t="s">
        <v>25</v>
      </c>
      <c r="C63" s="222">
        <f>IFERROR(VLOOKUP($B63,MMWR_TRAD_AGG_RO_COMP[],C$1,0),"ERROR")</f>
        <v>13067</v>
      </c>
      <c r="D63" s="223">
        <f>IFERROR(VLOOKUP($B63,MMWR_TRAD_AGG_RO_COMP[],D$1,0),"ERROR")</f>
        <v>342.99594398099998</v>
      </c>
      <c r="E63" s="224">
        <f>IFERROR(VLOOKUP($B63,MMWR_TRAD_AGG_RO_COMP[],E$1,0),"ERROR")</f>
        <v>16609</v>
      </c>
      <c r="F63" s="225">
        <f>IFERROR(VLOOKUP($B63,MMWR_TRAD_AGG_RO_COMP[],F$1,0),"ERROR")</f>
        <v>4219</v>
      </c>
      <c r="G63" s="226">
        <f t="shared" si="0"/>
        <v>0.25401890541272804</v>
      </c>
      <c r="H63" s="227">
        <f>IFERROR(VLOOKUP($B63,MMWR_TRAD_AGG_RO_COMP[],H$1,0),"ERROR")</f>
        <v>18267</v>
      </c>
      <c r="I63" s="225">
        <f>IFERROR(VLOOKUP($B63,MMWR_TRAD_AGG_RO_COMP[],I$1,0),"ERROR")</f>
        <v>12264</v>
      </c>
      <c r="J63" s="226">
        <f t="shared" si="1"/>
        <v>0.67137460995237308</v>
      </c>
      <c r="K63" s="228">
        <f>IFERROR(VLOOKUP($B63,MMWR_TRAD_AGG_RO_COMP[],K$1,0),"ERROR")</f>
        <v>4607</v>
      </c>
      <c r="L63" s="229">
        <f>IFERROR(VLOOKUP($B63,MMWR_TRAD_AGG_RO_COMP[],L$1,0),"ERROR")</f>
        <v>3996</v>
      </c>
      <c r="M63" s="226">
        <f t="shared" si="2"/>
        <v>0.86737573258085521</v>
      </c>
      <c r="N63" s="228">
        <f>IFERROR(VLOOKUP($B63,MMWR_TRAD_AGG_RO_COMP[],N$1,0),"ERROR")</f>
        <v>20382</v>
      </c>
      <c r="O63" s="229">
        <f>IFERROR(VLOOKUP($B63,MMWR_TRAD_AGG_RO_COMP[],O$1,0),"ERROR")</f>
        <v>9961</v>
      </c>
      <c r="P63" s="226">
        <f t="shared" si="3"/>
        <v>0.48871553331370815</v>
      </c>
      <c r="Q63" s="230">
        <f>IFERROR(VLOOKUP($B63,MMWR_TRAD_AGG_RO_COMP[],Q$1,0),"ERROR")</f>
        <v>63</v>
      </c>
      <c r="R63" s="230">
        <f>IFERROR(VLOOKUP($B63,MMWR_TRAD_AGG_RO_COMP[],R$1,0),"ERROR")</f>
        <v>25</v>
      </c>
      <c r="S63" s="204">
        <f>IFERROR(VLOOKUP($B63,MMWR_APP_RO[],S$1,0),"ERROR")</f>
        <v>16120</v>
      </c>
      <c r="T63" s="28"/>
    </row>
    <row r="64" spans="1:20" x14ac:dyDescent="0.2">
      <c r="A64" s="28"/>
      <c r="B64" s="108" t="s">
        <v>42</v>
      </c>
      <c r="C64" s="222">
        <f>IFERROR(VLOOKUP($B64,MMWR_TRAD_AGG_RO_COMP[],C$1,0),"ERROR")</f>
        <v>11765</v>
      </c>
      <c r="D64" s="223">
        <f>IFERROR(VLOOKUP($B64,MMWR_TRAD_AGG_RO_COMP[],D$1,0),"ERROR")</f>
        <v>287.48814279639998</v>
      </c>
      <c r="E64" s="224">
        <f>IFERROR(VLOOKUP($B64,MMWR_TRAD_AGG_RO_COMP[],E$1,0),"ERROR")</f>
        <v>8676</v>
      </c>
      <c r="F64" s="225">
        <f>IFERROR(VLOOKUP($B64,MMWR_TRAD_AGG_RO_COMP[],F$1,0),"ERROR")</f>
        <v>2305</v>
      </c>
      <c r="G64" s="226">
        <f t="shared" si="0"/>
        <v>0.26567542646380821</v>
      </c>
      <c r="H64" s="227">
        <f>IFERROR(VLOOKUP($B64,MMWR_TRAD_AGG_RO_COMP[],H$1,0),"ERROR")</f>
        <v>21875</v>
      </c>
      <c r="I64" s="225">
        <f>IFERROR(VLOOKUP($B64,MMWR_TRAD_AGG_RO_COMP[],I$1,0),"ERROR")</f>
        <v>12241</v>
      </c>
      <c r="J64" s="226">
        <f t="shared" si="1"/>
        <v>0.55958857142857144</v>
      </c>
      <c r="K64" s="228">
        <f>IFERROR(VLOOKUP($B64,MMWR_TRAD_AGG_RO_COMP[],K$1,0),"ERROR")</f>
        <v>3041</v>
      </c>
      <c r="L64" s="229">
        <f>IFERROR(VLOOKUP($B64,MMWR_TRAD_AGG_RO_COMP[],L$1,0),"ERROR")</f>
        <v>1365</v>
      </c>
      <c r="M64" s="226">
        <f t="shared" si="2"/>
        <v>0.44886550476816839</v>
      </c>
      <c r="N64" s="228">
        <f>IFERROR(VLOOKUP($B64,MMWR_TRAD_AGG_RO_COMP[],N$1,0),"ERROR")</f>
        <v>1691</v>
      </c>
      <c r="O64" s="229">
        <f>IFERROR(VLOOKUP($B64,MMWR_TRAD_AGG_RO_COMP[],O$1,0),"ERROR")</f>
        <v>1287</v>
      </c>
      <c r="P64" s="226">
        <f t="shared" si="3"/>
        <v>0.76108811354228267</v>
      </c>
      <c r="Q64" s="230">
        <f>IFERROR(VLOOKUP($B64,MMWR_TRAD_AGG_RO_COMP[],Q$1,0),"ERROR")</f>
        <v>2</v>
      </c>
      <c r="R64" s="230">
        <f>IFERROR(VLOOKUP($B64,MMWR_TRAD_AGG_RO_COMP[],R$1,0),"ERROR")</f>
        <v>58</v>
      </c>
      <c r="S64" s="204">
        <f>IFERROR(VLOOKUP($B64,MMWR_APP_RO[],S$1,0),"ERROR")</f>
        <v>11975</v>
      </c>
      <c r="T64" s="28"/>
    </row>
    <row r="65" spans="1:20" x14ac:dyDescent="0.2">
      <c r="A65" s="28"/>
      <c r="B65" s="108" t="s">
        <v>56</v>
      </c>
      <c r="C65" s="222">
        <f>IFERROR(VLOOKUP($B65,MMWR_TRAD_AGG_RO_COMP[],C$1,0),"ERROR")</f>
        <v>10081</v>
      </c>
      <c r="D65" s="223">
        <f>IFERROR(VLOOKUP($B65,MMWR_TRAD_AGG_RO_COMP[],D$1,0),"ERROR")</f>
        <v>476.8781866878</v>
      </c>
      <c r="E65" s="224">
        <f>IFERROR(VLOOKUP($B65,MMWR_TRAD_AGG_RO_COMP[],E$1,0),"ERROR")</f>
        <v>6142</v>
      </c>
      <c r="F65" s="225">
        <f>IFERROR(VLOOKUP($B65,MMWR_TRAD_AGG_RO_COMP[],F$1,0),"ERROR")</f>
        <v>2849</v>
      </c>
      <c r="G65" s="226">
        <f t="shared" si="0"/>
        <v>0.46385542168674698</v>
      </c>
      <c r="H65" s="227">
        <f>IFERROR(VLOOKUP($B65,MMWR_TRAD_AGG_RO_COMP[],H$1,0),"ERROR")</f>
        <v>14221</v>
      </c>
      <c r="I65" s="225">
        <f>IFERROR(VLOOKUP($B65,MMWR_TRAD_AGG_RO_COMP[],I$1,0),"ERROR")</f>
        <v>9307</v>
      </c>
      <c r="J65" s="226">
        <f t="shared" si="1"/>
        <v>0.65445467969903659</v>
      </c>
      <c r="K65" s="228">
        <f>IFERROR(VLOOKUP($B65,MMWR_TRAD_AGG_RO_COMP[],K$1,0),"ERROR")</f>
        <v>3220</v>
      </c>
      <c r="L65" s="229">
        <f>IFERROR(VLOOKUP($B65,MMWR_TRAD_AGG_RO_COMP[],L$1,0),"ERROR")</f>
        <v>2566</v>
      </c>
      <c r="M65" s="226">
        <f t="shared" si="2"/>
        <v>0.79689440993788818</v>
      </c>
      <c r="N65" s="228">
        <f>IFERROR(VLOOKUP($B65,MMWR_TRAD_AGG_RO_COMP[],N$1,0),"ERROR")</f>
        <v>623</v>
      </c>
      <c r="O65" s="229">
        <f>IFERROR(VLOOKUP($B65,MMWR_TRAD_AGG_RO_COMP[],O$1,0),"ERROR")</f>
        <v>469</v>
      </c>
      <c r="P65" s="226">
        <f t="shared" si="3"/>
        <v>0.7528089887640449</v>
      </c>
      <c r="Q65" s="230">
        <f>IFERROR(VLOOKUP($B65,MMWR_TRAD_AGG_RO_COMP[],Q$1,0),"ERROR")</f>
        <v>80</v>
      </c>
      <c r="R65" s="230">
        <f>IFERROR(VLOOKUP($B65,MMWR_TRAD_AGG_RO_COMP[],R$1,0),"ERROR")</f>
        <v>252</v>
      </c>
      <c r="S65" s="204">
        <f>IFERROR(VLOOKUP($B65,MMWR_APP_RO[],S$1,0),"ERROR")</f>
        <v>4548</v>
      </c>
      <c r="T65" s="28"/>
    </row>
    <row r="66" spans="1:20" x14ac:dyDescent="0.2">
      <c r="A66" s="28"/>
      <c r="B66" s="108" t="s">
        <v>60</v>
      </c>
      <c r="C66" s="222">
        <f>IFERROR(VLOOKUP($B66,MMWR_TRAD_AGG_RO_COMP[],C$1,0),"ERROR")</f>
        <v>12544</v>
      </c>
      <c r="D66" s="223">
        <f>IFERROR(VLOOKUP($B66,MMWR_TRAD_AGG_RO_COMP[],D$1,0),"ERROR")</f>
        <v>367.36184630100001</v>
      </c>
      <c r="E66" s="224">
        <f>IFERROR(VLOOKUP($B66,MMWR_TRAD_AGG_RO_COMP[],E$1,0),"ERROR")</f>
        <v>7410</v>
      </c>
      <c r="F66" s="225">
        <f>IFERROR(VLOOKUP($B66,MMWR_TRAD_AGG_RO_COMP[],F$1,0),"ERROR")</f>
        <v>1393</v>
      </c>
      <c r="G66" s="226">
        <f t="shared" si="0"/>
        <v>0.18798920377867745</v>
      </c>
      <c r="H66" s="227">
        <f>IFERROR(VLOOKUP($B66,MMWR_TRAD_AGG_RO_COMP[],H$1,0),"ERROR")</f>
        <v>14119</v>
      </c>
      <c r="I66" s="225">
        <f>IFERROR(VLOOKUP($B66,MMWR_TRAD_AGG_RO_COMP[],I$1,0),"ERROR")</f>
        <v>9940</v>
      </c>
      <c r="J66" s="226">
        <f t="shared" si="1"/>
        <v>0.7040158651462568</v>
      </c>
      <c r="K66" s="228">
        <f>IFERROR(VLOOKUP($B66,MMWR_TRAD_AGG_RO_COMP[],K$1,0),"ERROR")</f>
        <v>4294</v>
      </c>
      <c r="L66" s="229">
        <f>IFERROR(VLOOKUP($B66,MMWR_TRAD_AGG_RO_COMP[],L$1,0),"ERROR")</f>
        <v>3955</v>
      </c>
      <c r="M66" s="226">
        <f t="shared" si="2"/>
        <v>0.92105263157894735</v>
      </c>
      <c r="N66" s="228">
        <f>IFERROR(VLOOKUP($B66,MMWR_TRAD_AGG_RO_COMP[],N$1,0),"ERROR")</f>
        <v>2321</v>
      </c>
      <c r="O66" s="229">
        <f>IFERROR(VLOOKUP($B66,MMWR_TRAD_AGG_RO_COMP[],O$1,0),"ERROR")</f>
        <v>1740</v>
      </c>
      <c r="P66" s="226">
        <f t="shared" si="3"/>
        <v>0.7496768634209392</v>
      </c>
      <c r="Q66" s="230">
        <f>IFERROR(VLOOKUP($B66,MMWR_TRAD_AGG_RO_COMP[],Q$1,0),"ERROR")</f>
        <v>3</v>
      </c>
      <c r="R66" s="230">
        <f>IFERROR(VLOOKUP($B66,MMWR_TRAD_AGG_RO_COMP[],R$1,0),"ERROR")</f>
        <v>366</v>
      </c>
      <c r="S66" s="204">
        <f>IFERROR(VLOOKUP($B66,MMWR_APP_RO[],S$1,0),"ERROR")</f>
        <v>10338</v>
      </c>
      <c r="T66" s="28"/>
    </row>
    <row r="67" spans="1:20" x14ac:dyDescent="0.2">
      <c r="A67" s="28"/>
      <c r="B67" s="108" t="s">
        <v>61</v>
      </c>
      <c r="C67" s="222">
        <f>IFERROR(VLOOKUP($B67,MMWR_TRAD_AGG_RO_COMP[],C$1,0),"ERROR")</f>
        <v>5347</v>
      </c>
      <c r="D67" s="223">
        <f>IFERROR(VLOOKUP($B67,MMWR_TRAD_AGG_RO_COMP[],D$1,0),"ERROR")</f>
        <v>218.29811109030001</v>
      </c>
      <c r="E67" s="224">
        <f>IFERROR(VLOOKUP($B67,MMWR_TRAD_AGG_RO_COMP[],E$1,0),"ERROR")</f>
        <v>9065</v>
      </c>
      <c r="F67" s="225">
        <f>IFERROR(VLOOKUP($B67,MMWR_TRAD_AGG_RO_COMP[],F$1,0),"ERROR")</f>
        <v>2131</v>
      </c>
      <c r="G67" s="226">
        <f t="shared" si="0"/>
        <v>0.23507997793712079</v>
      </c>
      <c r="H67" s="227">
        <f>IFERROR(VLOOKUP($B67,MMWR_TRAD_AGG_RO_COMP[],H$1,0),"ERROR")</f>
        <v>8664</v>
      </c>
      <c r="I67" s="225">
        <f>IFERROR(VLOOKUP($B67,MMWR_TRAD_AGG_RO_COMP[],I$1,0),"ERROR")</f>
        <v>4061</v>
      </c>
      <c r="J67" s="226">
        <f t="shared" si="1"/>
        <v>0.46872114496768236</v>
      </c>
      <c r="K67" s="228">
        <f>IFERROR(VLOOKUP($B67,MMWR_TRAD_AGG_RO_COMP[],K$1,0),"ERROR")</f>
        <v>1821</v>
      </c>
      <c r="L67" s="229">
        <f>IFERROR(VLOOKUP($B67,MMWR_TRAD_AGG_RO_COMP[],L$1,0),"ERROR")</f>
        <v>1480</v>
      </c>
      <c r="M67" s="226">
        <f t="shared" si="2"/>
        <v>0.81274025260845684</v>
      </c>
      <c r="N67" s="228">
        <f>IFERROR(VLOOKUP($B67,MMWR_TRAD_AGG_RO_COMP[],N$1,0),"ERROR")</f>
        <v>1657</v>
      </c>
      <c r="O67" s="229">
        <f>IFERROR(VLOOKUP($B67,MMWR_TRAD_AGG_RO_COMP[],O$1,0),"ERROR")</f>
        <v>1294</v>
      </c>
      <c r="P67" s="226">
        <f t="shared" si="3"/>
        <v>0.78092939046469523</v>
      </c>
      <c r="Q67" s="230">
        <f>IFERROR(VLOOKUP($B67,MMWR_TRAD_AGG_RO_COMP[],Q$1,0),"ERROR")</f>
        <v>5</v>
      </c>
      <c r="R67" s="230">
        <f>IFERROR(VLOOKUP($B67,MMWR_TRAD_AGG_RO_COMP[],R$1,0),"ERROR")</f>
        <v>222</v>
      </c>
      <c r="S67" s="204">
        <f>IFERROR(VLOOKUP($B67,MMWR_APP_RO[],S$1,0),"ERROR")</f>
        <v>6401</v>
      </c>
      <c r="T67" s="28"/>
    </row>
    <row r="68" spans="1:20" x14ac:dyDescent="0.2">
      <c r="A68" s="28"/>
      <c r="B68" s="108" t="s">
        <v>75</v>
      </c>
      <c r="C68" s="222">
        <f>IFERROR(VLOOKUP($B68,MMWR_TRAD_AGG_RO_COMP[],C$1,0),"ERROR")</f>
        <v>2226</v>
      </c>
      <c r="D68" s="223">
        <f>IFERROR(VLOOKUP($B68,MMWR_TRAD_AGG_RO_COMP[],D$1,0),"ERROR")</f>
        <v>256.40610961369998</v>
      </c>
      <c r="E68" s="224">
        <f>IFERROR(VLOOKUP($B68,MMWR_TRAD_AGG_RO_COMP[],E$1,0),"ERROR")</f>
        <v>2799</v>
      </c>
      <c r="F68" s="225">
        <f>IFERROR(VLOOKUP($B68,MMWR_TRAD_AGG_RO_COMP[],F$1,0),"ERROR")</f>
        <v>878</v>
      </c>
      <c r="G68" s="226">
        <f t="shared" si="0"/>
        <v>0.31368345837799216</v>
      </c>
      <c r="H68" s="227">
        <f>IFERROR(VLOOKUP($B68,MMWR_TRAD_AGG_RO_COMP[],H$1,0),"ERROR")</f>
        <v>3714</v>
      </c>
      <c r="I68" s="225">
        <f>IFERROR(VLOOKUP($B68,MMWR_TRAD_AGG_RO_COMP[],I$1,0),"ERROR")</f>
        <v>2627</v>
      </c>
      <c r="J68" s="226">
        <f t="shared" si="1"/>
        <v>0.70732364028002159</v>
      </c>
      <c r="K68" s="228">
        <f>IFERROR(VLOOKUP($B68,MMWR_TRAD_AGG_RO_COMP[],K$1,0),"ERROR")</f>
        <v>686</v>
      </c>
      <c r="L68" s="229">
        <f>IFERROR(VLOOKUP($B68,MMWR_TRAD_AGG_RO_COMP[],L$1,0),"ERROR")</f>
        <v>615</v>
      </c>
      <c r="M68" s="226">
        <f t="shared" si="2"/>
        <v>0.89650145772594747</v>
      </c>
      <c r="N68" s="228">
        <f>IFERROR(VLOOKUP($B68,MMWR_TRAD_AGG_RO_COMP[],N$1,0),"ERROR")</f>
        <v>1365</v>
      </c>
      <c r="O68" s="229">
        <f>IFERROR(VLOOKUP($B68,MMWR_TRAD_AGG_RO_COMP[],O$1,0),"ERROR")</f>
        <v>756</v>
      </c>
      <c r="P68" s="226">
        <f t="shared" si="3"/>
        <v>0.55384615384615388</v>
      </c>
      <c r="Q68" s="230">
        <f>IFERROR(VLOOKUP($B68,MMWR_TRAD_AGG_RO_COMP[],Q$1,0),"ERROR")</f>
        <v>0</v>
      </c>
      <c r="R68" s="230">
        <f>IFERROR(VLOOKUP($B68,MMWR_TRAD_AGG_RO_COMP[],R$1,0),"ERROR")</f>
        <v>5</v>
      </c>
      <c r="S68" s="204">
        <f>IFERROR(VLOOKUP($B68,MMWR_APP_RO[],S$1,0),"ERROR")</f>
        <v>6121</v>
      </c>
      <c r="T68" s="28"/>
    </row>
    <row r="69" spans="1:20" x14ac:dyDescent="0.2">
      <c r="A69" s="28"/>
      <c r="B69" s="116" t="s">
        <v>80</v>
      </c>
      <c r="C69" s="231">
        <f>IFERROR(VLOOKUP($B69,MMWR_TRAD_AGG_RO_COMP[],C$1,0),"ERROR")</f>
        <v>14973</v>
      </c>
      <c r="D69" s="232">
        <f>IFERROR(VLOOKUP($B69,MMWR_TRAD_AGG_RO_COMP[],D$1,0),"ERROR")</f>
        <v>298.91912108460002</v>
      </c>
      <c r="E69" s="233">
        <f>IFERROR(VLOOKUP($B69,MMWR_TRAD_AGG_RO_COMP[],E$1,0),"ERROR")</f>
        <v>21890</v>
      </c>
      <c r="F69" s="234">
        <f>IFERROR(VLOOKUP($B69,MMWR_TRAD_AGG_RO_COMP[],F$1,0),"ERROR")</f>
        <v>6960</v>
      </c>
      <c r="G69" s="235">
        <f t="shared" si="0"/>
        <v>0.31795340338053907</v>
      </c>
      <c r="H69" s="236">
        <f>IFERROR(VLOOKUP($B69,MMWR_TRAD_AGG_RO_COMP[],H$1,0),"ERROR")</f>
        <v>18608</v>
      </c>
      <c r="I69" s="234">
        <f>IFERROR(VLOOKUP($B69,MMWR_TRAD_AGG_RO_COMP[],I$1,0),"ERROR")</f>
        <v>10884</v>
      </c>
      <c r="J69" s="235">
        <f t="shared" si="1"/>
        <v>0.5849097162510748</v>
      </c>
      <c r="K69" s="237">
        <f>IFERROR(VLOOKUP($B69,MMWR_TRAD_AGG_RO_COMP[],K$1,0),"ERROR")</f>
        <v>2445</v>
      </c>
      <c r="L69" s="238">
        <f>IFERROR(VLOOKUP($B69,MMWR_TRAD_AGG_RO_COMP[],L$1,0),"ERROR")</f>
        <v>1671</v>
      </c>
      <c r="M69" s="235">
        <f t="shared" si="2"/>
        <v>0.68343558282208594</v>
      </c>
      <c r="N69" s="237">
        <f>IFERROR(VLOOKUP($B69,MMWR_TRAD_AGG_RO_COMP[],N$1,0),"ERROR")</f>
        <v>10763</v>
      </c>
      <c r="O69" s="238">
        <f>IFERROR(VLOOKUP($B69,MMWR_TRAD_AGG_RO_COMP[],O$1,0),"ERROR")</f>
        <v>6554</v>
      </c>
      <c r="P69" s="235">
        <f t="shared" si="3"/>
        <v>0.60893802843073497</v>
      </c>
      <c r="Q69" s="239">
        <f>IFERROR(VLOOKUP($B69,MMWR_TRAD_AGG_RO_COMP[],Q$1,0),"ERROR")</f>
        <v>9</v>
      </c>
      <c r="R69" s="239">
        <f>IFERROR(VLOOKUP($B69,MMWR_TRAD_AGG_RO_COMP[],R$1,0),"ERROR")</f>
        <v>245</v>
      </c>
      <c r="S69" s="204">
        <f>IFERROR(VLOOKUP($B69,MMWR_APP_RO[],S$1,0),"ERROR")</f>
        <v>27703</v>
      </c>
      <c r="T69" s="28"/>
    </row>
    <row r="70" spans="1:20" x14ac:dyDescent="0.2">
      <c r="A70" s="28"/>
      <c r="B70" s="101" t="s">
        <v>8</v>
      </c>
      <c r="C70" s="215">
        <f>IFERROR(VLOOKUP($B70,MMWR_TRAD_AGG_RO_COMP[],C$1,0),"ERROR")</f>
        <v>48</v>
      </c>
      <c r="D70" s="200">
        <f>IFERROR(VLOOKUP($B70,MMWR_TRAD_AGG_RO_COMP[],D$1,0),"ERROR")</f>
        <v>832.20833333329995</v>
      </c>
      <c r="E70" s="216">
        <f>IFERROR(VLOOKUP($B70,MMWR_TRAD_AGG_RO_COMP[],E$1,0),"ERROR")</f>
        <v>1</v>
      </c>
      <c r="F70" s="221">
        <f>IFERROR(VLOOKUP($B70,MMWR_TRAD_AGG_RO_COMP[],F$1,0),"ERROR")</f>
        <v>0</v>
      </c>
      <c r="G70" s="217">
        <f>IFERROR(F70/E70,"0%")</f>
        <v>0</v>
      </c>
      <c r="H70" s="221">
        <f>IFERROR(VLOOKUP($B70,MMWR_TRAD_AGG_RO_COMP[],H$1,0),"ERROR")</f>
        <v>49</v>
      </c>
      <c r="I70" s="221">
        <f>IFERROR(VLOOKUP($B70,MMWR_TRAD_AGG_RO_COMP[],I$1,0),"ERROR")</f>
        <v>49</v>
      </c>
      <c r="J70" s="217">
        <f>IFERROR(I70/H70,"0%")</f>
        <v>1</v>
      </c>
      <c r="K70" s="215">
        <f>IFERROR(VLOOKUP($B70,MMWR_TRAD_AGG_RO_COMP[],K$1,0),"ERROR")</f>
        <v>2</v>
      </c>
      <c r="L70" s="215">
        <f>IFERROR(VLOOKUP($B70,MMWR_TRAD_AGG_RO_COMP[],L$1,0),"ERROR")</f>
        <v>1</v>
      </c>
      <c r="M70" s="217">
        <f>IFERROR(L70/K70,"0%")</f>
        <v>0.5</v>
      </c>
      <c r="N70" s="215">
        <f>IFERROR(VLOOKUP($B70,MMWR_TRAD_AGG_RO_COMP[],N$1,0),"ERROR")</f>
        <v>19884</v>
      </c>
      <c r="O70" s="215">
        <f>IFERROR(VLOOKUP($B70,MMWR_TRAD_AGG_RO_COMP[],O$1,0),"ERROR")</f>
        <v>6239</v>
      </c>
      <c r="P70" s="217">
        <f>IFERROR(O70/N70,"0%")</f>
        <v>0.31376986521826594</v>
      </c>
      <c r="Q70" s="215">
        <f>IFERROR(VLOOKUP($B70,MMWR_TRAD_AGG_RO_COMP[],Q$1,0),"ERROR")</f>
        <v>0</v>
      </c>
      <c r="R70" s="218">
        <f>IFERROR(VLOOKUP($B70,MMWR_TRAD_AGG_RO_COMP[],R$1,0),"ERROR")</f>
        <v>0</v>
      </c>
      <c r="S70" s="218">
        <f>IFERROR(VLOOKUP($B70,MMWR_APP_RO[],S$1,0),"ERROR")</f>
        <v>12511</v>
      </c>
      <c r="T70" s="28"/>
    </row>
    <row r="71" spans="1:20" x14ac:dyDescent="0.2">
      <c r="A71" s="28"/>
      <c r="B71" s="28"/>
      <c r="C71" s="28"/>
      <c r="D71" s="28"/>
      <c r="E71" s="28"/>
      <c r="F71" s="28"/>
      <c r="G71" s="28"/>
      <c r="H71" s="28"/>
      <c r="I71" s="28"/>
      <c r="J71" s="28"/>
      <c r="K71" s="28"/>
      <c r="L71" s="28"/>
      <c r="M71" s="28"/>
      <c r="N71" s="28"/>
      <c r="O71" s="28"/>
      <c r="P71" s="28"/>
      <c r="Q71" s="28"/>
      <c r="R71" s="28"/>
      <c r="S71" s="28"/>
      <c r="T71" s="28"/>
    </row>
    <row r="72" spans="1:20" ht="26.25" x14ac:dyDescent="0.4">
      <c r="A72" s="25"/>
      <c r="B72" s="25"/>
      <c r="C72" s="451" t="s">
        <v>497</v>
      </c>
      <c r="D72" s="452"/>
      <c r="E72" s="452"/>
      <c r="F72" s="452"/>
      <c r="G72" s="452"/>
      <c r="H72" s="452"/>
      <c r="I72" s="452"/>
      <c r="J72" s="452"/>
      <c r="K72" s="452"/>
      <c r="L72" s="452"/>
      <c r="M72" s="452"/>
      <c r="N72" s="452"/>
      <c r="O72" s="452"/>
      <c r="P72" s="452"/>
      <c r="Q72" s="452"/>
      <c r="R72" s="452"/>
      <c r="S72" s="453"/>
      <c r="T72" s="28"/>
    </row>
    <row r="73" spans="1:20" x14ac:dyDescent="0.2">
      <c r="A73" s="25"/>
      <c r="B73" s="117"/>
      <c r="C73" s="454" t="s">
        <v>233</v>
      </c>
      <c r="D73" s="455"/>
      <c r="E73" s="456" t="s">
        <v>213</v>
      </c>
      <c r="F73" s="457"/>
      <c r="G73" s="458"/>
      <c r="H73" s="456" t="s">
        <v>7</v>
      </c>
      <c r="I73" s="457"/>
      <c r="J73" s="458"/>
      <c r="K73" s="456" t="s">
        <v>33</v>
      </c>
      <c r="L73" s="457"/>
      <c r="M73" s="458"/>
      <c r="N73" s="456" t="s">
        <v>8</v>
      </c>
      <c r="O73" s="457"/>
      <c r="P73" s="458"/>
      <c r="Q73" s="81" t="s">
        <v>9</v>
      </c>
      <c r="R73" s="82" t="s">
        <v>10</v>
      </c>
      <c r="S73" s="82" t="s">
        <v>11</v>
      </c>
      <c r="T73" s="28"/>
    </row>
    <row r="74" spans="1:20" ht="38.25" x14ac:dyDescent="0.2">
      <c r="A74" s="91"/>
      <c r="B74" s="118"/>
      <c r="C74" s="84" t="s">
        <v>12</v>
      </c>
      <c r="D74" s="85" t="s">
        <v>140</v>
      </c>
      <c r="E74" s="86" t="s">
        <v>12</v>
      </c>
      <c r="F74" s="87" t="s">
        <v>3</v>
      </c>
      <c r="G74" s="88" t="s">
        <v>4</v>
      </c>
      <c r="H74" s="86" t="s">
        <v>12</v>
      </c>
      <c r="I74" s="87" t="s">
        <v>3</v>
      </c>
      <c r="J74" s="88" t="s">
        <v>4</v>
      </c>
      <c r="K74" s="86" t="s">
        <v>12</v>
      </c>
      <c r="L74" s="87" t="s">
        <v>3</v>
      </c>
      <c r="M74" s="88" t="s">
        <v>4</v>
      </c>
      <c r="N74" s="86" t="s">
        <v>12</v>
      </c>
      <c r="O74" s="87" t="s">
        <v>3</v>
      </c>
      <c r="P74" s="88" t="s">
        <v>4</v>
      </c>
      <c r="Q74" s="89" t="s">
        <v>12</v>
      </c>
      <c r="R74" s="89" t="s">
        <v>12</v>
      </c>
      <c r="S74" s="90" t="s">
        <v>498</v>
      </c>
      <c r="T74" s="28"/>
    </row>
    <row r="75" spans="1:20" x14ac:dyDescent="0.2">
      <c r="A75" s="25"/>
      <c r="B75" s="101" t="s">
        <v>472</v>
      </c>
      <c r="C75" s="240">
        <f>IFERROR(VLOOKUP($B75,MMWR_TRAD_AGG_RO_PEN[],C$1,0),"ERROR")</f>
        <v>17773</v>
      </c>
      <c r="D75" s="241">
        <f>IFERROR(VLOOKUP($B75,MMWR_TRAD_AGG_RO_PEN[],D$1,0),"ERROR")</f>
        <v>86.171552354699998</v>
      </c>
      <c r="E75" s="240">
        <f>IFERROR(VLOOKUP($B75,MMWR_TRAD_AGG_RO_PEN[],E$1,0),"ERROR")</f>
        <v>25774</v>
      </c>
      <c r="F75" s="240">
        <f>IFERROR(VLOOKUP($B75,MMWR_TRAD_AGG_RO_PEN[],F$1,0),"ERROR")</f>
        <v>3757</v>
      </c>
      <c r="G75" s="242">
        <f>IFERROR(F75/E75,"0%")</f>
        <v>0.14576705206797547</v>
      </c>
      <c r="H75" s="240">
        <f>IFERROR(VLOOKUP($B75,MMWR_TRAD_AGG_RO_PEN[],H$1,0),"ERROR")</f>
        <v>30021</v>
      </c>
      <c r="I75" s="240">
        <f>IFERROR(VLOOKUP($B75,MMWR_TRAD_AGG_RO_PEN[],I$1,0),"ERROR")</f>
        <v>6852</v>
      </c>
      <c r="J75" s="242">
        <f>IFERROR(I75/H75,"0%")</f>
        <v>0.22824023183771361</v>
      </c>
      <c r="K75" s="240">
        <f>IFERROR(VLOOKUP($B75,MMWR_TRAD_AGG_RO_PEN[],K$1,0),"ERROR")</f>
        <v>813</v>
      </c>
      <c r="L75" s="240">
        <f>IFERROR(VLOOKUP($B75,MMWR_TRAD_AGG_RO_PEN[],L$1,0),"ERROR")</f>
        <v>759</v>
      </c>
      <c r="M75" s="242">
        <f>IFERROR(L75/K75,"0%")</f>
        <v>0.93357933579335795</v>
      </c>
      <c r="N75" s="240">
        <f>IFERROR(VLOOKUP($B75,MMWR_TRAD_AGG_RO_PEN[],N$1,0),"ERROR")</f>
        <v>4232</v>
      </c>
      <c r="O75" s="240">
        <f>IFERROR(VLOOKUP($B75,MMWR_TRAD_AGG_RO_PEN[],O$1,0),"ERROR")</f>
        <v>993</v>
      </c>
      <c r="P75" s="242">
        <f>IFERROR(O75/N75,"0%")</f>
        <v>0.23464083175803402</v>
      </c>
      <c r="Q75" s="240">
        <f>IFERROR(VLOOKUP($B75,MMWR_TRAD_AGG_RO_PEN[],Q$1,0),"ERROR")</f>
        <v>11529</v>
      </c>
      <c r="R75" s="243">
        <f>IFERROR(VLOOKUP($B75,MMWR_TRAD_AGG_RO_PEN[],R$1,0),"ERROR")</f>
        <v>5213</v>
      </c>
      <c r="S75" s="243">
        <f>IFERROR(VLOOKUP($B75,MMWR_APP_RO[],S$1,0),"ERROR")</f>
        <v>5647</v>
      </c>
      <c r="T75" s="28"/>
    </row>
    <row r="76" spans="1:20" x14ac:dyDescent="0.2">
      <c r="A76" s="107"/>
      <c r="B76" s="122" t="s">
        <v>218</v>
      </c>
      <c r="C76" s="244">
        <f>IFERROR(VLOOKUP($B76,MMWR_TRAD_AGG_RO_PEN[],C$1,0),"ERROR")</f>
        <v>12469</v>
      </c>
      <c r="D76" s="245">
        <f>IFERROR(VLOOKUP($B76,MMWR_TRAD_AGG_RO_PEN[],D$1,0),"ERROR")</f>
        <v>99.834309086499999</v>
      </c>
      <c r="E76" s="244">
        <f>IFERROR(VLOOKUP($B76,MMWR_TRAD_AGG_RO_PEN[],E$1,0),"ERROR")</f>
        <v>12166</v>
      </c>
      <c r="F76" s="244">
        <f>IFERROR(VLOOKUP($B76,MMWR_TRAD_AGG_RO_PEN[],F$1,0),"ERROR")</f>
        <v>2936</v>
      </c>
      <c r="G76" s="226">
        <f>IFERROR(F76/E76,"0%")</f>
        <v>0.24132829196120337</v>
      </c>
      <c r="H76" s="244">
        <f>IFERROR(VLOOKUP($B76,MMWR_TRAD_AGG_RO_PEN[],H$1,0),"ERROR")</f>
        <v>19397</v>
      </c>
      <c r="I76" s="244">
        <f>IFERROR(VLOOKUP($B76,MMWR_TRAD_AGG_RO_PEN[],I$1,0),"ERROR")</f>
        <v>5653</v>
      </c>
      <c r="J76" s="226">
        <f>IFERROR(I76/H76,"0%")</f>
        <v>0.29143682012682376</v>
      </c>
      <c r="K76" s="244">
        <f>IFERROR(VLOOKUP($B76,MMWR_TRAD_AGG_RO_PEN[],K$1,0),"ERROR")</f>
        <v>461</v>
      </c>
      <c r="L76" s="244">
        <f>IFERROR(VLOOKUP($B76,MMWR_TRAD_AGG_RO_PEN[],L$1,0),"ERROR")</f>
        <v>434</v>
      </c>
      <c r="M76" s="226">
        <f>IFERROR(L76/K76,"0%")</f>
        <v>0.9414316702819957</v>
      </c>
      <c r="N76" s="244">
        <f>IFERROR(VLOOKUP($B76,MMWR_TRAD_AGG_RO_PEN[],N$1,0),"ERROR")</f>
        <v>3363</v>
      </c>
      <c r="O76" s="244">
        <f>IFERROR(VLOOKUP($B76,MMWR_TRAD_AGG_RO_PEN[],O$1,0),"ERROR")</f>
        <v>597</v>
      </c>
      <c r="P76" s="226">
        <f>IFERROR(O76/N76,"0%")</f>
        <v>0.17752007136485282</v>
      </c>
      <c r="Q76" s="244">
        <f>IFERROR(VLOOKUP($B76,MMWR_TRAD_AGG_RO_PEN[],Q$1,0),"ERROR")</f>
        <v>1371</v>
      </c>
      <c r="R76" s="244">
        <f>IFERROR(VLOOKUP($B76,MMWR_TRAD_AGG_RO_PEN[],R$1,0),"ERROR")</f>
        <v>3626</v>
      </c>
      <c r="S76" s="246">
        <f>IFERROR(VLOOKUP($B76,MMWR_APP_RO[],S$1,0),"ERROR")</f>
        <v>2675</v>
      </c>
      <c r="T76" s="28"/>
    </row>
    <row r="77" spans="1:20" x14ac:dyDescent="0.2">
      <c r="A77" s="107"/>
      <c r="B77" s="122" t="s">
        <v>217</v>
      </c>
      <c r="C77" s="244">
        <f>IFERROR(VLOOKUP($B77,MMWR_TRAD_AGG_RO_PEN[],C$1,0),"ERROR")</f>
        <v>3395</v>
      </c>
      <c r="D77" s="245">
        <f>IFERROR(VLOOKUP($B77,MMWR_TRAD_AGG_RO_PEN[],D$1,0),"ERROR")</f>
        <v>65.747569955800003</v>
      </c>
      <c r="E77" s="244">
        <f>IFERROR(VLOOKUP($B77,MMWR_TRAD_AGG_RO_PEN[],E$1,0),"ERROR")</f>
        <v>6380</v>
      </c>
      <c r="F77" s="244">
        <f>IFERROR(VLOOKUP($B77,MMWR_TRAD_AGG_RO_PEN[],F$1,0),"ERROR")</f>
        <v>505</v>
      </c>
      <c r="G77" s="226">
        <f>IFERROR(F77/E77,"0%")</f>
        <v>7.9153605015673978E-2</v>
      </c>
      <c r="H77" s="244">
        <f>IFERROR(VLOOKUP($B77,MMWR_TRAD_AGG_RO_PEN[],H$1,0),"ERROR")</f>
        <v>6301</v>
      </c>
      <c r="I77" s="244">
        <f>IFERROR(VLOOKUP($B77,MMWR_TRAD_AGG_RO_PEN[],I$1,0),"ERROR")</f>
        <v>459</v>
      </c>
      <c r="J77" s="226">
        <f>IFERROR(I77/H77,"0%")</f>
        <v>7.284558006665609E-2</v>
      </c>
      <c r="K77" s="244">
        <f>IFERROR(VLOOKUP($B77,MMWR_TRAD_AGG_RO_PEN[],K$1,0),"ERROR")</f>
        <v>55</v>
      </c>
      <c r="L77" s="244">
        <f>IFERROR(VLOOKUP($B77,MMWR_TRAD_AGG_RO_PEN[],L$1,0),"ERROR")</f>
        <v>53</v>
      </c>
      <c r="M77" s="226">
        <f>IFERROR(L77/K77,"0%")</f>
        <v>0.96363636363636362</v>
      </c>
      <c r="N77" s="244">
        <f>IFERROR(VLOOKUP($B77,MMWR_TRAD_AGG_RO_PEN[],N$1,0),"ERROR")</f>
        <v>449</v>
      </c>
      <c r="O77" s="244">
        <f>IFERROR(VLOOKUP($B77,MMWR_TRAD_AGG_RO_PEN[],O$1,0),"ERROR")</f>
        <v>108</v>
      </c>
      <c r="P77" s="226">
        <f>IFERROR(O77/N77,"0%")</f>
        <v>0.24053452115812918</v>
      </c>
      <c r="Q77" s="244">
        <f>IFERROR(VLOOKUP($B77,MMWR_TRAD_AGG_RO_PEN[],Q$1,0),"ERROR")</f>
        <v>5102</v>
      </c>
      <c r="R77" s="244">
        <f>IFERROR(VLOOKUP($B77,MMWR_TRAD_AGG_RO_PEN[],R$1,0),"ERROR")</f>
        <v>487</v>
      </c>
      <c r="S77" s="246">
        <f>IFERROR(VLOOKUP($B77,MMWR_APP_RO[],S$1,0),"ERROR")</f>
        <v>1921</v>
      </c>
      <c r="T77" s="28"/>
    </row>
    <row r="78" spans="1:20" x14ac:dyDescent="0.2">
      <c r="A78" s="107"/>
      <c r="B78" s="122" t="s">
        <v>220</v>
      </c>
      <c r="C78" s="244">
        <f>IFERROR(VLOOKUP($B78,MMWR_TRAD_AGG_RO_PEN[],C$1,0),"ERROR")</f>
        <v>1909</v>
      </c>
      <c r="D78" s="245">
        <f>IFERROR(VLOOKUP($B78,MMWR_TRAD_AGG_RO_PEN[],D$1,0),"ERROR")</f>
        <v>33.253012048199999</v>
      </c>
      <c r="E78" s="244">
        <f>IFERROR(VLOOKUP($B78,MMWR_TRAD_AGG_RO_PEN[],E$1,0),"ERROR")</f>
        <v>6993</v>
      </c>
      <c r="F78" s="244">
        <f>IFERROR(VLOOKUP($B78,MMWR_TRAD_AGG_RO_PEN[],F$1,0),"ERROR")</f>
        <v>225</v>
      </c>
      <c r="G78" s="226">
        <f>IFERROR(F78/E78,"0%")</f>
        <v>3.2175032175032175E-2</v>
      </c>
      <c r="H78" s="244">
        <f>IFERROR(VLOOKUP($B78,MMWR_TRAD_AGG_RO_PEN[],H$1,0),"ERROR")</f>
        <v>3445</v>
      </c>
      <c r="I78" s="244">
        <f>IFERROR(VLOOKUP($B78,MMWR_TRAD_AGG_RO_PEN[],I$1,0),"ERROR")</f>
        <v>23</v>
      </c>
      <c r="J78" s="226">
        <f>IFERROR(I78/H78,"0%")</f>
        <v>6.6763425253991288E-3</v>
      </c>
      <c r="K78" s="244">
        <f>IFERROR(VLOOKUP($B78,MMWR_TRAD_AGG_RO_PEN[],K$1,0),"ERROR")</f>
        <v>18</v>
      </c>
      <c r="L78" s="244">
        <f>IFERROR(VLOOKUP($B78,MMWR_TRAD_AGG_RO_PEN[],L$1,0),"ERROR")</f>
        <v>3</v>
      </c>
      <c r="M78" s="226">
        <f>IFERROR(L78/K78,"0%")</f>
        <v>0.16666666666666666</v>
      </c>
      <c r="N78" s="244">
        <f>IFERROR(VLOOKUP($B78,MMWR_TRAD_AGG_RO_PEN[],N$1,0),"ERROR")</f>
        <v>113</v>
      </c>
      <c r="O78" s="244">
        <f>IFERROR(VLOOKUP($B78,MMWR_TRAD_AGG_RO_PEN[],O$1,0),"ERROR")</f>
        <v>36</v>
      </c>
      <c r="P78" s="226">
        <f>IFERROR(O78/N78,"0%")</f>
        <v>0.31858407079646017</v>
      </c>
      <c r="Q78" s="244">
        <f>IFERROR(VLOOKUP($B78,MMWR_TRAD_AGG_RO_PEN[],Q$1,0),"ERROR")</f>
        <v>4942</v>
      </c>
      <c r="R78" s="244">
        <f>IFERROR(VLOOKUP($B78,MMWR_TRAD_AGG_RO_PEN[],R$1,0),"ERROR")</f>
        <v>1100</v>
      </c>
      <c r="S78" s="246">
        <f>IFERROR(VLOOKUP($B78,MMWR_APP_RO[],S$1,0),"ERROR")</f>
        <v>1051</v>
      </c>
      <c r="T78" s="28"/>
    </row>
    <row r="79" spans="1:20" x14ac:dyDescent="0.2">
      <c r="A79" s="92"/>
      <c r="B79" s="101" t="s">
        <v>232</v>
      </c>
      <c r="C79" s="221">
        <f>IFERROR(VLOOKUP($B79,MMWR_TRAD_AGG_RO_PEN[],C$1,0),"ERROR")</f>
        <v>0</v>
      </c>
      <c r="D79" s="192">
        <f>IFERROR(VLOOKUP($B79,MMWR_TRAD_AGG_RO_PEN[],D$1,0),"ERROR")</f>
        <v>0</v>
      </c>
      <c r="E79" s="221">
        <f>IFERROR(VLOOKUP($B79,MMWR_TRAD_AGG_RO_PEN[],E$1,0),"ERROR")</f>
        <v>235</v>
      </c>
      <c r="F79" s="221">
        <f>IFERROR(VLOOKUP($B79,MMWR_TRAD_AGG_RO_PEN[],F$1,0),"ERROR")</f>
        <v>91</v>
      </c>
      <c r="G79" s="217">
        <f>IFERROR(F79/E79,"0%")</f>
        <v>0.38723404255319149</v>
      </c>
      <c r="H79" s="221">
        <f>IFERROR(VLOOKUP($B79,MMWR_TRAD_AGG_RO_PEN[],H$1,0),"ERROR")</f>
        <v>878</v>
      </c>
      <c r="I79" s="221">
        <f>IFERROR(VLOOKUP($B79,MMWR_TRAD_AGG_RO_PEN[],I$1,0),"ERROR")</f>
        <v>717</v>
      </c>
      <c r="J79" s="217">
        <f>IFERROR(I79/H79,"0%")</f>
        <v>0.81662870159453305</v>
      </c>
      <c r="K79" s="221">
        <f>IFERROR(VLOOKUP($B79,MMWR_TRAD_AGG_RO_PEN[],K$1,0),"ERROR")</f>
        <v>279</v>
      </c>
      <c r="L79" s="221">
        <f>IFERROR(VLOOKUP($B79,MMWR_TRAD_AGG_RO_PEN[],L$1,0),"ERROR")</f>
        <v>269</v>
      </c>
      <c r="M79" s="217">
        <f>IFERROR(L79/K79,"0%")</f>
        <v>0.96415770609318996</v>
      </c>
      <c r="N79" s="221">
        <f>IFERROR(VLOOKUP($B79,MMWR_TRAD_AGG_RO_PEN[],N$1,0),"ERROR")</f>
        <v>307</v>
      </c>
      <c r="O79" s="221">
        <f>IFERROR(VLOOKUP($B79,MMWR_TRAD_AGG_RO_PEN[],O$1,0),"ERROR")</f>
        <v>252</v>
      </c>
      <c r="P79" s="217">
        <f>IFERROR(O79/N79,"0%")</f>
        <v>0.82084690553745931</v>
      </c>
      <c r="Q79" s="221">
        <f>IFERROR(VLOOKUP($B79,MMWR_TRAD_AGG_RO_PEN[],Q$1,0),"ERROR")</f>
        <v>114</v>
      </c>
      <c r="R79" s="247">
        <f>IFERROR(VLOOKUP($B79,MMWR_TRAD_AGG_RO_PEN[],R$1,0),"ERROR")</f>
        <v>0</v>
      </c>
      <c r="S79" s="247"/>
      <c r="T79" s="28"/>
    </row>
    <row r="80" spans="1:20" x14ac:dyDescent="0.2">
      <c r="A80" s="28"/>
      <c r="B80" s="28"/>
      <c r="C80" s="28"/>
      <c r="D80" s="28"/>
      <c r="E80" s="28"/>
      <c r="F80" s="28"/>
      <c r="G80" s="28"/>
      <c r="H80" s="28"/>
      <c r="I80" s="28"/>
      <c r="J80" s="28"/>
      <c r="K80" s="28"/>
      <c r="L80" s="28"/>
      <c r="M80" s="28"/>
      <c r="N80" s="28"/>
      <c r="O80" s="28"/>
      <c r="P80" s="28"/>
      <c r="Q80" s="28"/>
      <c r="R80" s="28"/>
      <c r="S80" s="28"/>
      <c r="T80" s="28"/>
    </row>
  </sheetData>
  <sheetProtection password="BD20" sheet="1" autoFilter="0"/>
  <mergeCells count="13">
    <mergeCell ref="C5:S5"/>
    <mergeCell ref="C72:S72"/>
    <mergeCell ref="C73:D73"/>
    <mergeCell ref="E73:G73"/>
    <mergeCell ref="H73:J73"/>
    <mergeCell ref="K73:M73"/>
    <mergeCell ref="N73:P73"/>
    <mergeCell ref="C2:S2"/>
    <mergeCell ref="C3:D3"/>
    <mergeCell ref="E3:G3"/>
    <mergeCell ref="H3:J3"/>
    <mergeCell ref="K3:M3"/>
    <mergeCell ref="N3:P3"/>
  </mergeCells>
  <conditionalFormatting sqref="S63:S69">
    <cfRule type="expression" dxfId="359" priority="97" stopIfTrue="1">
      <formula>ISERROR(S63)</formula>
    </cfRule>
  </conditionalFormatting>
  <conditionalFormatting sqref="B6:C6 E6:G6 B7:B24 B72:B74 C7:G7 S8:S24 S36:S37 J6:J7 M6:M7 P6:S7 B26:S35">
    <cfRule type="expression" dxfId="358" priority="340" stopIfTrue="1">
      <formula>ISERROR(B6)</formula>
    </cfRule>
  </conditionalFormatting>
  <conditionalFormatting sqref="D6">
    <cfRule type="expression" dxfId="357" priority="339" stopIfTrue="1">
      <formula>ISERROR(D6)</formula>
    </cfRule>
  </conditionalFormatting>
  <conditionalFormatting sqref="D7:G24 Q7:R24">
    <cfRule type="expression" dxfId="356" priority="338" stopIfTrue="1">
      <formula>ISERROR(D7)</formula>
    </cfRule>
  </conditionalFormatting>
  <conditionalFormatting sqref="S4">
    <cfRule type="expression" dxfId="355" priority="333" stopIfTrue="1">
      <formula>ISERROR(S4)</formula>
    </cfRule>
  </conditionalFormatting>
  <conditionalFormatting sqref="M38">
    <cfRule type="expression" dxfId="354" priority="251" stopIfTrue="1">
      <formula>ISERROR(M38)</formula>
    </cfRule>
  </conditionalFormatting>
  <conditionalFormatting sqref="S49">
    <cfRule type="expression" dxfId="353" priority="329" stopIfTrue="1">
      <formula>ISERROR(S49)</formula>
    </cfRule>
  </conditionalFormatting>
  <conditionalFormatting sqref="E4">
    <cfRule type="expression" dxfId="352" priority="337" stopIfTrue="1">
      <formula>ISERROR(E4)</formula>
    </cfRule>
  </conditionalFormatting>
  <conditionalFormatting sqref="C4">
    <cfRule type="expression" dxfId="351" priority="336" stopIfTrue="1">
      <formula>ISERROR(C4)</formula>
    </cfRule>
  </conditionalFormatting>
  <conditionalFormatting sqref="N25">
    <cfRule type="expression" dxfId="350" priority="279" stopIfTrue="1">
      <formula>ISERROR(N25)</formula>
    </cfRule>
  </conditionalFormatting>
  <conditionalFormatting sqref="K7">
    <cfRule type="expression" dxfId="349" priority="309" stopIfTrue="1">
      <formula>ISERROR(K7)</formula>
    </cfRule>
  </conditionalFormatting>
  <conditionalFormatting sqref="S25">
    <cfRule type="expression" dxfId="348" priority="331" stopIfTrue="1">
      <formula>ISERROR(S25)</formula>
    </cfRule>
  </conditionalFormatting>
  <conditionalFormatting sqref="Q4">
    <cfRule type="expression" dxfId="347" priority="335" stopIfTrue="1">
      <formula>ISERROR(Q4)</formula>
    </cfRule>
  </conditionalFormatting>
  <conditionalFormatting sqref="R4">
    <cfRule type="expression" dxfId="346" priority="334" stopIfTrue="1">
      <formula>ISERROR(R4)</formula>
    </cfRule>
  </conditionalFormatting>
  <conditionalFormatting sqref="K4">
    <cfRule type="expression" dxfId="345" priority="322" stopIfTrue="1">
      <formula>ISERROR(K4)</formula>
    </cfRule>
  </conditionalFormatting>
  <conditionalFormatting sqref="P7">
    <cfRule type="expression" dxfId="344" priority="294" stopIfTrue="1">
      <formula>ISERROR(P7)</formula>
    </cfRule>
  </conditionalFormatting>
  <conditionalFormatting sqref="H7">
    <cfRule type="expression" dxfId="343" priority="312" stopIfTrue="1">
      <formula>ISERROR(H7)</formula>
    </cfRule>
  </conditionalFormatting>
  <conditionalFormatting sqref="C7:C24">
    <cfRule type="expression" dxfId="342" priority="332" stopIfTrue="1">
      <formula>ISERROR(C7)</formula>
    </cfRule>
  </conditionalFormatting>
  <conditionalFormatting sqref="S62">
    <cfRule type="expression" dxfId="341" priority="328" stopIfTrue="1">
      <formula>ISERROR(S62)</formula>
    </cfRule>
  </conditionalFormatting>
  <conditionalFormatting sqref="N7">
    <cfRule type="expression" dxfId="340" priority="305" stopIfTrue="1">
      <formula>ISERROR(N7)</formula>
    </cfRule>
  </conditionalFormatting>
  <conditionalFormatting sqref="Q25">
    <cfRule type="expression" dxfId="339" priority="276" stopIfTrue="1">
      <formula>ISERROR(Q25)</formula>
    </cfRule>
  </conditionalFormatting>
  <conditionalFormatting sqref="R25">
    <cfRule type="expression" dxfId="338" priority="275" stopIfTrue="1">
      <formula>ISERROR(R25)</formula>
    </cfRule>
  </conditionalFormatting>
  <conditionalFormatting sqref="S38">
    <cfRule type="expression" dxfId="337" priority="330" stopIfTrue="1">
      <formula>ISERROR(S38)</formula>
    </cfRule>
  </conditionalFormatting>
  <conditionalFormatting sqref="M7">
    <cfRule type="expression" dxfId="336" priority="295" stopIfTrue="1">
      <formula>ISERROR(M7)</formula>
    </cfRule>
  </conditionalFormatting>
  <conditionalFormatting sqref="K49">
    <cfRule type="expression" dxfId="335" priority="239" stopIfTrue="1">
      <formula>ISERROR(K49)</formula>
    </cfRule>
  </conditionalFormatting>
  <conditionalFormatting sqref="L38">
    <cfRule type="expression" dxfId="334" priority="260" stopIfTrue="1">
      <formula>ISERROR(L38)</formula>
    </cfRule>
  </conditionalFormatting>
  <conditionalFormatting sqref="L38">
    <cfRule type="expression" dxfId="333" priority="259" stopIfTrue="1">
      <formula>ISERROR(L38)</formula>
    </cfRule>
  </conditionalFormatting>
  <conditionalFormatting sqref="I7">
    <cfRule type="expression" dxfId="332" priority="311" stopIfTrue="1">
      <formula>ISERROR(I7)</formula>
    </cfRule>
  </conditionalFormatting>
  <conditionalFormatting sqref="K7">
    <cfRule type="expression" dxfId="331" priority="308" stopIfTrue="1">
      <formula>ISERROR(K7)</formula>
    </cfRule>
  </conditionalFormatting>
  <conditionalFormatting sqref="H6:I6">
    <cfRule type="expression" dxfId="330" priority="327" stopIfTrue="1">
      <formula>ISERROR(H6)</formula>
    </cfRule>
  </conditionalFormatting>
  <conditionalFormatting sqref="H9:J24 H8:I8">
    <cfRule type="expression" dxfId="329" priority="326" stopIfTrue="1">
      <formula>ISERROR(H8)</formula>
    </cfRule>
  </conditionalFormatting>
  <conditionalFormatting sqref="H4">
    <cfRule type="expression" dxfId="328" priority="325" stopIfTrue="1">
      <formula>ISERROR(H4)</formula>
    </cfRule>
  </conditionalFormatting>
  <conditionalFormatting sqref="R7">
    <cfRule type="expression" dxfId="327" priority="300" stopIfTrue="1">
      <formula>ISERROR(R7)</formula>
    </cfRule>
  </conditionalFormatting>
  <conditionalFormatting sqref="K38">
    <cfRule type="expression" dxfId="326" priority="262" stopIfTrue="1">
      <formula>ISERROR(K38)</formula>
    </cfRule>
  </conditionalFormatting>
  <conditionalFormatting sqref="K38">
    <cfRule type="expression" dxfId="325" priority="261" stopIfTrue="1">
      <formula>ISERROR(K38)</formula>
    </cfRule>
  </conditionalFormatting>
  <conditionalFormatting sqref="L25">
    <cfRule type="expression" dxfId="324" priority="282" stopIfTrue="1">
      <formula>ISERROR(L25)</formula>
    </cfRule>
  </conditionalFormatting>
  <conditionalFormatting sqref="L25">
    <cfRule type="expression" dxfId="323" priority="281" stopIfTrue="1">
      <formula>ISERROR(L25)</formula>
    </cfRule>
  </conditionalFormatting>
  <conditionalFormatting sqref="J6">
    <cfRule type="expression" dxfId="322" priority="299" stopIfTrue="1">
      <formula>ISERROR(J6)</formula>
    </cfRule>
  </conditionalFormatting>
  <conditionalFormatting sqref="K6:L6">
    <cfRule type="expression" dxfId="321" priority="324" stopIfTrue="1">
      <formula>ISERROR(K6)</formula>
    </cfRule>
  </conditionalFormatting>
  <conditionalFormatting sqref="K9:M24 K8:L8">
    <cfRule type="expression" dxfId="320" priority="323" stopIfTrue="1">
      <formula>ISERROR(K8)</formula>
    </cfRule>
  </conditionalFormatting>
  <conditionalFormatting sqref="C25">
    <cfRule type="expression" dxfId="319" priority="291" stopIfTrue="1">
      <formula>ISERROR(C25)</formula>
    </cfRule>
  </conditionalFormatting>
  <conditionalFormatting sqref="E25">
    <cfRule type="expression" dxfId="318" priority="290" stopIfTrue="1">
      <formula>ISERROR(E25)</formula>
    </cfRule>
  </conditionalFormatting>
  <conditionalFormatting sqref="P38">
    <cfRule type="expression" dxfId="317" priority="250" stopIfTrue="1">
      <formula>ISERROR(P38)</formula>
    </cfRule>
  </conditionalFormatting>
  <conditionalFormatting sqref="B38:G38 Q38:R38">
    <cfRule type="expression" dxfId="316" priority="271" stopIfTrue="1">
      <formula>ISERROR(B38)</formula>
    </cfRule>
  </conditionalFormatting>
  <conditionalFormatting sqref="Q38:R38 D38:G38">
    <cfRule type="expression" dxfId="315" priority="270" stopIfTrue="1">
      <formula>ISERROR(D38)</formula>
    </cfRule>
  </conditionalFormatting>
  <conditionalFormatting sqref="N6:O6">
    <cfRule type="expression" dxfId="314" priority="321" stopIfTrue="1">
      <formula>ISERROR(N6)</formula>
    </cfRule>
  </conditionalFormatting>
  <conditionalFormatting sqref="N9:P24 N8:O8">
    <cfRule type="expression" dxfId="313" priority="320" stopIfTrue="1">
      <formula>ISERROR(N8)</formula>
    </cfRule>
  </conditionalFormatting>
  <conditionalFormatting sqref="N4">
    <cfRule type="expression" dxfId="312" priority="319" stopIfTrue="1">
      <formula>ISERROR(N4)</formula>
    </cfRule>
  </conditionalFormatting>
  <conditionalFormatting sqref="N25">
    <cfRule type="expression" dxfId="311" priority="280" stopIfTrue="1">
      <formula>ISERROR(N25)</formula>
    </cfRule>
  </conditionalFormatting>
  <conditionalFormatting sqref="O25">
    <cfRule type="expression" dxfId="310" priority="278" stopIfTrue="1">
      <formula>ISERROR(O25)</formula>
    </cfRule>
  </conditionalFormatting>
  <conditionalFormatting sqref="K49">
    <cfRule type="expression" dxfId="309" priority="240" stopIfTrue="1">
      <formula>ISERROR(K49)</formula>
    </cfRule>
  </conditionalFormatting>
  <conditionalFormatting sqref="J8">
    <cfRule type="expression" dxfId="308" priority="318" stopIfTrue="1">
      <formula>ISERROR(J8)</formula>
    </cfRule>
  </conditionalFormatting>
  <conditionalFormatting sqref="M8">
    <cfRule type="expression" dxfId="307" priority="317" stopIfTrue="1">
      <formula>ISERROR(M8)</formula>
    </cfRule>
  </conditionalFormatting>
  <conditionalFormatting sqref="P8">
    <cfRule type="expression" dxfId="306" priority="316" stopIfTrue="1">
      <formula>ISERROR(P8)</formula>
    </cfRule>
  </conditionalFormatting>
  <conditionalFormatting sqref="E7">
    <cfRule type="expression" dxfId="305" priority="315" stopIfTrue="1">
      <formula>ISERROR(E7)</formula>
    </cfRule>
  </conditionalFormatting>
  <conditionalFormatting sqref="F7">
    <cfRule type="expression" dxfId="304" priority="314" stopIfTrue="1">
      <formula>ISERROR(F7)</formula>
    </cfRule>
  </conditionalFormatting>
  <conditionalFormatting sqref="H7">
    <cfRule type="expression" dxfId="303" priority="313" stopIfTrue="1">
      <formula>ISERROR(H7)</formula>
    </cfRule>
  </conditionalFormatting>
  <conditionalFormatting sqref="Q25:R25 D25:G25">
    <cfRule type="expression" dxfId="302" priority="292" stopIfTrue="1">
      <formula>ISERROR(D25)</formula>
    </cfRule>
  </conditionalFormatting>
  <conditionalFormatting sqref="I7">
    <cfRule type="expression" dxfId="301" priority="310" stopIfTrue="1">
      <formula>ISERROR(I7)</formula>
    </cfRule>
  </conditionalFormatting>
  <conditionalFormatting sqref="F25">
    <cfRule type="expression" dxfId="300" priority="289" stopIfTrue="1">
      <formula>ISERROR(F25)</formula>
    </cfRule>
  </conditionalFormatting>
  <conditionalFormatting sqref="H25">
    <cfRule type="expression" dxfId="299" priority="288" stopIfTrue="1">
      <formula>ISERROR(H25)</formula>
    </cfRule>
  </conditionalFormatting>
  <conditionalFormatting sqref="L7">
    <cfRule type="expression" dxfId="298" priority="307" stopIfTrue="1">
      <formula>ISERROR(L7)</formula>
    </cfRule>
  </conditionalFormatting>
  <conditionalFormatting sqref="L7">
    <cfRule type="expression" dxfId="297" priority="306" stopIfTrue="1">
      <formula>ISERROR(L7)</formula>
    </cfRule>
  </conditionalFormatting>
  <conditionalFormatting sqref="N7">
    <cfRule type="expression" dxfId="296" priority="304" stopIfTrue="1">
      <formula>ISERROR(N7)</formula>
    </cfRule>
  </conditionalFormatting>
  <conditionalFormatting sqref="O7">
    <cfRule type="expression" dxfId="295" priority="303" stopIfTrue="1">
      <formula>ISERROR(O7)</formula>
    </cfRule>
  </conditionalFormatting>
  <conditionalFormatting sqref="O7">
    <cfRule type="expression" dxfId="294" priority="302" stopIfTrue="1">
      <formula>ISERROR(O7)</formula>
    </cfRule>
  </conditionalFormatting>
  <conditionalFormatting sqref="Q7">
    <cfRule type="expression" dxfId="293" priority="301" stopIfTrue="1">
      <formula>ISERROR(Q7)</formula>
    </cfRule>
  </conditionalFormatting>
  <conditionalFormatting sqref="O62">
    <cfRule type="expression" dxfId="292" priority="212" stopIfTrue="1">
      <formula>ISERROR(O62)</formula>
    </cfRule>
  </conditionalFormatting>
  <conditionalFormatting sqref="P62">
    <cfRule type="expression" dxfId="291" priority="206" stopIfTrue="1">
      <formula>ISERROR(P62)</formula>
    </cfRule>
  </conditionalFormatting>
  <conditionalFormatting sqref="O25">
    <cfRule type="expression" dxfId="290" priority="277" stopIfTrue="1">
      <formula>ISERROR(O25)</formula>
    </cfRule>
  </conditionalFormatting>
  <conditionalFormatting sqref="M6">
    <cfRule type="expression" dxfId="289" priority="298" stopIfTrue="1">
      <formula>ISERROR(M6)</formula>
    </cfRule>
  </conditionalFormatting>
  <conditionalFormatting sqref="P6">
    <cfRule type="expression" dxfId="288" priority="297" stopIfTrue="1">
      <formula>ISERROR(P6)</formula>
    </cfRule>
  </conditionalFormatting>
  <conditionalFormatting sqref="J7">
    <cfRule type="expression" dxfId="287" priority="296" stopIfTrue="1">
      <formula>ISERROR(J7)</formula>
    </cfRule>
  </conditionalFormatting>
  <conditionalFormatting sqref="M25">
    <cfRule type="expression" dxfId="286" priority="273" stopIfTrue="1">
      <formula>ISERROR(M25)</formula>
    </cfRule>
  </conditionalFormatting>
  <conditionalFormatting sqref="P25">
    <cfRule type="expression" dxfId="285" priority="272" stopIfTrue="1">
      <formula>ISERROR(P25)</formula>
    </cfRule>
  </conditionalFormatting>
  <conditionalFormatting sqref="B25:G25 Q25:R25">
    <cfRule type="expression" dxfId="284" priority="293" stopIfTrue="1">
      <formula>ISERROR(B25)</formula>
    </cfRule>
  </conditionalFormatting>
  <conditionalFormatting sqref="C38">
    <cfRule type="expression" dxfId="283" priority="269" stopIfTrue="1">
      <formula>ISERROR(C38)</formula>
    </cfRule>
  </conditionalFormatting>
  <conditionalFormatting sqref="E38">
    <cfRule type="expression" dxfId="282" priority="268" stopIfTrue="1">
      <formula>ISERROR(E38)</formula>
    </cfRule>
  </conditionalFormatting>
  <conditionalFormatting sqref="H25">
    <cfRule type="expression" dxfId="281" priority="287" stopIfTrue="1">
      <formula>ISERROR(H25)</formula>
    </cfRule>
  </conditionalFormatting>
  <conditionalFormatting sqref="I25">
    <cfRule type="expression" dxfId="280" priority="286" stopIfTrue="1">
      <formula>ISERROR(I25)</formula>
    </cfRule>
  </conditionalFormatting>
  <conditionalFormatting sqref="I25">
    <cfRule type="expression" dxfId="279" priority="285" stopIfTrue="1">
      <formula>ISERROR(I25)</formula>
    </cfRule>
  </conditionalFormatting>
  <conditionalFormatting sqref="K25">
    <cfRule type="expression" dxfId="278" priority="284" stopIfTrue="1">
      <formula>ISERROR(K25)</formula>
    </cfRule>
  </conditionalFormatting>
  <conditionalFormatting sqref="K25">
    <cfRule type="expression" dxfId="277" priority="283" stopIfTrue="1">
      <formula>ISERROR(K25)</formula>
    </cfRule>
  </conditionalFormatting>
  <conditionalFormatting sqref="N38">
    <cfRule type="expression" dxfId="276" priority="258" stopIfTrue="1">
      <formula>ISERROR(N38)</formula>
    </cfRule>
  </conditionalFormatting>
  <conditionalFormatting sqref="N38">
    <cfRule type="expression" dxfId="275" priority="257" stopIfTrue="1">
      <formula>ISERROR(N38)</formula>
    </cfRule>
  </conditionalFormatting>
  <conditionalFormatting sqref="Q38">
    <cfRule type="expression" dxfId="274" priority="254" stopIfTrue="1">
      <formula>ISERROR(Q38)</formula>
    </cfRule>
  </conditionalFormatting>
  <conditionalFormatting sqref="R38">
    <cfRule type="expression" dxfId="273" priority="253" stopIfTrue="1">
      <formula>ISERROR(R38)</formula>
    </cfRule>
  </conditionalFormatting>
  <conditionalFormatting sqref="J25">
    <cfRule type="expression" dxfId="272" priority="274" stopIfTrue="1">
      <formula>ISERROR(J25)</formula>
    </cfRule>
  </conditionalFormatting>
  <conditionalFormatting sqref="B49:G49 Q49:R49">
    <cfRule type="expression" dxfId="271" priority="249" stopIfTrue="1">
      <formula>ISERROR(B49)</formula>
    </cfRule>
  </conditionalFormatting>
  <conditionalFormatting sqref="Q49:R49 D49:G49">
    <cfRule type="expression" dxfId="270" priority="248" stopIfTrue="1">
      <formula>ISERROR(D49)</formula>
    </cfRule>
  </conditionalFormatting>
  <conditionalFormatting sqref="F38">
    <cfRule type="expression" dxfId="269" priority="267" stopIfTrue="1">
      <formula>ISERROR(F38)</formula>
    </cfRule>
  </conditionalFormatting>
  <conditionalFormatting sqref="H38">
    <cfRule type="expression" dxfId="268" priority="266" stopIfTrue="1">
      <formula>ISERROR(H38)</formula>
    </cfRule>
  </conditionalFormatting>
  <conditionalFormatting sqref="H38">
    <cfRule type="expression" dxfId="267" priority="265" stopIfTrue="1">
      <formula>ISERROR(H38)</formula>
    </cfRule>
  </conditionalFormatting>
  <conditionalFormatting sqref="I38">
    <cfRule type="expression" dxfId="266" priority="264" stopIfTrue="1">
      <formula>ISERROR(I38)</formula>
    </cfRule>
  </conditionalFormatting>
  <conditionalFormatting sqref="I38">
    <cfRule type="expression" dxfId="265" priority="263" stopIfTrue="1">
      <formula>ISERROR(I38)</formula>
    </cfRule>
  </conditionalFormatting>
  <conditionalFormatting sqref="L49">
    <cfRule type="expression" dxfId="264" priority="238" stopIfTrue="1">
      <formula>ISERROR(L49)</formula>
    </cfRule>
  </conditionalFormatting>
  <conditionalFormatting sqref="L49">
    <cfRule type="expression" dxfId="263" priority="237" stopIfTrue="1">
      <formula>ISERROR(L49)</formula>
    </cfRule>
  </conditionalFormatting>
  <conditionalFormatting sqref="O38">
    <cfRule type="expression" dxfId="262" priority="256" stopIfTrue="1">
      <formula>ISERROR(O38)</formula>
    </cfRule>
  </conditionalFormatting>
  <conditionalFormatting sqref="O38">
    <cfRule type="expression" dxfId="261" priority="255" stopIfTrue="1">
      <formula>ISERROR(O38)</formula>
    </cfRule>
  </conditionalFormatting>
  <conditionalFormatting sqref="J38">
    <cfRule type="expression" dxfId="260" priority="252" stopIfTrue="1">
      <formula>ISERROR(J38)</formula>
    </cfRule>
  </conditionalFormatting>
  <conditionalFormatting sqref="M49">
    <cfRule type="expression" dxfId="259" priority="229" stopIfTrue="1">
      <formula>ISERROR(M49)</formula>
    </cfRule>
  </conditionalFormatting>
  <conditionalFormatting sqref="P49">
    <cfRule type="expression" dxfId="258" priority="228" stopIfTrue="1">
      <formula>ISERROR(P49)</formula>
    </cfRule>
  </conditionalFormatting>
  <conditionalFormatting sqref="C49">
    <cfRule type="expression" dxfId="257" priority="247" stopIfTrue="1">
      <formula>ISERROR(C49)</formula>
    </cfRule>
  </conditionalFormatting>
  <conditionalFormatting sqref="E49">
    <cfRule type="expression" dxfId="256" priority="246" stopIfTrue="1">
      <formula>ISERROR(E49)</formula>
    </cfRule>
  </conditionalFormatting>
  <conditionalFormatting sqref="F49">
    <cfRule type="expression" dxfId="255" priority="245" stopIfTrue="1">
      <formula>ISERROR(F49)</formula>
    </cfRule>
  </conditionalFormatting>
  <conditionalFormatting sqref="H49">
    <cfRule type="expression" dxfId="254" priority="244" stopIfTrue="1">
      <formula>ISERROR(H49)</formula>
    </cfRule>
  </conditionalFormatting>
  <conditionalFormatting sqref="H49">
    <cfRule type="expression" dxfId="253" priority="243" stopIfTrue="1">
      <formula>ISERROR(H49)</formula>
    </cfRule>
  </conditionalFormatting>
  <conditionalFormatting sqref="I49">
    <cfRule type="expression" dxfId="252" priority="242" stopIfTrue="1">
      <formula>ISERROR(I49)</formula>
    </cfRule>
  </conditionalFormatting>
  <conditionalFormatting sqref="I49">
    <cfRule type="expression" dxfId="251" priority="241" stopIfTrue="1">
      <formula>ISERROR(I49)</formula>
    </cfRule>
  </conditionalFormatting>
  <conditionalFormatting sqref="K62">
    <cfRule type="expression" dxfId="250" priority="218" stopIfTrue="1">
      <formula>ISERROR(K62)</formula>
    </cfRule>
  </conditionalFormatting>
  <conditionalFormatting sqref="K62">
    <cfRule type="expression" dxfId="249" priority="217" stopIfTrue="1">
      <formula>ISERROR(K62)</formula>
    </cfRule>
  </conditionalFormatting>
  <conditionalFormatting sqref="N49">
    <cfRule type="expression" dxfId="248" priority="236" stopIfTrue="1">
      <formula>ISERROR(N49)</formula>
    </cfRule>
  </conditionalFormatting>
  <conditionalFormatting sqref="N49">
    <cfRule type="expression" dxfId="247" priority="235" stopIfTrue="1">
      <formula>ISERROR(N49)</formula>
    </cfRule>
  </conditionalFormatting>
  <conditionalFormatting sqref="O49">
    <cfRule type="expression" dxfId="246" priority="234" stopIfTrue="1">
      <formula>ISERROR(O49)</formula>
    </cfRule>
  </conditionalFormatting>
  <conditionalFormatting sqref="O49">
    <cfRule type="expression" dxfId="245" priority="233" stopIfTrue="1">
      <formula>ISERROR(O49)</formula>
    </cfRule>
  </conditionalFormatting>
  <conditionalFormatting sqref="Q49">
    <cfRule type="expression" dxfId="244" priority="232" stopIfTrue="1">
      <formula>ISERROR(Q49)</formula>
    </cfRule>
  </conditionalFormatting>
  <conditionalFormatting sqref="R49">
    <cfRule type="expression" dxfId="243" priority="231" stopIfTrue="1">
      <formula>ISERROR(R49)</formula>
    </cfRule>
  </conditionalFormatting>
  <conditionalFormatting sqref="J49">
    <cfRule type="expression" dxfId="242" priority="230" stopIfTrue="1">
      <formula>ISERROR(J49)</formula>
    </cfRule>
  </conditionalFormatting>
  <conditionalFormatting sqref="B62:G62 Q62:R62">
    <cfRule type="expression" dxfId="241" priority="227" stopIfTrue="1">
      <formula>ISERROR(B62)</formula>
    </cfRule>
  </conditionalFormatting>
  <conditionalFormatting sqref="Q62:R62 D62:G62">
    <cfRule type="expression" dxfId="240" priority="226" stopIfTrue="1">
      <formula>ISERROR(D62)</formula>
    </cfRule>
  </conditionalFormatting>
  <conditionalFormatting sqref="C62">
    <cfRule type="expression" dxfId="239" priority="225" stopIfTrue="1">
      <formula>ISERROR(C62)</formula>
    </cfRule>
  </conditionalFormatting>
  <conditionalFormatting sqref="E62">
    <cfRule type="expression" dxfId="238" priority="224" stopIfTrue="1">
      <formula>ISERROR(E62)</formula>
    </cfRule>
  </conditionalFormatting>
  <conditionalFormatting sqref="F62">
    <cfRule type="expression" dxfId="237" priority="223" stopIfTrue="1">
      <formula>ISERROR(F62)</formula>
    </cfRule>
  </conditionalFormatting>
  <conditionalFormatting sqref="H62">
    <cfRule type="expression" dxfId="236" priority="222" stopIfTrue="1">
      <formula>ISERROR(H62)</formula>
    </cfRule>
  </conditionalFormatting>
  <conditionalFormatting sqref="H62">
    <cfRule type="expression" dxfId="235" priority="221" stopIfTrue="1">
      <formula>ISERROR(H62)</formula>
    </cfRule>
  </conditionalFormatting>
  <conditionalFormatting sqref="I62">
    <cfRule type="expression" dxfId="234" priority="220" stopIfTrue="1">
      <formula>ISERROR(I62)</formula>
    </cfRule>
  </conditionalFormatting>
  <conditionalFormatting sqref="I62">
    <cfRule type="expression" dxfId="233" priority="219" stopIfTrue="1">
      <formula>ISERROR(I62)</formula>
    </cfRule>
  </conditionalFormatting>
  <conditionalFormatting sqref="L62">
    <cfRule type="expression" dxfId="232" priority="216" stopIfTrue="1">
      <formula>ISERROR(L62)</formula>
    </cfRule>
  </conditionalFormatting>
  <conditionalFormatting sqref="L62">
    <cfRule type="expression" dxfId="231" priority="215" stopIfTrue="1">
      <formula>ISERROR(L62)</formula>
    </cfRule>
  </conditionalFormatting>
  <conditionalFormatting sqref="N62">
    <cfRule type="expression" dxfId="230" priority="214" stopIfTrue="1">
      <formula>ISERROR(N62)</formula>
    </cfRule>
  </conditionalFormatting>
  <conditionalFormatting sqref="N62">
    <cfRule type="expression" dxfId="229" priority="213" stopIfTrue="1">
      <formula>ISERROR(N62)</formula>
    </cfRule>
  </conditionalFormatting>
  <conditionalFormatting sqref="O70">
    <cfRule type="expression" dxfId="228" priority="190" stopIfTrue="1">
      <formula>ISERROR(O70)</formula>
    </cfRule>
  </conditionalFormatting>
  <conditionalFormatting sqref="O62">
    <cfRule type="expression" dxfId="227" priority="211" stopIfTrue="1">
      <formula>ISERROR(O62)</formula>
    </cfRule>
  </conditionalFormatting>
  <conditionalFormatting sqref="Q62">
    <cfRule type="expression" dxfId="226" priority="210" stopIfTrue="1">
      <formula>ISERROR(Q62)</formula>
    </cfRule>
  </conditionalFormatting>
  <conditionalFormatting sqref="R62">
    <cfRule type="expression" dxfId="225" priority="209" stopIfTrue="1">
      <formula>ISERROR(R62)</formula>
    </cfRule>
  </conditionalFormatting>
  <conditionalFormatting sqref="J62">
    <cfRule type="expression" dxfId="224" priority="208" stopIfTrue="1">
      <formula>ISERROR(J62)</formula>
    </cfRule>
  </conditionalFormatting>
  <conditionalFormatting sqref="M62">
    <cfRule type="expression" dxfId="223" priority="207" stopIfTrue="1">
      <formula>ISERROR(M62)</formula>
    </cfRule>
  </conditionalFormatting>
  <conditionalFormatting sqref="P70">
    <cfRule type="expression" dxfId="222" priority="184" stopIfTrue="1">
      <formula>ISERROR(P70)</formula>
    </cfRule>
  </conditionalFormatting>
  <conditionalFormatting sqref="B70:G70 Q70:R70">
    <cfRule type="expression" dxfId="221" priority="205" stopIfTrue="1">
      <formula>ISERROR(B70)</formula>
    </cfRule>
  </conditionalFormatting>
  <conditionalFormatting sqref="Q70:R70 D70:G70">
    <cfRule type="expression" dxfId="220" priority="204" stopIfTrue="1">
      <formula>ISERROR(D70)</formula>
    </cfRule>
  </conditionalFormatting>
  <conditionalFormatting sqref="C70">
    <cfRule type="expression" dxfId="219" priority="203" stopIfTrue="1">
      <formula>ISERROR(C70)</formula>
    </cfRule>
  </conditionalFormatting>
  <conditionalFormatting sqref="E70">
    <cfRule type="expression" dxfId="218" priority="202" stopIfTrue="1">
      <formula>ISERROR(E70)</formula>
    </cfRule>
  </conditionalFormatting>
  <conditionalFormatting sqref="F70">
    <cfRule type="expression" dxfId="217" priority="201" stopIfTrue="1">
      <formula>ISERROR(F70)</formula>
    </cfRule>
  </conditionalFormatting>
  <conditionalFormatting sqref="H70">
    <cfRule type="expression" dxfId="216" priority="200" stopIfTrue="1">
      <formula>ISERROR(H70)</formula>
    </cfRule>
  </conditionalFormatting>
  <conditionalFormatting sqref="H70">
    <cfRule type="expression" dxfId="215" priority="199" stopIfTrue="1">
      <formula>ISERROR(H70)</formula>
    </cfRule>
  </conditionalFormatting>
  <conditionalFormatting sqref="I70">
    <cfRule type="expression" dxfId="214" priority="198" stopIfTrue="1">
      <formula>ISERROR(I70)</formula>
    </cfRule>
  </conditionalFormatting>
  <conditionalFormatting sqref="I70">
    <cfRule type="expression" dxfId="213" priority="197" stopIfTrue="1">
      <formula>ISERROR(I70)</formula>
    </cfRule>
  </conditionalFormatting>
  <conditionalFormatting sqref="K70">
    <cfRule type="expression" dxfId="212" priority="196" stopIfTrue="1">
      <formula>ISERROR(K70)</formula>
    </cfRule>
  </conditionalFormatting>
  <conditionalFormatting sqref="K70">
    <cfRule type="expression" dxfId="211" priority="195" stopIfTrue="1">
      <formula>ISERROR(K70)</formula>
    </cfRule>
  </conditionalFormatting>
  <conditionalFormatting sqref="L70">
    <cfRule type="expression" dxfId="210" priority="194" stopIfTrue="1">
      <formula>ISERROR(L70)</formula>
    </cfRule>
  </conditionalFormatting>
  <conditionalFormatting sqref="L70">
    <cfRule type="expression" dxfId="209" priority="193" stopIfTrue="1">
      <formula>ISERROR(L70)</formula>
    </cfRule>
  </conditionalFormatting>
  <conditionalFormatting sqref="N70">
    <cfRule type="expression" dxfId="208" priority="192" stopIfTrue="1">
      <formula>ISERROR(N70)</formula>
    </cfRule>
  </conditionalFormatting>
  <conditionalFormatting sqref="N70">
    <cfRule type="expression" dxfId="207" priority="191" stopIfTrue="1">
      <formula>ISERROR(N70)</formula>
    </cfRule>
  </conditionalFormatting>
  <conditionalFormatting sqref="O70">
    <cfRule type="expression" dxfId="206" priority="189" stopIfTrue="1">
      <formula>ISERROR(O70)</formula>
    </cfRule>
  </conditionalFormatting>
  <conditionalFormatting sqref="Q70">
    <cfRule type="expression" dxfId="205" priority="188" stopIfTrue="1">
      <formula>ISERROR(Q70)</formula>
    </cfRule>
  </conditionalFormatting>
  <conditionalFormatting sqref="R70">
    <cfRule type="expression" dxfId="204" priority="187" stopIfTrue="1">
      <formula>ISERROR(R70)</formula>
    </cfRule>
  </conditionalFormatting>
  <conditionalFormatting sqref="J70">
    <cfRule type="expression" dxfId="203" priority="186" stopIfTrue="1">
      <formula>ISERROR(J70)</formula>
    </cfRule>
  </conditionalFormatting>
  <conditionalFormatting sqref="M70">
    <cfRule type="expression" dxfId="202" priority="185" stopIfTrue="1">
      <formula>ISERROR(M70)</formula>
    </cfRule>
  </conditionalFormatting>
  <conditionalFormatting sqref="O75">
    <cfRule type="expression" dxfId="201" priority="168" stopIfTrue="1">
      <formula>ISERROR(O75)</formula>
    </cfRule>
  </conditionalFormatting>
  <conditionalFormatting sqref="E74">
    <cfRule type="expression" dxfId="200" priority="157" stopIfTrue="1">
      <formula>ISERROR(E74)</formula>
    </cfRule>
  </conditionalFormatting>
  <conditionalFormatting sqref="K75">
    <cfRule type="expression" dxfId="199" priority="174" stopIfTrue="1">
      <formula>ISERROR(K75)</formula>
    </cfRule>
  </conditionalFormatting>
  <conditionalFormatting sqref="K75">
    <cfRule type="expression" dxfId="198" priority="173" stopIfTrue="1">
      <formula>ISERROR(K75)</formula>
    </cfRule>
  </conditionalFormatting>
  <conditionalFormatting sqref="B75:F75 Q75:R75">
    <cfRule type="expression" dxfId="197" priority="183" stopIfTrue="1">
      <formula>ISERROR(B75)</formula>
    </cfRule>
  </conditionalFormatting>
  <conditionalFormatting sqref="Q75:R75 D75:F75">
    <cfRule type="expression" dxfId="196" priority="182" stopIfTrue="1">
      <formula>ISERROR(D75)</formula>
    </cfRule>
  </conditionalFormatting>
  <conditionalFormatting sqref="C75">
    <cfRule type="expression" dxfId="195" priority="181" stopIfTrue="1">
      <formula>ISERROR(C75)</formula>
    </cfRule>
  </conditionalFormatting>
  <conditionalFormatting sqref="E75">
    <cfRule type="expression" dxfId="194" priority="180" stopIfTrue="1">
      <formula>ISERROR(E75)</formula>
    </cfRule>
  </conditionalFormatting>
  <conditionalFormatting sqref="F75">
    <cfRule type="expression" dxfId="193" priority="179" stopIfTrue="1">
      <formula>ISERROR(F75)</formula>
    </cfRule>
  </conditionalFormatting>
  <conditionalFormatting sqref="H75">
    <cfRule type="expression" dxfId="192" priority="178" stopIfTrue="1">
      <formula>ISERROR(H75)</formula>
    </cfRule>
  </conditionalFormatting>
  <conditionalFormatting sqref="H75">
    <cfRule type="expression" dxfId="191" priority="177" stopIfTrue="1">
      <formula>ISERROR(H75)</formula>
    </cfRule>
  </conditionalFormatting>
  <conditionalFormatting sqref="I75">
    <cfRule type="expression" dxfId="190" priority="176" stopIfTrue="1">
      <formula>ISERROR(I75)</formula>
    </cfRule>
  </conditionalFormatting>
  <conditionalFormatting sqref="I75">
    <cfRule type="expression" dxfId="189" priority="175" stopIfTrue="1">
      <formula>ISERROR(I75)</formula>
    </cfRule>
  </conditionalFormatting>
  <conditionalFormatting sqref="L75">
    <cfRule type="expression" dxfId="188" priority="172" stopIfTrue="1">
      <formula>ISERROR(L75)</formula>
    </cfRule>
  </conditionalFormatting>
  <conditionalFormatting sqref="L75">
    <cfRule type="expression" dxfId="187" priority="171" stopIfTrue="1">
      <formula>ISERROR(L75)</formula>
    </cfRule>
  </conditionalFormatting>
  <conditionalFormatting sqref="N75">
    <cfRule type="expression" dxfId="186" priority="170" stopIfTrue="1">
      <formula>ISERROR(N75)</formula>
    </cfRule>
  </conditionalFormatting>
  <conditionalFormatting sqref="N75">
    <cfRule type="expression" dxfId="185" priority="169" stopIfTrue="1">
      <formula>ISERROR(N75)</formula>
    </cfRule>
  </conditionalFormatting>
  <conditionalFormatting sqref="O75">
    <cfRule type="expression" dxfId="184" priority="167" stopIfTrue="1">
      <formula>ISERROR(O75)</formula>
    </cfRule>
  </conditionalFormatting>
  <conditionalFormatting sqref="Q75">
    <cfRule type="expression" dxfId="183" priority="166" stopIfTrue="1">
      <formula>ISERROR(Q75)</formula>
    </cfRule>
  </conditionalFormatting>
  <conditionalFormatting sqref="R75">
    <cfRule type="expression" dxfId="182" priority="165" stopIfTrue="1">
      <formula>ISERROR(R75)</formula>
    </cfRule>
  </conditionalFormatting>
  <conditionalFormatting sqref="R79">
    <cfRule type="expression" dxfId="181" priority="132" stopIfTrue="1">
      <formula>ISERROR(R79)</formula>
    </cfRule>
  </conditionalFormatting>
  <conditionalFormatting sqref="G75">
    <cfRule type="expression" dxfId="180" priority="164" stopIfTrue="1">
      <formula>ISERROR(G75)</formula>
    </cfRule>
  </conditionalFormatting>
  <conditionalFormatting sqref="J75">
    <cfRule type="expression" dxfId="179" priority="163" stopIfTrue="1">
      <formula>ISERROR(J75)</formula>
    </cfRule>
  </conditionalFormatting>
  <conditionalFormatting sqref="M75">
    <cfRule type="expression" dxfId="178" priority="162" stopIfTrue="1">
      <formula>ISERROR(M75)</formula>
    </cfRule>
  </conditionalFormatting>
  <conditionalFormatting sqref="P75">
    <cfRule type="expression" dxfId="177" priority="161" stopIfTrue="1">
      <formula>ISERROR(P75)</formula>
    </cfRule>
  </conditionalFormatting>
  <conditionalFormatting sqref="S75">
    <cfRule type="expression" dxfId="176" priority="160" stopIfTrue="1">
      <formula>ISERROR(S75)</formula>
    </cfRule>
  </conditionalFormatting>
  <conditionalFormatting sqref="S75">
    <cfRule type="expression" dxfId="175" priority="159" stopIfTrue="1">
      <formula>ISERROR(S75)</formula>
    </cfRule>
  </conditionalFormatting>
  <conditionalFormatting sqref="S75">
    <cfRule type="expression" dxfId="174" priority="158" stopIfTrue="1">
      <formula>ISERROR(S75)</formula>
    </cfRule>
  </conditionalFormatting>
  <conditionalFormatting sqref="H74">
    <cfRule type="expression" dxfId="173" priority="153" stopIfTrue="1">
      <formula>ISERROR(H74)</formula>
    </cfRule>
  </conditionalFormatting>
  <conditionalFormatting sqref="C74">
    <cfRule type="expression" dxfId="172" priority="156" stopIfTrue="1">
      <formula>ISERROR(C74)</formula>
    </cfRule>
  </conditionalFormatting>
  <conditionalFormatting sqref="Q74">
    <cfRule type="expression" dxfId="171" priority="155" stopIfTrue="1">
      <formula>ISERROR(Q74)</formula>
    </cfRule>
  </conditionalFormatting>
  <conditionalFormatting sqref="R74">
    <cfRule type="expression" dxfId="170" priority="154" stopIfTrue="1">
      <formula>ISERROR(R74)</formula>
    </cfRule>
  </conditionalFormatting>
  <conditionalFormatting sqref="K74">
    <cfRule type="expression" dxfId="169" priority="152" stopIfTrue="1">
      <formula>ISERROR(K74)</formula>
    </cfRule>
  </conditionalFormatting>
  <conditionalFormatting sqref="N74">
    <cfRule type="expression" dxfId="168" priority="151" stopIfTrue="1">
      <formula>ISERROR(N74)</formula>
    </cfRule>
  </conditionalFormatting>
  <conditionalFormatting sqref="O79">
    <cfRule type="expression" dxfId="167" priority="135" stopIfTrue="1">
      <formula>ISERROR(O79)</formula>
    </cfRule>
  </conditionalFormatting>
  <conditionalFormatting sqref="P79">
    <cfRule type="expression" dxfId="166" priority="129" stopIfTrue="1">
      <formula>ISERROR(P79)</formula>
    </cfRule>
  </conditionalFormatting>
  <conditionalFormatting sqref="B79:G79 Q79:R79">
    <cfRule type="expression" dxfId="165" priority="150" stopIfTrue="1">
      <formula>ISERROR(B79)</formula>
    </cfRule>
  </conditionalFormatting>
  <conditionalFormatting sqref="Q79:R79 D79:G79">
    <cfRule type="expression" dxfId="164" priority="149" stopIfTrue="1">
      <formula>ISERROR(D79)</formula>
    </cfRule>
  </conditionalFormatting>
  <conditionalFormatting sqref="C79">
    <cfRule type="expression" dxfId="163" priority="148" stopIfTrue="1">
      <formula>ISERROR(C79)</formula>
    </cfRule>
  </conditionalFormatting>
  <conditionalFormatting sqref="E79">
    <cfRule type="expression" dxfId="162" priority="147" stopIfTrue="1">
      <formula>ISERROR(E79)</formula>
    </cfRule>
  </conditionalFormatting>
  <conditionalFormatting sqref="F79">
    <cfRule type="expression" dxfId="161" priority="146" stopIfTrue="1">
      <formula>ISERROR(F79)</formula>
    </cfRule>
  </conditionalFormatting>
  <conditionalFormatting sqref="H79">
    <cfRule type="expression" dxfId="160" priority="145" stopIfTrue="1">
      <formula>ISERROR(H79)</formula>
    </cfRule>
  </conditionalFormatting>
  <conditionalFormatting sqref="H79">
    <cfRule type="expression" dxfId="159" priority="144" stopIfTrue="1">
      <formula>ISERROR(H79)</formula>
    </cfRule>
  </conditionalFormatting>
  <conditionalFormatting sqref="I79">
    <cfRule type="expression" dxfId="158" priority="143" stopIfTrue="1">
      <formula>ISERROR(I79)</formula>
    </cfRule>
  </conditionalFormatting>
  <conditionalFormatting sqref="I79">
    <cfRule type="expression" dxfId="157" priority="142" stopIfTrue="1">
      <formula>ISERROR(I79)</formula>
    </cfRule>
  </conditionalFormatting>
  <conditionalFormatting sqref="K79">
    <cfRule type="expression" dxfId="156" priority="141" stopIfTrue="1">
      <formula>ISERROR(K79)</formula>
    </cfRule>
  </conditionalFormatting>
  <conditionalFormatting sqref="K79">
    <cfRule type="expression" dxfId="155" priority="140" stopIfTrue="1">
      <formula>ISERROR(K79)</formula>
    </cfRule>
  </conditionalFormatting>
  <conditionalFormatting sqref="L79">
    <cfRule type="expression" dxfId="154" priority="139" stopIfTrue="1">
      <formula>ISERROR(L79)</formula>
    </cfRule>
  </conditionalFormatting>
  <conditionalFormatting sqref="L79">
    <cfRule type="expression" dxfId="153" priority="138" stopIfTrue="1">
      <formula>ISERROR(L79)</formula>
    </cfRule>
  </conditionalFormatting>
  <conditionalFormatting sqref="N79">
    <cfRule type="expression" dxfId="152" priority="137" stopIfTrue="1">
      <formula>ISERROR(N79)</formula>
    </cfRule>
  </conditionalFormatting>
  <conditionalFormatting sqref="N79">
    <cfRule type="expression" dxfId="151" priority="136" stopIfTrue="1">
      <formula>ISERROR(N79)</formula>
    </cfRule>
  </conditionalFormatting>
  <conditionalFormatting sqref="O79">
    <cfRule type="expression" dxfId="150" priority="134" stopIfTrue="1">
      <formula>ISERROR(O79)</formula>
    </cfRule>
  </conditionalFormatting>
  <conditionalFormatting sqref="Q79">
    <cfRule type="expression" dxfId="149" priority="133" stopIfTrue="1">
      <formula>ISERROR(Q79)</formula>
    </cfRule>
  </conditionalFormatting>
  <conditionalFormatting sqref="J79">
    <cfRule type="expression" dxfId="148" priority="131" stopIfTrue="1">
      <formula>ISERROR(J79)</formula>
    </cfRule>
  </conditionalFormatting>
  <conditionalFormatting sqref="M79">
    <cfRule type="expression" dxfId="147" priority="130" stopIfTrue="1">
      <formula>ISERROR(M79)</formula>
    </cfRule>
  </conditionalFormatting>
  <conditionalFormatting sqref="S70">
    <cfRule type="expression" dxfId="146" priority="128" stopIfTrue="1">
      <formula>ISERROR(S70)</formula>
    </cfRule>
  </conditionalFormatting>
  <conditionalFormatting sqref="S70">
    <cfRule type="expression" dxfId="145" priority="127" stopIfTrue="1">
      <formula>ISERROR(S70)</formula>
    </cfRule>
  </conditionalFormatting>
  <conditionalFormatting sqref="S70">
    <cfRule type="expression" dxfId="144" priority="126" stopIfTrue="1">
      <formula>ISERROR(S70)</formula>
    </cfRule>
  </conditionalFormatting>
  <conditionalFormatting sqref="S79">
    <cfRule type="expression" dxfId="143" priority="123" stopIfTrue="1">
      <formula>ISERROR(S79)</formula>
    </cfRule>
  </conditionalFormatting>
  <conditionalFormatting sqref="S79">
    <cfRule type="expression" dxfId="142" priority="125" stopIfTrue="1">
      <formula>ISERROR(S79)</formula>
    </cfRule>
  </conditionalFormatting>
  <conditionalFormatting sqref="S79">
    <cfRule type="expression" dxfId="141" priority="124" stopIfTrue="1">
      <formula>ISERROR(S79)</formula>
    </cfRule>
  </conditionalFormatting>
  <conditionalFormatting sqref="S74">
    <cfRule type="expression" dxfId="140" priority="122" stopIfTrue="1">
      <formula>ISERROR(S74)</formula>
    </cfRule>
  </conditionalFormatting>
  <conditionalFormatting sqref="A1:T79">
    <cfRule type="expression" dxfId="139" priority="121">
      <formula>IF(A1="none",TRUE,FALSE)</formula>
    </cfRule>
  </conditionalFormatting>
  <conditionalFormatting sqref="S7:S24">
    <cfRule type="expression" dxfId="138" priority="120" stopIfTrue="1">
      <formula>ISERROR(S7)</formula>
    </cfRule>
  </conditionalFormatting>
  <conditionalFormatting sqref="S25">
    <cfRule type="expression" dxfId="137" priority="116" stopIfTrue="1">
      <formula>ISERROR(S25)</formula>
    </cfRule>
  </conditionalFormatting>
  <conditionalFormatting sqref="S7">
    <cfRule type="expression" dxfId="136" priority="119" stopIfTrue="1">
      <formula>ISERROR(S7)</formula>
    </cfRule>
  </conditionalFormatting>
  <conditionalFormatting sqref="S38">
    <cfRule type="expression" dxfId="135" priority="115" stopIfTrue="1">
      <formula>ISERROR(S38)</formula>
    </cfRule>
  </conditionalFormatting>
  <conditionalFormatting sqref="S38">
    <cfRule type="expression" dxfId="134" priority="114" stopIfTrue="1">
      <formula>ISERROR(S38)</formula>
    </cfRule>
  </conditionalFormatting>
  <conditionalFormatting sqref="S25">
    <cfRule type="expression" dxfId="133" priority="117" stopIfTrue="1">
      <formula>ISERROR(S25)</formula>
    </cfRule>
  </conditionalFormatting>
  <conditionalFormatting sqref="S25">
    <cfRule type="expression" dxfId="132" priority="118" stopIfTrue="1">
      <formula>ISERROR(S25)</formula>
    </cfRule>
  </conditionalFormatting>
  <conditionalFormatting sqref="S38">
    <cfRule type="expression" dxfId="131" priority="113" stopIfTrue="1">
      <formula>ISERROR(S38)</formula>
    </cfRule>
  </conditionalFormatting>
  <conditionalFormatting sqref="S49">
    <cfRule type="expression" dxfId="130" priority="112" stopIfTrue="1">
      <formula>ISERROR(S49)</formula>
    </cfRule>
  </conditionalFormatting>
  <conditionalFormatting sqref="S49">
    <cfRule type="expression" dxfId="129" priority="111" stopIfTrue="1">
      <formula>ISERROR(S49)</formula>
    </cfRule>
  </conditionalFormatting>
  <conditionalFormatting sqref="S49">
    <cfRule type="expression" dxfId="128" priority="110" stopIfTrue="1">
      <formula>ISERROR(S49)</formula>
    </cfRule>
  </conditionalFormatting>
  <conditionalFormatting sqref="S62">
    <cfRule type="expression" dxfId="127" priority="109" stopIfTrue="1">
      <formula>ISERROR(S62)</formula>
    </cfRule>
  </conditionalFormatting>
  <conditionalFormatting sqref="S62">
    <cfRule type="expression" dxfId="126" priority="108" stopIfTrue="1">
      <formula>ISERROR(S62)</formula>
    </cfRule>
  </conditionalFormatting>
  <conditionalFormatting sqref="S62">
    <cfRule type="expression" dxfId="125" priority="107" stopIfTrue="1">
      <formula>ISERROR(S62)</formula>
    </cfRule>
  </conditionalFormatting>
  <conditionalFormatting sqref="S70">
    <cfRule type="expression" dxfId="124" priority="106" stopIfTrue="1">
      <formula>ISERROR(S70)</formula>
    </cfRule>
  </conditionalFormatting>
  <conditionalFormatting sqref="S70">
    <cfRule type="expression" dxfId="123" priority="105" stopIfTrue="1">
      <formula>ISERROR(S70)</formula>
    </cfRule>
  </conditionalFormatting>
  <conditionalFormatting sqref="S70">
    <cfRule type="expression" dxfId="122" priority="104" stopIfTrue="1">
      <formula>ISERROR(S70)</formula>
    </cfRule>
  </conditionalFormatting>
  <conditionalFormatting sqref="S26:S37">
    <cfRule type="expression" dxfId="121" priority="103" stopIfTrue="1">
      <formula>ISERROR(S26)</formula>
    </cfRule>
  </conditionalFormatting>
  <conditionalFormatting sqref="S39:S48">
    <cfRule type="expression" dxfId="120" priority="102" stopIfTrue="1">
      <formula>ISERROR(S39)</formula>
    </cfRule>
  </conditionalFormatting>
  <conditionalFormatting sqref="S39:S48">
    <cfRule type="expression" dxfId="119" priority="101" stopIfTrue="1">
      <formula>ISERROR(S39)</formula>
    </cfRule>
  </conditionalFormatting>
  <conditionalFormatting sqref="S50:S61">
    <cfRule type="expression" dxfId="118" priority="100" stopIfTrue="1">
      <formula>ISERROR(S50)</formula>
    </cfRule>
  </conditionalFormatting>
  <conditionalFormatting sqref="S50:S61">
    <cfRule type="expression" dxfId="117" priority="99" stopIfTrue="1">
      <formula>ISERROR(S50)</formula>
    </cfRule>
  </conditionalFormatting>
  <conditionalFormatting sqref="S63:S69">
    <cfRule type="expression" dxfId="116" priority="98" stopIfTrue="1">
      <formula>ISERROR(S63)</formula>
    </cfRule>
  </conditionalFormatting>
  <conditionalFormatting sqref="S70">
    <cfRule type="expression" dxfId="115" priority="95" stopIfTrue="1">
      <formula>ISERROR(S70)</formula>
    </cfRule>
  </conditionalFormatting>
  <conditionalFormatting sqref="S70">
    <cfRule type="expression" dxfId="114" priority="96" stopIfTrue="1">
      <formula>ISERROR(S70)</formula>
    </cfRule>
  </conditionalFormatting>
  <conditionalFormatting sqref="S70">
    <cfRule type="expression" dxfId="113" priority="94" stopIfTrue="1">
      <formula>ISERROR(S70)</formula>
    </cfRule>
  </conditionalFormatting>
  <conditionalFormatting sqref="S70">
    <cfRule type="expression" dxfId="112" priority="93" stopIfTrue="1">
      <formula>ISERROR(S70)</formula>
    </cfRule>
  </conditionalFormatting>
  <conditionalFormatting sqref="S70">
    <cfRule type="expression" dxfId="111" priority="92" stopIfTrue="1">
      <formula>ISERROR(S70)</formula>
    </cfRule>
  </conditionalFormatting>
  <conditionalFormatting sqref="J7:J24">
    <cfRule type="expression" dxfId="110" priority="91" stopIfTrue="1">
      <formula>ISERROR(J7)</formula>
    </cfRule>
  </conditionalFormatting>
  <conditionalFormatting sqref="J38">
    <cfRule type="expression" dxfId="109" priority="88" stopIfTrue="1">
      <formula>ISERROR(J38)</formula>
    </cfRule>
  </conditionalFormatting>
  <conditionalFormatting sqref="J38">
    <cfRule type="expression" dxfId="108" priority="87" stopIfTrue="1">
      <formula>ISERROR(J38)</formula>
    </cfRule>
  </conditionalFormatting>
  <conditionalFormatting sqref="J25">
    <cfRule type="expression" dxfId="107" priority="89" stopIfTrue="1">
      <formula>ISERROR(J25)</formula>
    </cfRule>
  </conditionalFormatting>
  <conditionalFormatting sqref="J25">
    <cfRule type="expression" dxfId="106" priority="90" stopIfTrue="1">
      <formula>ISERROR(J25)</formula>
    </cfRule>
  </conditionalFormatting>
  <conditionalFormatting sqref="J49">
    <cfRule type="expression" dxfId="105" priority="86" stopIfTrue="1">
      <formula>ISERROR(J49)</formula>
    </cfRule>
  </conditionalFormatting>
  <conditionalFormatting sqref="J49">
    <cfRule type="expression" dxfId="104" priority="85" stopIfTrue="1">
      <formula>ISERROR(J49)</formula>
    </cfRule>
  </conditionalFormatting>
  <conditionalFormatting sqref="J62">
    <cfRule type="expression" dxfId="103" priority="84" stopIfTrue="1">
      <formula>ISERROR(J62)</formula>
    </cfRule>
  </conditionalFormatting>
  <conditionalFormatting sqref="J62">
    <cfRule type="expression" dxfId="102" priority="83" stopIfTrue="1">
      <formula>ISERROR(J62)</formula>
    </cfRule>
  </conditionalFormatting>
  <conditionalFormatting sqref="J70">
    <cfRule type="expression" dxfId="101" priority="82" stopIfTrue="1">
      <formula>ISERROR(J70)</formula>
    </cfRule>
  </conditionalFormatting>
  <conditionalFormatting sqref="J70">
    <cfRule type="expression" dxfId="100" priority="81" stopIfTrue="1">
      <formula>ISERROR(J70)</formula>
    </cfRule>
  </conditionalFormatting>
  <conditionalFormatting sqref="M7:M24">
    <cfRule type="expression" dxfId="99" priority="80" stopIfTrue="1">
      <formula>ISERROR(M7)</formula>
    </cfRule>
  </conditionalFormatting>
  <conditionalFormatting sqref="M38">
    <cfRule type="expression" dxfId="98" priority="77" stopIfTrue="1">
      <formula>ISERROR(M38)</formula>
    </cfRule>
  </conditionalFormatting>
  <conditionalFormatting sqref="M38">
    <cfRule type="expression" dxfId="97" priority="76" stopIfTrue="1">
      <formula>ISERROR(M38)</formula>
    </cfRule>
  </conditionalFormatting>
  <conditionalFormatting sqref="M25">
    <cfRule type="expression" dxfId="96" priority="78" stopIfTrue="1">
      <formula>ISERROR(M25)</formula>
    </cfRule>
  </conditionalFormatting>
  <conditionalFormatting sqref="M25">
    <cfRule type="expression" dxfId="95" priority="79" stopIfTrue="1">
      <formula>ISERROR(M25)</formula>
    </cfRule>
  </conditionalFormatting>
  <conditionalFormatting sqref="M49">
    <cfRule type="expression" dxfId="94" priority="75" stopIfTrue="1">
      <formula>ISERROR(M49)</formula>
    </cfRule>
  </conditionalFormatting>
  <conditionalFormatting sqref="M49">
    <cfRule type="expression" dxfId="93" priority="74" stopIfTrue="1">
      <formula>ISERROR(M49)</formula>
    </cfRule>
  </conditionalFormatting>
  <conditionalFormatting sqref="M62">
    <cfRule type="expression" dxfId="92" priority="73" stopIfTrue="1">
      <formula>ISERROR(M62)</formula>
    </cfRule>
  </conditionalFormatting>
  <conditionalFormatting sqref="M62">
    <cfRule type="expression" dxfId="91" priority="72" stopIfTrue="1">
      <formula>ISERROR(M62)</formula>
    </cfRule>
  </conditionalFormatting>
  <conditionalFormatting sqref="M70">
    <cfRule type="expression" dxfId="90" priority="71" stopIfTrue="1">
      <formula>ISERROR(M70)</formula>
    </cfRule>
  </conditionalFormatting>
  <conditionalFormatting sqref="M70">
    <cfRule type="expression" dxfId="89" priority="70" stopIfTrue="1">
      <formula>ISERROR(M70)</formula>
    </cfRule>
  </conditionalFormatting>
  <conditionalFormatting sqref="P7:P24">
    <cfRule type="expression" dxfId="88" priority="69" stopIfTrue="1">
      <formula>ISERROR(P7)</formula>
    </cfRule>
  </conditionalFormatting>
  <conditionalFormatting sqref="P38">
    <cfRule type="expression" dxfId="87" priority="66" stopIfTrue="1">
      <formula>ISERROR(P38)</formula>
    </cfRule>
  </conditionalFormatting>
  <conditionalFormatting sqref="P38">
    <cfRule type="expression" dxfId="86" priority="65" stopIfTrue="1">
      <formula>ISERROR(P38)</formula>
    </cfRule>
  </conditionalFormatting>
  <conditionalFormatting sqref="P25">
    <cfRule type="expression" dxfId="85" priority="67" stopIfTrue="1">
      <formula>ISERROR(P25)</formula>
    </cfRule>
  </conditionalFormatting>
  <conditionalFormatting sqref="P25">
    <cfRule type="expression" dxfId="84" priority="68" stopIfTrue="1">
      <formula>ISERROR(P25)</formula>
    </cfRule>
  </conditionalFormatting>
  <conditionalFormatting sqref="P49">
    <cfRule type="expression" dxfId="83" priority="64" stopIfTrue="1">
      <formula>ISERROR(P49)</formula>
    </cfRule>
  </conditionalFormatting>
  <conditionalFormatting sqref="P49">
    <cfRule type="expression" dxfId="82" priority="63" stopIfTrue="1">
      <formula>ISERROR(P49)</formula>
    </cfRule>
  </conditionalFormatting>
  <conditionalFormatting sqref="P62">
    <cfRule type="expression" dxfId="81" priority="62" stopIfTrue="1">
      <formula>ISERROR(P62)</formula>
    </cfRule>
  </conditionalFormatting>
  <conditionalFormatting sqref="P62">
    <cfRule type="expression" dxfId="80" priority="61" stopIfTrue="1">
      <formula>ISERROR(P62)</formula>
    </cfRule>
  </conditionalFormatting>
  <conditionalFormatting sqref="P70">
    <cfRule type="expression" dxfId="79" priority="60" stopIfTrue="1">
      <formula>ISERROR(P70)</formula>
    </cfRule>
  </conditionalFormatting>
  <conditionalFormatting sqref="P70">
    <cfRule type="expression" dxfId="78" priority="59" stopIfTrue="1">
      <formula>ISERROR(P70)</formula>
    </cfRule>
  </conditionalFormatting>
  <conditionalFormatting sqref="J75">
    <cfRule type="expression" dxfId="77" priority="58" stopIfTrue="1">
      <formula>ISERROR(J75)</formula>
    </cfRule>
  </conditionalFormatting>
  <conditionalFormatting sqref="J79">
    <cfRule type="expression" dxfId="76" priority="57" stopIfTrue="1">
      <formula>ISERROR(J79)</formula>
    </cfRule>
  </conditionalFormatting>
  <conditionalFormatting sqref="J79">
    <cfRule type="expression" dxfId="75" priority="56" stopIfTrue="1">
      <formula>ISERROR(J79)</formula>
    </cfRule>
  </conditionalFormatting>
  <conditionalFormatting sqref="M75">
    <cfRule type="expression" dxfId="74" priority="55" stopIfTrue="1">
      <formula>ISERROR(M75)</formula>
    </cfRule>
  </conditionalFormatting>
  <conditionalFormatting sqref="M79">
    <cfRule type="expression" dxfId="73" priority="54" stopIfTrue="1">
      <formula>ISERROR(M79)</formula>
    </cfRule>
  </conditionalFormatting>
  <conditionalFormatting sqref="M79">
    <cfRule type="expression" dxfId="72" priority="53" stopIfTrue="1">
      <formula>ISERROR(M79)</formula>
    </cfRule>
  </conditionalFormatting>
  <conditionalFormatting sqref="P75">
    <cfRule type="expression" dxfId="71" priority="52" stopIfTrue="1">
      <formula>ISERROR(P75)</formula>
    </cfRule>
  </conditionalFormatting>
  <conditionalFormatting sqref="P79">
    <cfRule type="expression" dxfId="70" priority="51" stopIfTrue="1">
      <formula>ISERROR(P79)</formula>
    </cfRule>
  </conditionalFormatting>
  <conditionalFormatting sqref="P79">
    <cfRule type="expression" dxfId="69" priority="50" stopIfTrue="1">
      <formula>ISERROR(P79)</formula>
    </cfRule>
  </conditionalFormatting>
  <conditionalFormatting sqref="R75">
    <cfRule type="expression" dxfId="68" priority="31" stopIfTrue="1">
      <formula>ISERROR(R75)</formula>
    </cfRule>
  </conditionalFormatting>
  <conditionalFormatting sqref="O75">
    <cfRule type="expression" dxfId="67" priority="34" stopIfTrue="1">
      <formula>ISERROR(O75)</formula>
    </cfRule>
  </conditionalFormatting>
  <conditionalFormatting sqref="P75">
    <cfRule type="expression" dxfId="66" priority="28" stopIfTrue="1">
      <formula>ISERROR(P75)</formula>
    </cfRule>
  </conditionalFormatting>
  <conditionalFormatting sqref="B75:G75 Q75:R75">
    <cfRule type="expression" dxfId="65" priority="49" stopIfTrue="1">
      <formula>ISERROR(B75)</formula>
    </cfRule>
  </conditionalFormatting>
  <conditionalFormatting sqref="Q75:R75 D75:G75">
    <cfRule type="expression" dxfId="64" priority="48" stopIfTrue="1">
      <formula>ISERROR(D75)</formula>
    </cfRule>
  </conditionalFormatting>
  <conditionalFormatting sqref="C75">
    <cfRule type="expression" dxfId="63" priority="47" stopIfTrue="1">
      <formula>ISERROR(C75)</formula>
    </cfRule>
  </conditionalFormatting>
  <conditionalFormatting sqref="E75">
    <cfRule type="expression" dxfId="62" priority="46" stopIfTrue="1">
      <formula>ISERROR(E75)</formula>
    </cfRule>
  </conditionalFormatting>
  <conditionalFormatting sqref="F75">
    <cfRule type="expression" dxfId="61" priority="45" stopIfTrue="1">
      <formula>ISERROR(F75)</formula>
    </cfRule>
  </conditionalFormatting>
  <conditionalFormatting sqref="H75">
    <cfRule type="expression" dxfId="60" priority="44" stopIfTrue="1">
      <formula>ISERROR(H75)</formula>
    </cfRule>
  </conditionalFormatting>
  <conditionalFormatting sqref="H75">
    <cfRule type="expression" dxfId="59" priority="43" stopIfTrue="1">
      <formula>ISERROR(H75)</formula>
    </cfRule>
  </conditionalFormatting>
  <conditionalFormatting sqref="I75">
    <cfRule type="expression" dxfId="58" priority="42" stopIfTrue="1">
      <formula>ISERROR(I75)</formula>
    </cfRule>
  </conditionalFormatting>
  <conditionalFormatting sqref="I75">
    <cfRule type="expression" dxfId="57" priority="41" stopIfTrue="1">
      <formula>ISERROR(I75)</formula>
    </cfRule>
  </conditionalFormatting>
  <conditionalFormatting sqref="K75">
    <cfRule type="expression" dxfId="56" priority="40" stopIfTrue="1">
      <formula>ISERROR(K75)</formula>
    </cfRule>
  </conditionalFormatting>
  <conditionalFormatting sqref="K75">
    <cfRule type="expression" dxfId="55" priority="39" stopIfTrue="1">
      <formula>ISERROR(K75)</formula>
    </cfRule>
  </conditionalFormatting>
  <conditionalFormatting sqref="L75">
    <cfRule type="expression" dxfId="54" priority="38" stopIfTrue="1">
      <formula>ISERROR(L75)</formula>
    </cfRule>
  </conditionalFormatting>
  <conditionalFormatting sqref="L75">
    <cfRule type="expression" dxfId="53" priority="37" stopIfTrue="1">
      <formula>ISERROR(L75)</formula>
    </cfRule>
  </conditionalFormatting>
  <conditionalFormatting sqref="N75">
    <cfRule type="expression" dxfId="52" priority="36" stopIfTrue="1">
      <formula>ISERROR(N75)</formula>
    </cfRule>
  </conditionalFormatting>
  <conditionalFormatting sqref="N75">
    <cfRule type="expression" dxfId="51" priority="35" stopIfTrue="1">
      <formula>ISERROR(N75)</formula>
    </cfRule>
  </conditionalFormatting>
  <conditionalFormatting sqref="O75">
    <cfRule type="expression" dxfId="50" priority="33" stopIfTrue="1">
      <formula>ISERROR(O75)</formula>
    </cfRule>
  </conditionalFormatting>
  <conditionalFormatting sqref="Q75">
    <cfRule type="expression" dxfId="49" priority="32" stopIfTrue="1">
      <formula>ISERROR(Q75)</formula>
    </cfRule>
  </conditionalFormatting>
  <conditionalFormatting sqref="J75">
    <cfRule type="expression" dxfId="48" priority="30" stopIfTrue="1">
      <formula>ISERROR(J75)</formula>
    </cfRule>
  </conditionalFormatting>
  <conditionalFormatting sqref="M75">
    <cfRule type="expression" dxfId="47" priority="29" stopIfTrue="1">
      <formula>ISERROR(M75)</formula>
    </cfRule>
  </conditionalFormatting>
  <conditionalFormatting sqref="S75">
    <cfRule type="expression" dxfId="46" priority="25" stopIfTrue="1">
      <formula>ISERROR(S75)</formula>
    </cfRule>
  </conditionalFormatting>
  <conditionalFormatting sqref="S75">
    <cfRule type="expression" dxfId="45" priority="27" stopIfTrue="1">
      <formula>ISERROR(S75)</formula>
    </cfRule>
  </conditionalFormatting>
  <conditionalFormatting sqref="S75">
    <cfRule type="expression" dxfId="44" priority="26" stopIfTrue="1">
      <formula>ISERROR(S75)</formula>
    </cfRule>
  </conditionalFormatting>
  <conditionalFormatting sqref="J75">
    <cfRule type="expression" dxfId="43" priority="24" stopIfTrue="1">
      <formula>ISERROR(J75)</formula>
    </cfRule>
  </conditionalFormatting>
  <conditionalFormatting sqref="J75">
    <cfRule type="expression" dxfId="42" priority="23" stopIfTrue="1">
      <formula>ISERROR(J75)</formula>
    </cfRule>
  </conditionalFormatting>
  <conditionalFormatting sqref="M75">
    <cfRule type="expression" dxfId="41" priority="22" stopIfTrue="1">
      <formula>ISERROR(M75)</formula>
    </cfRule>
  </conditionalFormatting>
  <conditionalFormatting sqref="M75">
    <cfRule type="expression" dxfId="40" priority="21" stopIfTrue="1">
      <formula>ISERROR(M75)</formula>
    </cfRule>
  </conditionalFormatting>
  <conditionalFormatting sqref="P75">
    <cfRule type="expression" dxfId="39" priority="20" stopIfTrue="1">
      <formula>ISERROR(P75)</formula>
    </cfRule>
  </conditionalFormatting>
  <conditionalFormatting sqref="P75">
    <cfRule type="expression" dxfId="38" priority="19" stopIfTrue="1">
      <formula>ISERROR(P75)</formula>
    </cfRule>
  </conditionalFormatting>
  <conditionalFormatting sqref="H7">
    <cfRule type="expression" dxfId="37" priority="18" stopIfTrue="1">
      <formula>ISERROR(H7)</formula>
    </cfRule>
  </conditionalFormatting>
  <conditionalFormatting sqref="H7">
    <cfRule type="expression" dxfId="36" priority="17" stopIfTrue="1">
      <formula>ISERROR(H7)</formula>
    </cfRule>
  </conditionalFormatting>
  <conditionalFormatting sqref="H7">
    <cfRule type="expression" dxfId="35" priority="16" stopIfTrue="1">
      <formula>ISERROR(H7)</formula>
    </cfRule>
  </conditionalFormatting>
  <conditionalFormatting sqref="I7">
    <cfRule type="expression" dxfId="34" priority="15" stopIfTrue="1">
      <formula>ISERROR(I7)</formula>
    </cfRule>
  </conditionalFormatting>
  <conditionalFormatting sqref="I7">
    <cfRule type="expression" dxfId="33" priority="14" stopIfTrue="1">
      <formula>ISERROR(I7)</formula>
    </cfRule>
  </conditionalFormatting>
  <conditionalFormatting sqref="I7">
    <cfRule type="expression" dxfId="32" priority="13" stopIfTrue="1">
      <formula>ISERROR(I7)</formula>
    </cfRule>
  </conditionalFormatting>
  <conditionalFormatting sqref="K7">
    <cfRule type="expression" dxfId="31" priority="12" stopIfTrue="1">
      <formula>ISERROR(K7)</formula>
    </cfRule>
  </conditionalFormatting>
  <conditionalFormatting sqref="K7">
    <cfRule type="expression" dxfId="30" priority="11" stopIfTrue="1">
      <formula>ISERROR(K7)</formula>
    </cfRule>
  </conditionalFormatting>
  <conditionalFormatting sqref="K7">
    <cfRule type="expression" dxfId="29" priority="10" stopIfTrue="1">
      <formula>ISERROR(K7)</formula>
    </cfRule>
  </conditionalFormatting>
  <conditionalFormatting sqref="L7">
    <cfRule type="expression" dxfId="28" priority="9" stopIfTrue="1">
      <formula>ISERROR(L7)</formula>
    </cfRule>
  </conditionalFormatting>
  <conditionalFormatting sqref="L7">
    <cfRule type="expression" dxfId="27" priority="8" stopIfTrue="1">
      <formula>ISERROR(L7)</formula>
    </cfRule>
  </conditionalFormatting>
  <conditionalFormatting sqref="L7">
    <cfRule type="expression" dxfId="26" priority="7" stopIfTrue="1">
      <formula>ISERROR(L7)</formula>
    </cfRule>
  </conditionalFormatting>
  <conditionalFormatting sqref="N7">
    <cfRule type="expression" dxfId="25" priority="6" stopIfTrue="1">
      <formula>ISERROR(N7)</formula>
    </cfRule>
  </conditionalFormatting>
  <conditionalFormatting sqref="N7">
    <cfRule type="expression" dxfId="24" priority="5" stopIfTrue="1">
      <formula>ISERROR(N7)</formula>
    </cfRule>
  </conditionalFormatting>
  <conditionalFormatting sqref="N7">
    <cfRule type="expression" dxfId="23" priority="4" stopIfTrue="1">
      <formula>ISERROR(N7)</formula>
    </cfRule>
  </conditionalFormatting>
  <conditionalFormatting sqref="O7">
    <cfRule type="expression" dxfId="22" priority="3" stopIfTrue="1">
      <formula>ISERROR(O7)</formula>
    </cfRule>
  </conditionalFormatting>
  <conditionalFormatting sqref="O7">
    <cfRule type="expression" dxfId="21" priority="2" stopIfTrue="1">
      <formula>ISERROR(O7)</formula>
    </cfRule>
  </conditionalFormatting>
  <conditionalFormatting sqref="O7">
    <cfRule type="expression" dxfId="20" priority="1" stopIfTrue="1">
      <formula>ISERROR(O7)</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0" max="16383" man="1"/>
  </rowBreaks>
  <ignoredErrors>
    <ignoredError sqref="G6:G25 J6:J25 M6:M25 P6:P25 C25:F25 H25:I25 K25:L25 N25:O25 Q25:R25 G26:G38 J26:J38 M26:M38 P26:P38 C38:F38 H38:I38 K38:L38 N38:O38 Q38:R38 G39:G49 J39:J49 M39:M49 P39:P49 C49:F49 H49:I49 K49:L49 N49:O49 Q49:R49 G50:G70 J50:J70 M50:M70 P50:P70 C62:F62 H62:I62 K62:L62 N62:O62 Q62:R62 G75:G79 J75:J79 M75:M79 P75:P79" formula="1"/>
  </ignoredError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FF0000"/>
    <pageSetUpPr fitToPage="1"/>
  </sheetPr>
  <dimension ref="A1:T128"/>
  <sheetViews>
    <sheetView zoomScale="70" zoomScaleNormal="70" zoomScaleSheetLayoutView="70" workbookViewId="0">
      <pane ySplit="4" topLeftCell="A5" activePane="bottomLeft" state="frozen"/>
      <selection sqref="A1:P1"/>
      <selection pane="bottomLeft"/>
    </sheetView>
  </sheetViews>
  <sheetFormatPr defaultColWidth="0" defaultRowHeight="12.75" zeroHeight="1" x14ac:dyDescent="0.2"/>
  <cols>
    <col min="1" max="1" width="2.85546875" style="28" customWidth="1"/>
    <col min="2" max="2" width="26.28515625" style="28" customWidth="1"/>
    <col min="3" max="19" width="12.85546875" style="28" customWidth="1"/>
    <col min="20" max="20" width="2.85546875" style="28" customWidth="1"/>
    <col min="21" max="16384" width="9.140625" style="28" hidden="1"/>
  </cols>
  <sheetData>
    <row r="1" spans="1:20" s="123" customFormat="1" ht="15" customHeight="1" x14ac:dyDescent="0.2">
      <c r="A1" s="25"/>
      <c r="B1" s="26"/>
      <c r="C1" s="79">
        <v>2</v>
      </c>
      <c r="D1" s="79">
        <v>3</v>
      </c>
      <c r="E1" s="80">
        <v>4</v>
      </c>
      <c r="F1" s="80">
        <v>5</v>
      </c>
      <c r="G1" s="80"/>
      <c r="H1" s="80">
        <v>6</v>
      </c>
      <c r="I1" s="80">
        <v>7</v>
      </c>
      <c r="J1" s="80"/>
      <c r="K1" s="80">
        <v>8</v>
      </c>
      <c r="L1" s="80">
        <v>9</v>
      </c>
      <c r="M1" s="80"/>
      <c r="N1" s="80">
        <v>10</v>
      </c>
      <c r="O1" s="80">
        <v>11</v>
      </c>
      <c r="P1" s="80"/>
      <c r="Q1" s="80">
        <v>12</v>
      </c>
      <c r="R1" s="80">
        <v>13</v>
      </c>
      <c r="S1" s="80">
        <v>2</v>
      </c>
      <c r="T1" s="28"/>
    </row>
    <row r="2" spans="1:20" s="123" customFormat="1" ht="26.25" x14ac:dyDescent="0.4">
      <c r="A2" s="25"/>
      <c r="B2" s="26"/>
      <c r="C2" s="451" t="str">
        <f>UPPER("INVENTORY BY STATE "&amp;Transformation!B4)</f>
        <v>INVENTORY BY STATE AS OF: SEPTEMBER 05, 2015</v>
      </c>
      <c r="D2" s="452"/>
      <c r="E2" s="452"/>
      <c r="F2" s="452"/>
      <c r="G2" s="452"/>
      <c r="H2" s="452"/>
      <c r="I2" s="452"/>
      <c r="J2" s="452"/>
      <c r="K2" s="452"/>
      <c r="L2" s="452"/>
      <c r="M2" s="452"/>
      <c r="N2" s="452"/>
      <c r="O2" s="452"/>
      <c r="P2" s="452"/>
      <c r="Q2" s="452"/>
      <c r="R2" s="452"/>
      <c r="S2" s="453"/>
      <c r="T2" s="28"/>
    </row>
    <row r="3" spans="1:20" s="123" customFormat="1" x14ac:dyDescent="0.2">
      <c r="A3" s="25"/>
      <c r="B3" s="26"/>
      <c r="C3" s="459" t="s">
        <v>233</v>
      </c>
      <c r="D3" s="459"/>
      <c r="E3" s="456" t="s">
        <v>213</v>
      </c>
      <c r="F3" s="457"/>
      <c r="G3" s="458"/>
      <c r="H3" s="456" t="s">
        <v>7</v>
      </c>
      <c r="I3" s="457"/>
      <c r="J3" s="458"/>
      <c r="K3" s="456" t="s">
        <v>33</v>
      </c>
      <c r="L3" s="457"/>
      <c r="M3" s="458"/>
      <c r="N3" s="456" t="s">
        <v>8</v>
      </c>
      <c r="O3" s="457"/>
      <c r="P3" s="458"/>
      <c r="Q3" s="81" t="s">
        <v>9</v>
      </c>
      <c r="R3" s="82" t="s">
        <v>10</v>
      </c>
      <c r="S3" s="82" t="s">
        <v>11</v>
      </c>
      <c r="T3" s="28"/>
    </row>
    <row r="4" spans="1:20" s="123" customFormat="1" ht="38.25" x14ac:dyDescent="0.2">
      <c r="A4" s="83"/>
      <c r="B4" s="54"/>
      <c r="C4" s="84" t="s">
        <v>12</v>
      </c>
      <c r="D4" s="85" t="s">
        <v>140</v>
      </c>
      <c r="E4" s="86" t="s">
        <v>12</v>
      </c>
      <c r="F4" s="87" t="s">
        <v>3</v>
      </c>
      <c r="G4" s="88" t="s">
        <v>4</v>
      </c>
      <c r="H4" s="86" t="s">
        <v>12</v>
      </c>
      <c r="I4" s="87" t="s">
        <v>3</v>
      </c>
      <c r="J4" s="88" t="s">
        <v>4</v>
      </c>
      <c r="K4" s="86" t="s">
        <v>12</v>
      </c>
      <c r="L4" s="87" t="s">
        <v>3</v>
      </c>
      <c r="M4" s="88" t="s">
        <v>4</v>
      </c>
      <c r="N4" s="86" t="s">
        <v>12</v>
      </c>
      <c r="O4" s="87" t="s">
        <v>3</v>
      </c>
      <c r="P4" s="88" t="s">
        <v>4</v>
      </c>
      <c r="Q4" s="89" t="s">
        <v>12</v>
      </c>
      <c r="R4" s="89" t="s">
        <v>12</v>
      </c>
      <c r="S4" s="89" t="s">
        <v>498</v>
      </c>
      <c r="T4" s="28"/>
    </row>
    <row r="5" spans="1:20" s="123" customFormat="1" ht="26.25" x14ac:dyDescent="0.4">
      <c r="A5" s="25"/>
      <c r="B5" s="124"/>
      <c r="C5" s="451" t="s">
        <v>496</v>
      </c>
      <c r="D5" s="452"/>
      <c r="E5" s="452"/>
      <c r="F5" s="452"/>
      <c r="G5" s="452"/>
      <c r="H5" s="452"/>
      <c r="I5" s="452"/>
      <c r="J5" s="452"/>
      <c r="K5" s="452"/>
      <c r="L5" s="452"/>
      <c r="M5" s="452"/>
      <c r="N5" s="452"/>
      <c r="O5" s="452"/>
      <c r="P5" s="452"/>
      <c r="Q5" s="452"/>
      <c r="R5" s="452"/>
      <c r="S5" s="453"/>
      <c r="T5" s="28"/>
    </row>
    <row r="6" spans="1:20" s="123" customFormat="1" x14ac:dyDescent="0.2">
      <c r="A6" s="92"/>
      <c r="B6" s="125" t="s">
        <v>471</v>
      </c>
      <c r="C6" s="94">
        <f>IFERROR(VLOOKUP($B6,MMWR_TRAD_AGG_ST_DISTRICT_COMP[],C$1,0),"ERROR")</f>
        <v>351544</v>
      </c>
      <c r="D6" s="95">
        <f>IFERROR(VLOOKUP($B6,MMWR_TRAD_AGG_ST_DISTRICT_COMP[],D$1,0),"ERROR")</f>
        <v>372.19478073869999</v>
      </c>
      <c r="E6" s="96">
        <f>IFERROR(VLOOKUP($B6,MMWR_TRAD_AGG_ST_DISTRICT_COMP[],E$1,0),"ERROR")</f>
        <v>340206</v>
      </c>
      <c r="F6" s="97">
        <f>IFERROR(VLOOKUP($B6,MMWR_TRAD_AGG_ST_DISTRICT_COMP[],F$1,0),"ERROR")</f>
        <v>89816</v>
      </c>
      <c r="G6" s="98">
        <f t="shared" ref="G6:G37" si="0">IFERROR(F6/E6,"0%")</f>
        <v>0.26400475006319701</v>
      </c>
      <c r="H6" s="96">
        <f>IFERROR(VLOOKUP($B6,MMWR_TRAD_AGG_ST_DISTRICT_COMP[],H$1,0),"ERROR")</f>
        <v>500506</v>
      </c>
      <c r="I6" s="97">
        <f>IFERROR(VLOOKUP($B6,MMWR_TRAD_AGG_ST_DISTRICT_COMP[],I$1,0),"ERROR")</f>
        <v>303655</v>
      </c>
      <c r="J6" s="99">
        <f t="shared" ref="J6:J37" si="1">IFERROR(I6/H6,"0%")</f>
        <v>0.60669602362409247</v>
      </c>
      <c r="K6" s="96">
        <f>IFERROR(VLOOKUP($B6,MMWR_TRAD_AGG_ST_DISTRICT_COMP[],K$1,0),"ERROR")</f>
        <v>86056</v>
      </c>
      <c r="L6" s="97">
        <f>IFERROR(VLOOKUP($B6,MMWR_TRAD_AGG_ST_DISTRICT_COMP[],L$1,0),"ERROR")</f>
        <v>66303</v>
      </c>
      <c r="M6" s="99">
        <f t="shared" ref="M6:M37" si="2">IFERROR(L6/K6,"0%")</f>
        <v>0.77046341916891325</v>
      </c>
      <c r="N6" s="96">
        <f>IFERROR(VLOOKUP($B6,MMWR_TRAD_AGG_ST_DISTRICT_COMP[],N$1,0),"ERROR")</f>
        <v>162123</v>
      </c>
      <c r="O6" s="97">
        <f>IFERROR(VLOOKUP($B6,MMWR_TRAD_AGG_ST_DISTRICT_COMP[],O$1,0),"ERROR")</f>
        <v>101522</v>
      </c>
      <c r="P6" s="99">
        <f t="shared" ref="P6:P37" si="3">IFERROR(O6/N6,"0%")</f>
        <v>0.62620356149343404</v>
      </c>
      <c r="Q6" s="100">
        <f>IFERROR(VLOOKUP($B6,MMWR_TRAD_AGG_ST_DISTRICT_COMP[],Q$1,0),"ERROR")</f>
        <v>9623</v>
      </c>
      <c r="R6" s="100">
        <f>IFERROR(VLOOKUP($B6,MMWR_TRAD_AGG_ST_DISTRICT_COMP[],R$1,0),"ERROR")</f>
        <v>4432</v>
      </c>
      <c r="S6" s="100">
        <f>S7+S23+S36+S46+S56+S64</f>
        <v>303940</v>
      </c>
      <c r="T6" s="28"/>
    </row>
    <row r="7" spans="1:20" s="123" customFormat="1" x14ac:dyDescent="0.2">
      <c r="A7" s="92"/>
      <c r="B7" s="126" t="s">
        <v>379</v>
      </c>
      <c r="C7" s="102">
        <f>IF(SUM(C8:C22)&lt;&gt;VLOOKUP($B7,MMWR_TRAD_AGG_ST_DISTRICT_COMP[],C$1,0),"ERROR",
VLOOKUP($B7,MMWR_TRAD_AGG_ST_DISTRICT_COMP[],C$1,0))</f>
        <v>74510</v>
      </c>
      <c r="D7" s="103">
        <f>IFERROR(VLOOKUP($B7,MMWR_TRAD_AGG_ST_DISTRICT_COMP[],D$1,0),"ERROR")</f>
        <v>401.05375117429998</v>
      </c>
      <c r="E7" s="102">
        <f>IF(SUM(E8:E22)&lt;&gt;VLOOKUP($B7,MMWR_TRAD_AGG_ST_DISTRICT_COMP[],E$1,0),"ERROR",
VLOOKUP($B7,MMWR_TRAD_AGG_ST_DISTRICT_COMP[],E$1,0))</f>
        <v>74221</v>
      </c>
      <c r="F7" s="102">
        <f>IFERROR(VLOOKUP($B7,MMWR_TRAD_AGG_ST_DISTRICT_COMP[],F$1,0),"ERROR")</f>
        <v>19982</v>
      </c>
      <c r="G7" s="104">
        <f t="shared" si="0"/>
        <v>0.26922299618706297</v>
      </c>
      <c r="H7" s="102">
        <f>IF(SUM(H8:H22)&lt;&gt;VLOOKUP($B7,MMWR_TRAD_AGG_ST_DISTRICT_COMP[],H$1,0),"ERROR",
VLOOKUP($B7,MMWR_TRAD_AGG_ST_DISTRICT_COMP[],H$1,0))</f>
        <v>104768</v>
      </c>
      <c r="I7" s="102">
        <f>IF(SUM(I8:I22)&lt;&gt;VLOOKUP($B7,MMWR_TRAD_AGG_ST_DISTRICT_COMP[],I$1,0),"ERROR",
VLOOKUP($B7,MMWR_TRAD_AGG_ST_DISTRICT_COMP[],I$1,0))</f>
        <v>64210</v>
      </c>
      <c r="J7" s="105">
        <f t="shared" si="1"/>
        <v>0.61287797800855226</v>
      </c>
      <c r="K7" s="102">
        <f>IF(SUM(K8:K22)&lt;&gt;VLOOKUP($B7,MMWR_TRAD_AGG_ST_DISTRICT_COMP[],K$1,0),"ERROR",
VLOOKUP($B7,MMWR_TRAD_AGG_ST_DISTRICT_COMP[],K$1,0))</f>
        <v>20974</v>
      </c>
      <c r="L7" s="102">
        <f>IF(SUM(L8:L22)&lt;&gt;VLOOKUP($B7,MMWR_TRAD_AGG_ST_DISTRICT_COMP[],L$1,0),"ERROR",
VLOOKUP($B7,MMWR_TRAD_AGG_ST_DISTRICT_COMP[],L$1,0))</f>
        <v>15935</v>
      </c>
      <c r="M7" s="105">
        <f t="shared" si="2"/>
        <v>0.75975016687327168</v>
      </c>
      <c r="N7" s="102">
        <f>IF(SUM(N8:N22)&lt;&gt;VLOOKUP($B7,MMWR_TRAD_AGG_ST_DISTRICT_COMP[],N$1,0),"ERROR",
VLOOKUP($B7,MMWR_TRAD_AGG_ST_DISTRICT_COMP[],N$1,0))</f>
        <v>34552</v>
      </c>
      <c r="O7" s="102">
        <f>IF(SUM(O8:O22)&lt;&gt;VLOOKUP($B7,MMWR_TRAD_AGG_ST_DISTRICT_COMP[],O$1,0),"ERROR",
VLOOKUP($B7,MMWR_TRAD_AGG_ST_DISTRICT_COMP[],O$1,0))</f>
        <v>22225</v>
      </c>
      <c r="P7" s="105">
        <f t="shared" si="3"/>
        <v>0.6432333873581848</v>
      </c>
      <c r="Q7" s="102">
        <f>IF(SUM(Q8:Q22)&lt;&gt;VLOOKUP($B7,MMWR_TRAD_AGG_ST_DISTRICT_COMP[],Q$1,0),"ERROR",
VLOOKUP($B7,MMWR_TRAD_AGG_ST_DISTRICT_COMP[],Q$1,0))</f>
        <v>6012</v>
      </c>
      <c r="R7" s="106">
        <f>IFERROR(VLOOKUP($B7,MMWR_TRAD_AGG_ST_DISTRICT_COMP[],R$1,0),"ERROR")</f>
        <v>163</v>
      </c>
      <c r="S7" s="106">
        <f>SUM(S8:S22)</f>
        <v>55502</v>
      </c>
      <c r="T7" s="28"/>
    </row>
    <row r="8" spans="1:20" s="123" customFormat="1" x14ac:dyDescent="0.2">
      <c r="A8" s="107"/>
      <c r="B8" s="127" t="s">
        <v>383</v>
      </c>
      <c r="C8" s="109">
        <f>IFERROR(VLOOKUP($B8,MMWR_TRAD_AGG_STATE_COMP[],C$1,0),"ERROR")</f>
        <v>1898</v>
      </c>
      <c r="D8" s="110">
        <f>IFERROR(VLOOKUP($B8,MMWR_TRAD_AGG_STATE_COMP[],D$1,0),"ERROR")</f>
        <v>261.6001053741</v>
      </c>
      <c r="E8" s="111">
        <f>IFERROR(VLOOKUP($B8,MMWR_TRAD_AGG_STATE_COMP[],E$1,0),"ERROR")</f>
        <v>1829</v>
      </c>
      <c r="F8" s="112">
        <f>IFERROR(VLOOKUP($B8,MMWR_TRAD_AGG_STATE_COMP[],F$1,0),"ERROR")</f>
        <v>421</v>
      </c>
      <c r="G8" s="113">
        <f t="shared" si="0"/>
        <v>0.23018042646254783</v>
      </c>
      <c r="H8" s="111">
        <f>IFERROR(VLOOKUP($B8,MMWR_TRAD_AGG_STATE_COMP[],H$1,0),"ERROR")</f>
        <v>3544</v>
      </c>
      <c r="I8" s="112">
        <f>IFERROR(VLOOKUP($B8,MMWR_TRAD_AGG_STATE_COMP[],I$1,0),"ERROR")</f>
        <v>1764</v>
      </c>
      <c r="J8" s="114">
        <f t="shared" si="1"/>
        <v>0.49774266365688485</v>
      </c>
      <c r="K8" s="111">
        <f>IFERROR(VLOOKUP($B8,MMWR_TRAD_AGG_STATE_COMP[],K$1,0),"ERROR")</f>
        <v>424</v>
      </c>
      <c r="L8" s="112">
        <f>IFERROR(VLOOKUP($B8,MMWR_TRAD_AGG_STATE_COMP[],L$1,0),"ERROR")</f>
        <v>307</v>
      </c>
      <c r="M8" s="114">
        <f t="shared" si="2"/>
        <v>0.72405660377358494</v>
      </c>
      <c r="N8" s="111">
        <f>IFERROR(VLOOKUP($B8,MMWR_TRAD_AGG_STATE_COMP[],N$1,0),"ERROR")</f>
        <v>814</v>
      </c>
      <c r="O8" s="112">
        <f>IFERROR(VLOOKUP($B8,MMWR_TRAD_AGG_STATE_COMP[],O$1,0),"ERROR")</f>
        <v>497</v>
      </c>
      <c r="P8" s="114">
        <f t="shared" si="3"/>
        <v>0.61056511056511054</v>
      </c>
      <c r="Q8" s="115">
        <f>IFERROR(VLOOKUP($B8,MMWR_TRAD_AGG_STATE_COMP[],Q$1,0),"ERROR")</f>
        <v>191</v>
      </c>
      <c r="R8" s="115">
        <f>IFERROR(VLOOKUP($B8,MMWR_TRAD_AGG_STATE_COMP[],R$1,0),"ERROR")</f>
        <v>3</v>
      </c>
      <c r="S8" s="115">
        <f>IFERROR(VLOOKUP($B8,MMWR_APP_STATE_COMP[],S$1,0),"ERROR")</f>
        <v>946</v>
      </c>
      <c r="T8" s="28"/>
    </row>
    <row r="9" spans="1:20" s="123" customFormat="1" x14ac:dyDescent="0.2">
      <c r="A9" s="107"/>
      <c r="B9" s="127" t="s">
        <v>433</v>
      </c>
      <c r="C9" s="109">
        <f>IFERROR(VLOOKUP($B9,MMWR_TRAD_AGG_STATE_COMP[],C$1,0),"ERROR")</f>
        <v>1063</v>
      </c>
      <c r="D9" s="110">
        <f>IFERROR(VLOOKUP($B9,MMWR_TRAD_AGG_STATE_COMP[],D$1,0),"ERROR")</f>
        <v>352.16462841020001</v>
      </c>
      <c r="E9" s="111">
        <f>IFERROR(VLOOKUP($B9,MMWR_TRAD_AGG_STATE_COMP[],E$1,0),"ERROR")</f>
        <v>980</v>
      </c>
      <c r="F9" s="112">
        <f>IFERROR(VLOOKUP($B9,MMWR_TRAD_AGG_STATE_COMP[],F$1,0),"ERROR")</f>
        <v>310</v>
      </c>
      <c r="G9" s="113">
        <f t="shared" si="0"/>
        <v>0.31632653061224492</v>
      </c>
      <c r="H9" s="111">
        <f>IFERROR(VLOOKUP($B9,MMWR_TRAD_AGG_STATE_COMP[],H$1,0),"ERROR")</f>
        <v>1279</v>
      </c>
      <c r="I9" s="112">
        <f>IFERROR(VLOOKUP($B9,MMWR_TRAD_AGG_STATE_COMP[],I$1,0),"ERROR")</f>
        <v>700</v>
      </c>
      <c r="J9" s="114">
        <f t="shared" si="1"/>
        <v>0.54730258014073496</v>
      </c>
      <c r="K9" s="111">
        <f>IFERROR(VLOOKUP($B9,MMWR_TRAD_AGG_STATE_COMP[],K$1,0),"ERROR")</f>
        <v>72</v>
      </c>
      <c r="L9" s="112">
        <f>IFERROR(VLOOKUP($B9,MMWR_TRAD_AGG_STATE_COMP[],L$1,0),"ERROR")</f>
        <v>50</v>
      </c>
      <c r="M9" s="114">
        <f t="shared" si="2"/>
        <v>0.69444444444444442</v>
      </c>
      <c r="N9" s="111">
        <f>IFERROR(VLOOKUP($B9,MMWR_TRAD_AGG_STATE_COMP[],N$1,0),"ERROR")</f>
        <v>388</v>
      </c>
      <c r="O9" s="112">
        <f>IFERROR(VLOOKUP($B9,MMWR_TRAD_AGG_STATE_COMP[],O$1,0),"ERROR")</f>
        <v>195</v>
      </c>
      <c r="P9" s="114">
        <f t="shared" si="3"/>
        <v>0.50257731958762886</v>
      </c>
      <c r="Q9" s="115">
        <f>IFERROR(VLOOKUP($B9,MMWR_TRAD_AGG_STATE_COMP[],Q$1,0),"ERROR")</f>
        <v>46</v>
      </c>
      <c r="R9" s="115">
        <f>IFERROR(VLOOKUP($B9,MMWR_TRAD_AGG_STATE_COMP[],R$1,0),"ERROR")</f>
        <v>1</v>
      </c>
      <c r="S9" s="115">
        <f>IFERROR(VLOOKUP($B9,MMWR_APP_STATE_COMP[],S$1,0),"ERROR")</f>
        <v>500</v>
      </c>
      <c r="T9" s="28"/>
    </row>
    <row r="10" spans="1:20" s="123" customFormat="1" x14ac:dyDescent="0.2">
      <c r="A10" s="107"/>
      <c r="B10" s="127" t="s">
        <v>424</v>
      </c>
      <c r="C10" s="109">
        <f>IFERROR(VLOOKUP($B10,MMWR_TRAD_AGG_STATE_COMP[],C$1,0),"ERROR")</f>
        <v>512</v>
      </c>
      <c r="D10" s="110">
        <f>IFERROR(VLOOKUP($B10,MMWR_TRAD_AGG_STATE_COMP[],D$1,0),"ERROR")</f>
        <v>488.431640625</v>
      </c>
      <c r="E10" s="111">
        <f>IFERROR(VLOOKUP($B10,MMWR_TRAD_AGG_STATE_COMP[],E$1,0),"ERROR")</f>
        <v>501</v>
      </c>
      <c r="F10" s="112">
        <f>IFERROR(VLOOKUP($B10,MMWR_TRAD_AGG_STATE_COMP[],F$1,0),"ERROR")</f>
        <v>156</v>
      </c>
      <c r="G10" s="113">
        <f t="shared" si="0"/>
        <v>0.31137724550898205</v>
      </c>
      <c r="H10" s="111">
        <f>IFERROR(VLOOKUP($B10,MMWR_TRAD_AGG_STATE_COMP[],H$1,0),"ERROR")</f>
        <v>713</v>
      </c>
      <c r="I10" s="112">
        <f>IFERROR(VLOOKUP($B10,MMWR_TRAD_AGG_STATE_COMP[],I$1,0),"ERROR")</f>
        <v>471</v>
      </c>
      <c r="J10" s="114">
        <f t="shared" si="1"/>
        <v>0.66058906030855535</v>
      </c>
      <c r="K10" s="111">
        <f>IFERROR(VLOOKUP($B10,MMWR_TRAD_AGG_STATE_COMP[],K$1,0),"ERROR")</f>
        <v>135</v>
      </c>
      <c r="L10" s="112">
        <f>IFERROR(VLOOKUP($B10,MMWR_TRAD_AGG_STATE_COMP[],L$1,0),"ERROR")</f>
        <v>111</v>
      </c>
      <c r="M10" s="114">
        <f t="shared" si="2"/>
        <v>0.82222222222222219</v>
      </c>
      <c r="N10" s="111">
        <f>IFERROR(VLOOKUP($B10,MMWR_TRAD_AGG_STATE_COMP[],N$1,0),"ERROR")</f>
        <v>332</v>
      </c>
      <c r="O10" s="112">
        <f>IFERROR(VLOOKUP($B10,MMWR_TRAD_AGG_STATE_COMP[],O$1,0),"ERROR")</f>
        <v>236</v>
      </c>
      <c r="P10" s="114">
        <f t="shared" si="3"/>
        <v>0.71084337349397586</v>
      </c>
      <c r="Q10" s="115">
        <f>IFERROR(VLOOKUP($B10,MMWR_TRAD_AGG_STATE_COMP[],Q$1,0),"ERROR")</f>
        <v>20</v>
      </c>
      <c r="R10" s="115">
        <f>IFERROR(VLOOKUP($B10,MMWR_TRAD_AGG_STATE_COMP[],R$1,0),"ERROR")</f>
        <v>1</v>
      </c>
      <c r="S10" s="115">
        <f>IFERROR(VLOOKUP($B10,MMWR_APP_STATE_COMP[],S$1,0),"ERROR")</f>
        <v>563</v>
      </c>
      <c r="T10" s="28"/>
    </row>
    <row r="11" spans="1:20" s="123" customFormat="1" x14ac:dyDescent="0.2">
      <c r="A11" s="107"/>
      <c r="B11" s="127" t="s">
        <v>426</v>
      </c>
      <c r="C11" s="109">
        <f>IFERROR(VLOOKUP($B11,MMWR_TRAD_AGG_STATE_COMP[],C$1,0),"ERROR")</f>
        <v>1560</v>
      </c>
      <c r="D11" s="110">
        <f>IFERROR(VLOOKUP($B11,MMWR_TRAD_AGG_STATE_COMP[],D$1,0),"ERROR")</f>
        <v>265.73717948720002</v>
      </c>
      <c r="E11" s="111">
        <f>IFERROR(VLOOKUP($B11,MMWR_TRAD_AGG_STATE_COMP[],E$1,0),"ERROR")</f>
        <v>1268</v>
      </c>
      <c r="F11" s="112">
        <f>IFERROR(VLOOKUP($B11,MMWR_TRAD_AGG_STATE_COMP[],F$1,0),"ERROR")</f>
        <v>183</v>
      </c>
      <c r="G11" s="113">
        <f t="shared" si="0"/>
        <v>0.14432176656151419</v>
      </c>
      <c r="H11" s="111">
        <f>IFERROR(VLOOKUP($B11,MMWR_TRAD_AGG_STATE_COMP[],H$1,0),"ERROR")</f>
        <v>2219</v>
      </c>
      <c r="I11" s="112">
        <f>IFERROR(VLOOKUP($B11,MMWR_TRAD_AGG_STATE_COMP[],I$1,0),"ERROR")</f>
        <v>1042</v>
      </c>
      <c r="J11" s="114">
        <f t="shared" si="1"/>
        <v>0.46958089229382605</v>
      </c>
      <c r="K11" s="111">
        <f>IFERROR(VLOOKUP($B11,MMWR_TRAD_AGG_STATE_COMP[],K$1,0),"ERROR")</f>
        <v>921</v>
      </c>
      <c r="L11" s="112">
        <f>IFERROR(VLOOKUP($B11,MMWR_TRAD_AGG_STATE_COMP[],L$1,0),"ERROR")</f>
        <v>527</v>
      </c>
      <c r="M11" s="114">
        <f t="shared" si="2"/>
        <v>0.57220412595005432</v>
      </c>
      <c r="N11" s="111">
        <f>IFERROR(VLOOKUP($B11,MMWR_TRAD_AGG_STATE_COMP[],N$1,0),"ERROR")</f>
        <v>314</v>
      </c>
      <c r="O11" s="112">
        <f>IFERROR(VLOOKUP($B11,MMWR_TRAD_AGG_STATE_COMP[],O$1,0),"ERROR")</f>
        <v>175</v>
      </c>
      <c r="P11" s="114">
        <f t="shared" si="3"/>
        <v>0.5573248407643312</v>
      </c>
      <c r="Q11" s="115">
        <f>IFERROR(VLOOKUP($B11,MMWR_TRAD_AGG_STATE_COMP[],Q$1,0),"ERROR")</f>
        <v>250</v>
      </c>
      <c r="R11" s="115">
        <f>IFERROR(VLOOKUP($B11,MMWR_TRAD_AGG_STATE_COMP[],R$1,0),"ERROR")</f>
        <v>2</v>
      </c>
      <c r="S11" s="115">
        <f>IFERROR(VLOOKUP($B11,MMWR_APP_STATE_COMP[],S$1,0),"ERROR")</f>
        <v>429</v>
      </c>
      <c r="T11" s="28"/>
    </row>
    <row r="12" spans="1:20" s="123" customFormat="1" x14ac:dyDescent="0.2">
      <c r="A12" s="107"/>
      <c r="B12" s="127" t="s">
        <v>386</v>
      </c>
      <c r="C12" s="109">
        <f>IFERROR(VLOOKUP($B12,MMWR_TRAD_AGG_STATE_COMP[],C$1,0),"ERROR")</f>
        <v>9099</v>
      </c>
      <c r="D12" s="110">
        <f>IFERROR(VLOOKUP($B12,MMWR_TRAD_AGG_STATE_COMP[],D$1,0),"ERROR")</f>
        <v>584.10407737109995</v>
      </c>
      <c r="E12" s="111">
        <f>IFERROR(VLOOKUP($B12,MMWR_TRAD_AGG_STATE_COMP[],E$1,0),"ERROR")</f>
        <v>5766</v>
      </c>
      <c r="F12" s="112">
        <f>IFERROR(VLOOKUP($B12,MMWR_TRAD_AGG_STATE_COMP[],F$1,0),"ERROR")</f>
        <v>1441</v>
      </c>
      <c r="G12" s="113">
        <f t="shared" si="0"/>
        <v>0.24991328477280611</v>
      </c>
      <c r="H12" s="111">
        <f>IFERROR(VLOOKUP($B12,MMWR_TRAD_AGG_STATE_COMP[],H$1,0),"ERROR")</f>
        <v>11224</v>
      </c>
      <c r="I12" s="112">
        <f>IFERROR(VLOOKUP($B12,MMWR_TRAD_AGG_STATE_COMP[],I$1,0),"ERROR")</f>
        <v>8355</v>
      </c>
      <c r="J12" s="114">
        <f t="shared" si="1"/>
        <v>0.74438702779757659</v>
      </c>
      <c r="K12" s="111">
        <f>IFERROR(VLOOKUP($B12,MMWR_TRAD_AGG_STATE_COMP[],K$1,0),"ERROR")</f>
        <v>1275</v>
      </c>
      <c r="L12" s="112">
        <f>IFERROR(VLOOKUP($B12,MMWR_TRAD_AGG_STATE_COMP[],L$1,0),"ERROR")</f>
        <v>1045</v>
      </c>
      <c r="M12" s="114">
        <f t="shared" si="2"/>
        <v>0.81960784313725488</v>
      </c>
      <c r="N12" s="111">
        <f>IFERROR(VLOOKUP($B12,MMWR_TRAD_AGG_STATE_COMP[],N$1,0),"ERROR")</f>
        <v>6603</v>
      </c>
      <c r="O12" s="112">
        <f>IFERROR(VLOOKUP($B12,MMWR_TRAD_AGG_STATE_COMP[],O$1,0),"ERROR")</f>
        <v>5392</v>
      </c>
      <c r="P12" s="114">
        <f t="shared" si="3"/>
        <v>0.81659851582613963</v>
      </c>
      <c r="Q12" s="115">
        <f>IFERROR(VLOOKUP($B12,MMWR_TRAD_AGG_STATE_COMP[],Q$1,0),"ERROR")</f>
        <v>317</v>
      </c>
      <c r="R12" s="115">
        <f>IFERROR(VLOOKUP($B12,MMWR_TRAD_AGG_STATE_COMP[],R$1,0),"ERROR")</f>
        <v>7</v>
      </c>
      <c r="S12" s="115">
        <f>IFERROR(VLOOKUP($B12,MMWR_APP_STATE_COMP[],S$1,0),"ERROR")</f>
        <v>5314</v>
      </c>
      <c r="T12" s="28"/>
    </row>
    <row r="13" spans="1:20" s="123" customFormat="1" x14ac:dyDescent="0.2">
      <c r="A13" s="107"/>
      <c r="B13" s="127" t="s">
        <v>381</v>
      </c>
      <c r="C13" s="109">
        <f>IFERROR(VLOOKUP($B13,MMWR_TRAD_AGG_STATE_COMP[],C$1,0),"ERROR")</f>
        <v>4986</v>
      </c>
      <c r="D13" s="110">
        <f>IFERROR(VLOOKUP($B13,MMWR_TRAD_AGG_STATE_COMP[],D$1,0),"ERROR")</f>
        <v>488.47372643400001</v>
      </c>
      <c r="E13" s="111">
        <f>IFERROR(VLOOKUP($B13,MMWR_TRAD_AGG_STATE_COMP[],E$1,0),"ERROR")</f>
        <v>4497</v>
      </c>
      <c r="F13" s="112">
        <f>IFERROR(VLOOKUP($B13,MMWR_TRAD_AGG_STATE_COMP[],F$1,0),"ERROR")</f>
        <v>1284</v>
      </c>
      <c r="G13" s="113">
        <f t="shared" si="0"/>
        <v>0.28552368245497001</v>
      </c>
      <c r="H13" s="111">
        <f>IFERROR(VLOOKUP($B13,MMWR_TRAD_AGG_STATE_COMP[],H$1,0),"ERROR")</f>
        <v>7842</v>
      </c>
      <c r="I13" s="112">
        <f>IFERROR(VLOOKUP($B13,MMWR_TRAD_AGG_STATE_COMP[],I$1,0),"ERROR")</f>
        <v>4911</v>
      </c>
      <c r="J13" s="114">
        <f t="shared" si="1"/>
        <v>0.62624330527926553</v>
      </c>
      <c r="K13" s="111">
        <f>IFERROR(VLOOKUP($B13,MMWR_TRAD_AGG_STATE_COMP[],K$1,0),"ERROR")</f>
        <v>2815</v>
      </c>
      <c r="L13" s="112">
        <f>IFERROR(VLOOKUP($B13,MMWR_TRAD_AGG_STATE_COMP[],L$1,0),"ERROR")</f>
        <v>1894</v>
      </c>
      <c r="M13" s="114">
        <f t="shared" si="2"/>
        <v>0.67282415630550618</v>
      </c>
      <c r="N13" s="111">
        <f>IFERROR(VLOOKUP($B13,MMWR_TRAD_AGG_STATE_COMP[],N$1,0),"ERROR")</f>
        <v>1296</v>
      </c>
      <c r="O13" s="112">
        <f>IFERROR(VLOOKUP($B13,MMWR_TRAD_AGG_STATE_COMP[],O$1,0),"ERROR")</f>
        <v>1003</v>
      </c>
      <c r="P13" s="114">
        <f t="shared" si="3"/>
        <v>0.7739197530864198</v>
      </c>
      <c r="Q13" s="115">
        <f>IFERROR(VLOOKUP($B13,MMWR_TRAD_AGG_STATE_COMP[],Q$1,0),"ERROR")</f>
        <v>528</v>
      </c>
      <c r="R13" s="115">
        <f>IFERROR(VLOOKUP($B13,MMWR_TRAD_AGG_STATE_COMP[],R$1,0),"ERROR")</f>
        <v>13</v>
      </c>
      <c r="S13" s="115">
        <f>IFERROR(VLOOKUP($B13,MMWR_APP_STATE_COMP[],S$1,0),"ERROR")</f>
        <v>3500</v>
      </c>
      <c r="T13" s="28"/>
    </row>
    <row r="14" spans="1:20" s="123" customFormat="1" x14ac:dyDescent="0.2">
      <c r="A14" s="107"/>
      <c r="B14" s="127" t="s">
        <v>425</v>
      </c>
      <c r="C14" s="109">
        <f>IFERROR(VLOOKUP($B14,MMWR_TRAD_AGG_STATE_COMP[],C$1,0),"ERROR")</f>
        <v>1840</v>
      </c>
      <c r="D14" s="110">
        <f>IFERROR(VLOOKUP($B14,MMWR_TRAD_AGG_STATE_COMP[],D$1,0),"ERROR")</f>
        <v>386.05434782610001</v>
      </c>
      <c r="E14" s="111">
        <f>IFERROR(VLOOKUP($B14,MMWR_TRAD_AGG_STATE_COMP[],E$1,0),"ERROR")</f>
        <v>1173</v>
      </c>
      <c r="F14" s="112">
        <f>IFERROR(VLOOKUP($B14,MMWR_TRAD_AGG_STATE_COMP[],F$1,0),"ERROR")</f>
        <v>265</v>
      </c>
      <c r="G14" s="113">
        <f t="shared" si="0"/>
        <v>0.22591645353793691</v>
      </c>
      <c r="H14" s="111">
        <f>IFERROR(VLOOKUP($B14,MMWR_TRAD_AGG_STATE_COMP[],H$1,0),"ERROR")</f>
        <v>2549</v>
      </c>
      <c r="I14" s="112">
        <f>IFERROR(VLOOKUP($B14,MMWR_TRAD_AGG_STATE_COMP[],I$1,0),"ERROR")</f>
        <v>1572</v>
      </c>
      <c r="J14" s="114">
        <f t="shared" si="1"/>
        <v>0.61671243624950967</v>
      </c>
      <c r="K14" s="111">
        <f>IFERROR(VLOOKUP($B14,MMWR_TRAD_AGG_STATE_COMP[],K$1,0),"ERROR")</f>
        <v>694</v>
      </c>
      <c r="L14" s="112">
        <f>IFERROR(VLOOKUP($B14,MMWR_TRAD_AGG_STATE_COMP[],L$1,0),"ERROR")</f>
        <v>532</v>
      </c>
      <c r="M14" s="114">
        <f t="shared" si="2"/>
        <v>0.7665706051873199</v>
      </c>
      <c r="N14" s="111">
        <f>IFERROR(VLOOKUP($B14,MMWR_TRAD_AGG_STATE_COMP[],N$1,0),"ERROR")</f>
        <v>209</v>
      </c>
      <c r="O14" s="112">
        <f>IFERROR(VLOOKUP($B14,MMWR_TRAD_AGG_STATE_COMP[],O$1,0),"ERROR")</f>
        <v>106</v>
      </c>
      <c r="P14" s="114">
        <f t="shared" si="3"/>
        <v>0.50717703349282295</v>
      </c>
      <c r="Q14" s="115">
        <f>IFERROR(VLOOKUP($B14,MMWR_TRAD_AGG_STATE_COMP[],Q$1,0),"ERROR")</f>
        <v>122</v>
      </c>
      <c r="R14" s="115">
        <f>IFERROR(VLOOKUP($B14,MMWR_TRAD_AGG_STATE_COMP[],R$1,0),"ERROR")</f>
        <v>3</v>
      </c>
      <c r="S14" s="115">
        <f>IFERROR(VLOOKUP($B14,MMWR_APP_STATE_COMP[],S$1,0),"ERROR")</f>
        <v>695</v>
      </c>
      <c r="T14" s="28"/>
    </row>
    <row r="15" spans="1:20" s="123" customFormat="1" x14ac:dyDescent="0.2">
      <c r="A15" s="107"/>
      <c r="B15" s="127" t="s">
        <v>384</v>
      </c>
      <c r="C15" s="109">
        <f>IFERROR(VLOOKUP($B15,MMWR_TRAD_AGG_STATE_COMP[],C$1,0),"ERROR")</f>
        <v>2695</v>
      </c>
      <c r="D15" s="110">
        <f>IFERROR(VLOOKUP($B15,MMWR_TRAD_AGG_STATE_COMP[],D$1,0),"ERROR")</f>
        <v>256.64823747679998</v>
      </c>
      <c r="E15" s="111">
        <f>IFERROR(VLOOKUP($B15,MMWR_TRAD_AGG_STATE_COMP[],E$1,0),"ERROR")</f>
        <v>4178</v>
      </c>
      <c r="F15" s="112">
        <f>IFERROR(VLOOKUP($B15,MMWR_TRAD_AGG_STATE_COMP[],F$1,0),"ERROR")</f>
        <v>1209</v>
      </c>
      <c r="G15" s="113">
        <f t="shared" si="0"/>
        <v>0.28937290569650548</v>
      </c>
      <c r="H15" s="111">
        <f>IFERROR(VLOOKUP($B15,MMWR_TRAD_AGG_STATE_COMP[],H$1,0),"ERROR")</f>
        <v>4394</v>
      </c>
      <c r="I15" s="112">
        <f>IFERROR(VLOOKUP($B15,MMWR_TRAD_AGG_STATE_COMP[],I$1,0),"ERROR")</f>
        <v>1968</v>
      </c>
      <c r="J15" s="114">
        <f t="shared" si="1"/>
        <v>0.44788347746927626</v>
      </c>
      <c r="K15" s="111">
        <f>IFERROR(VLOOKUP($B15,MMWR_TRAD_AGG_STATE_COMP[],K$1,0),"ERROR")</f>
        <v>999</v>
      </c>
      <c r="L15" s="112">
        <f>IFERROR(VLOOKUP($B15,MMWR_TRAD_AGG_STATE_COMP[],L$1,0),"ERROR")</f>
        <v>417</v>
      </c>
      <c r="M15" s="114">
        <f t="shared" si="2"/>
        <v>0.41741741741741739</v>
      </c>
      <c r="N15" s="111">
        <f>IFERROR(VLOOKUP($B15,MMWR_TRAD_AGG_STATE_COMP[],N$1,0),"ERROR")</f>
        <v>2039</v>
      </c>
      <c r="O15" s="112">
        <f>IFERROR(VLOOKUP($B15,MMWR_TRAD_AGG_STATE_COMP[],O$1,0),"ERROR")</f>
        <v>1115</v>
      </c>
      <c r="P15" s="114">
        <f t="shared" si="3"/>
        <v>0.54683668464933788</v>
      </c>
      <c r="Q15" s="115">
        <f>IFERROR(VLOOKUP($B15,MMWR_TRAD_AGG_STATE_COMP[],Q$1,0),"ERROR")</f>
        <v>538</v>
      </c>
      <c r="R15" s="115">
        <f>IFERROR(VLOOKUP($B15,MMWR_TRAD_AGG_STATE_COMP[],R$1,0),"ERROR")</f>
        <v>6</v>
      </c>
      <c r="S15" s="115">
        <f>IFERROR(VLOOKUP($B15,MMWR_APP_STATE_COMP[],S$1,0),"ERROR")</f>
        <v>4103</v>
      </c>
      <c r="T15" s="28"/>
    </row>
    <row r="16" spans="1:20" s="123" customFormat="1" x14ac:dyDescent="0.2">
      <c r="A16" s="107"/>
      <c r="B16" s="127" t="s">
        <v>63</v>
      </c>
      <c r="C16" s="109">
        <f>IFERROR(VLOOKUP($B16,MMWR_TRAD_AGG_STATE_COMP[],C$1,0),"ERROR")</f>
        <v>5511</v>
      </c>
      <c r="D16" s="110">
        <f>IFERROR(VLOOKUP($B16,MMWR_TRAD_AGG_STATE_COMP[],D$1,0),"ERROR")</f>
        <v>264.80076211210002</v>
      </c>
      <c r="E16" s="111">
        <f>IFERROR(VLOOKUP($B16,MMWR_TRAD_AGG_STATE_COMP[],E$1,0),"ERROR")</f>
        <v>9494</v>
      </c>
      <c r="F16" s="112">
        <f>IFERROR(VLOOKUP($B16,MMWR_TRAD_AGG_STATE_COMP[],F$1,0),"ERROR")</f>
        <v>2450</v>
      </c>
      <c r="G16" s="113">
        <f t="shared" si="0"/>
        <v>0.25805772066568361</v>
      </c>
      <c r="H16" s="111">
        <f>IFERROR(VLOOKUP($B16,MMWR_TRAD_AGG_STATE_COMP[],H$1,0),"ERROR")</f>
        <v>8750</v>
      </c>
      <c r="I16" s="112">
        <f>IFERROR(VLOOKUP($B16,MMWR_TRAD_AGG_STATE_COMP[],I$1,0),"ERROR")</f>
        <v>4215</v>
      </c>
      <c r="J16" s="114">
        <f t="shared" si="1"/>
        <v>0.48171428571428571</v>
      </c>
      <c r="K16" s="111">
        <f>IFERROR(VLOOKUP($B16,MMWR_TRAD_AGG_STATE_COMP[],K$1,0),"ERROR")</f>
        <v>2067</v>
      </c>
      <c r="L16" s="112">
        <f>IFERROR(VLOOKUP($B16,MMWR_TRAD_AGG_STATE_COMP[],L$1,0),"ERROR")</f>
        <v>1266</v>
      </c>
      <c r="M16" s="114">
        <f t="shared" si="2"/>
        <v>0.61248185776487662</v>
      </c>
      <c r="N16" s="111">
        <f>IFERROR(VLOOKUP($B16,MMWR_TRAD_AGG_STATE_COMP[],N$1,0),"ERROR")</f>
        <v>1623</v>
      </c>
      <c r="O16" s="112">
        <f>IFERROR(VLOOKUP($B16,MMWR_TRAD_AGG_STATE_COMP[],O$1,0),"ERROR")</f>
        <v>811</v>
      </c>
      <c r="P16" s="114">
        <f t="shared" si="3"/>
        <v>0.49969192852741834</v>
      </c>
      <c r="Q16" s="115">
        <f>IFERROR(VLOOKUP($B16,MMWR_TRAD_AGG_STATE_COMP[],Q$1,0),"ERROR")</f>
        <v>1033</v>
      </c>
      <c r="R16" s="115">
        <f>IFERROR(VLOOKUP($B16,MMWR_TRAD_AGG_STATE_COMP[],R$1,0),"ERROR")</f>
        <v>17</v>
      </c>
      <c r="S16" s="115">
        <f>IFERROR(VLOOKUP($B16,MMWR_APP_STATE_COMP[],S$1,0),"ERROR")</f>
        <v>5486</v>
      </c>
      <c r="T16" s="28"/>
    </row>
    <row r="17" spans="1:20" s="123" customFormat="1" x14ac:dyDescent="0.2">
      <c r="A17" s="107"/>
      <c r="B17" s="127" t="s">
        <v>392</v>
      </c>
      <c r="C17" s="109">
        <f>IFERROR(VLOOKUP($B17,MMWR_TRAD_AGG_STATE_COMP[],C$1,0),"ERROR")</f>
        <v>16123</v>
      </c>
      <c r="D17" s="110">
        <f>IFERROR(VLOOKUP($B17,MMWR_TRAD_AGG_STATE_COMP[],D$1,0),"ERROR")</f>
        <v>327.33585561000001</v>
      </c>
      <c r="E17" s="111">
        <f>IFERROR(VLOOKUP($B17,MMWR_TRAD_AGG_STATE_COMP[],E$1,0),"ERROR")</f>
        <v>18693</v>
      </c>
      <c r="F17" s="112">
        <f>IFERROR(VLOOKUP($B17,MMWR_TRAD_AGG_STATE_COMP[],F$1,0),"ERROR")</f>
        <v>5315</v>
      </c>
      <c r="G17" s="113">
        <f t="shared" si="0"/>
        <v>0.28433103300700796</v>
      </c>
      <c r="H17" s="111">
        <f>IFERROR(VLOOKUP($B17,MMWR_TRAD_AGG_STATE_COMP[],H$1,0),"ERROR")</f>
        <v>22260</v>
      </c>
      <c r="I17" s="112">
        <f>IFERROR(VLOOKUP($B17,MMWR_TRAD_AGG_STATE_COMP[],I$1,0),"ERROR")</f>
        <v>13629</v>
      </c>
      <c r="J17" s="114">
        <f t="shared" si="1"/>
        <v>0.61226415094339626</v>
      </c>
      <c r="K17" s="111">
        <f>IFERROR(VLOOKUP($B17,MMWR_TRAD_AGG_STATE_COMP[],K$1,0),"ERROR")</f>
        <v>4126</v>
      </c>
      <c r="L17" s="112">
        <f>IFERROR(VLOOKUP($B17,MMWR_TRAD_AGG_STATE_COMP[],L$1,0),"ERROR")</f>
        <v>3576</v>
      </c>
      <c r="M17" s="114">
        <f t="shared" si="2"/>
        <v>0.86669898206495399</v>
      </c>
      <c r="N17" s="111">
        <f>IFERROR(VLOOKUP($B17,MMWR_TRAD_AGG_STATE_COMP[],N$1,0),"ERROR")</f>
        <v>8001</v>
      </c>
      <c r="O17" s="112">
        <f>IFERROR(VLOOKUP($B17,MMWR_TRAD_AGG_STATE_COMP[],O$1,0),"ERROR")</f>
        <v>4564</v>
      </c>
      <c r="P17" s="114">
        <f t="shared" si="3"/>
        <v>0.57042869641294836</v>
      </c>
      <c r="Q17" s="115">
        <f>IFERROR(VLOOKUP($B17,MMWR_TRAD_AGG_STATE_COMP[],Q$1,0),"ERROR")</f>
        <v>866</v>
      </c>
      <c r="R17" s="115">
        <f>IFERROR(VLOOKUP($B17,MMWR_TRAD_AGG_STATE_COMP[],R$1,0),"ERROR")</f>
        <v>44</v>
      </c>
      <c r="S17" s="115">
        <f>IFERROR(VLOOKUP($B17,MMWR_APP_STATE_COMP[],S$1,0),"ERROR")</f>
        <v>10375</v>
      </c>
      <c r="T17" s="28"/>
    </row>
    <row r="18" spans="1:20" s="123" customFormat="1" x14ac:dyDescent="0.2">
      <c r="A18" s="107"/>
      <c r="B18" s="127" t="s">
        <v>385</v>
      </c>
      <c r="C18" s="109">
        <f>IFERROR(VLOOKUP($B18,MMWR_TRAD_AGG_STATE_COMP[],C$1,0),"ERROR")</f>
        <v>7867</v>
      </c>
      <c r="D18" s="110">
        <f>IFERROR(VLOOKUP($B18,MMWR_TRAD_AGG_STATE_COMP[],D$1,0),"ERROR")</f>
        <v>397.7917884835</v>
      </c>
      <c r="E18" s="111">
        <f>IFERROR(VLOOKUP($B18,MMWR_TRAD_AGG_STATE_COMP[],E$1,0),"ERROR")</f>
        <v>9628</v>
      </c>
      <c r="F18" s="112">
        <f>IFERROR(VLOOKUP($B18,MMWR_TRAD_AGG_STATE_COMP[],F$1,0),"ERROR")</f>
        <v>2983</v>
      </c>
      <c r="G18" s="113">
        <f t="shared" si="0"/>
        <v>0.30982550893228084</v>
      </c>
      <c r="H18" s="111">
        <f>IFERROR(VLOOKUP($B18,MMWR_TRAD_AGG_STATE_COMP[],H$1,0),"ERROR")</f>
        <v>11795</v>
      </c>
      <c r="I18" s="112">
        <f>IFERROR(VLOOKUP($B18,MMWR_TRAD_AGG_STATE_COMP[],I$1,0),"ERROR")</f>
        <v>7714</v>
      </c>
      <c r="J18" s="114">
        <f t="shared" si="1"/>
        <v>0.65400593471810087</v>
      </c>
      <c r="K18" s="111">
        <f>IFERROR(VLOOKUP($B18,MMWR_TRAD_AGG_STATE_COMP[],K$1,0),"ERROR")</f>
        <v>1023</v>
      </c>
      <c r="L18" s="112">
        <f>IFERROR(VLOOKUP($B18,MMWR_TRAD_AGG_STATE_COMP[],L$1,0),"ERROR")</f>
        <v>726</v>
      </c>
      <c r="M18" s="114">
        <f t="shared" si="2"/>
        <v>0.70967741935483875</v>
      </c>
      <c r="N18" s="111">
        <f>IFERROR(VLOOKUP($B18,MMWR_TRAD_AGG_STATE_COMP[],N$1,0),"ERROR")</f>
        <v>5833</v>
      </c>
      <c r="O18" s="112">
        <f>IFERROR(VLOOKUP($B18,MMWR_TRAD_AGG_STATE_COMP[],O$1,0),"ERROR")</f>
        <v>3085</v>
      </c>
      <c r="P18" s="114">
        <f t="shared" si="3"/>
        <v>0.52888736499228528</v>
      </c>
      <c r="Q18" s="115">
        <f>IFERROR(VLOOKUP($B18,MMWR_TRAD_AGG_STATE_COMP[],Q$1,0),"ERROR")</f>
        <v>992</v>
      </c>
      <c r="R18" s="115">
        <f>IFERROR(VLOOKUP($B18,MMWR_TRAD_AGG_STATE_COMP[],R$1,0),"ERROR")</f>
        <v>9</v>
      </c>
      <c r="S18" s="115">
        <f>IFERROR(VLOOKUP($B18,MMWR_APP_STATE_COMP[],S$1,0),"ERROR")</f>
        <v>6577</v>
      </c>
      <c r="T18" s="28"/>
    </row>
    <row r="19" spans="1:20" s="123" customFormat="1" x14ac:dyDescent="0.2">
      <c r="A19" s="107"/>
      <c r="B19" s="127" t="s">
        <v>382</v>
      </c>
      <c r="C19" s="109">
        <f>IFERROR(VLOOKUP($B19,MMWR_TRAD_AGG_STATE_COMP[],C$1,0),"ERROR")</f>
        <v>471</v>
      </c>
      <c r="D19" s="110">
        <f>IFERROR(VLOOKUP($B19,MMWR_TRAD_AGG_STATE_COMP[],D$1,0),"ERROR")</f>
        <v>233.3694267516</v>
      </c>
      <c r="E19" s="111">
        <f>IFERROR(VLOOKUP($B19,MMWR_TRAD_AGG_STATE_COMP[],E$1,0),"ERROR")</f>
        <v>902</v>
      </c>
      <c r="F19" s="112">
        <f>IFERROR(VLOOKUP($B19,MMWR_TRAD_AGG_STATE_COMP[],F$1,0),"ERROR")</f>
        <v>249</v>
      </c>
      <c r="G19" s="113">
        <f t="shared" si="0"/>
        <v>0.27605321507760533</v>
      </c>
      <c r="H19" s="111">
        <f>IFERROR(VLOOKUP($B19,MMWR_TRAD_AGG_STATE_COMP[],H$1,0),"ERROR")</f>
        <v>1098</v>
      </c>
      <c r="I19" s="112">
        <f>IFERROR(VLOOKUP($B19,MMWR_TRAD_AGG_STATE_COMP[],I$1,0),"ERROR")</f>
        <v>387</v>
      </c>
      <c r="J19" s="114">
        <f t="shared" si="1"/>
        <v>0.35245901639344263</v>
      </c>
      <c r="K19" s="111">
        <f>IFERROR(VLOOKUP($B19,MMWR_TRAD_AGG_STATE_COMP[],K$1,0),"ERROR")</f>
        <v>357</v>
      </c>
      <c r="L19" s="112">
        <f>IFERROR(VLOOKUP($B19,MMWR_TRAD_AGG_STATE_COMP[],L$1,0),"ERROR")</f>
        <v>127</v>
      </c>
      <c r="M19" s="114">
        <f t="shared" si="2"/>
        <v>0.35574229691876752</v>
      </c>
      <c r="N19" s="111">
        <f>IFERROR(VLOOKUP($B19,MMWR_TRAD_AGG_STATE_COMP[],N$1,0),"ERROR")</f>
        <v>134</v>
      </c>
      <c r="O19" s="112">
        <f>IFERROR(VLOOKUP($B19,MMWR_TRAD_AGG_STATE_COMP[],O$1,0),"ERROR")</f>
        <v>62</v>
      </c>
      <c r="P19" s="114">
        <f t="shared" si="3"/>
        <v>0.46268656716417911</v>
      </c>
      <c r="Q19" s="115">
        <f>IFERROR(VLOOKUP($B19,MMWR_TRAD_AGG_STATE_COMP[],Q$1,0),"ERROR")</f>
        <v>125</v>
      </c>
      <c r="R19" s="115">
        <f>IFERROR(VLOOKUP($B19,MMWR_TRAD_AGG_STATE_COMP[],R$1,0),"ERROR")</f>
        <v>2</v>
      </c>
      <c r="S19" s="115">
        <f>IFERROR(VLOOKUP($B19,MMWR_APP_STATE_COMP[],S$1,0),"ERROR")</f>
        <v>313</v>
      </c>
      <c r="T19" s="28"/>
    </row>
    <row r="20" spans="1:20" s="123" customFormat="1" x14ac:dyDescent="0.2">
      <c r="A20" s="107"/>
      <c r="B20" s="127" t="s">
        <v>427</v>
      </c>
      <c r="C20" s="109">
        <f>IFERROR(VLOOKUP($B20,MMWR_TRAD_AGG_STATE_COMP[],C$1,0),"ERROR")</f>
        <v>486</v>
      </c>
      <c r="D20" s="110">
        <f>IFERROR(VLOOKUP($B20,MMWR_TRAD_AGG_STATE_COMP[],D$1,0),"ERROR")</f>
        <v>338.84979423869999</v>
      </c>
      <c r="E20" s="111">
        <f>IFERROR(VLOOKUP($B20,MMWR_TRAD_AGG_STATE_COMP[],E$1,0),"ERROR")</f>
        <v>424</v>
      </c>
      <c r="F20" s="112">
        <f>IFERROR(VLOOKUP($B20,MMWR_TRAD_AGG_STATE_COMP[],F$1,0),"ERROR")</f>
        <v>123</v>
      </c>
      <c r="G20" s="113">
        <f t="shared" si="0"/>
        <v>0.29009433962264153</v>
      </c>
      <c r="H20" s="111">
        <f>IFERROR(VLOOKUP($B20,MMWR_TRAD_AGG_STATE_COMP[],H$1,0),"ERROR")</f>
        <v>820</v>
      </c>
      <c r="I20" s="112">
        <f>IFERROR(VLOOKUP($B20,MMWR_TRAD_AGG_STATE_COMP[],I$1,0),"ERROR")</f>
        <v>447</v>
      </c>
      <c r="J20" s="114">
        <f t="shared" si="1"/>
        <v>0.54512195121951224</v>
      </c>
      <c r="K20" s="111">
        <f>IFERROR(VLOOKUP($B20,MMWR_TRAD_AGG_STATE_COMP[],K$1,0),"ERROR")</f>
        <v>188</v>
      </c>
      <c r="L20" s="112">
        <f>IFERROR(VLOOKUP($B20,MMWR_TRAD_AGG_STATE_COMP[],L$1,0),"ERROR")</f>
        <v>107</v>
      </c>
      <c r="M20" s="114">
        <f t="shared" si="2"/>
        <v>0.56914893617021278</v>
      </c>
      <c r="N20" s="111">
        <f>IFERROR(VLOOKUP($B20,MMWR_TRAD_AGG_STATE_COMP[],N$1,0),"ERROR")</f>
        <v>92</v>
      </c>
      <c r="O20" s="112">
        <f>IFERROR(VLOOKUP($B20,MMWR_TRAD_AGG_STATE_COMP[],O$1,0),"ERROR")</f>
        <v>54</v>
      </c>
      <c r="P20" s="114">
        <f t="shared" si="3"/>
        <v>0.58695652173913049</v>
      </c>
      <c r="Q20" s="115">
        <f>IFERROR(VLOOKUP($B20,MMWR_TRAD_AGG_STATE_COMP[],Q$1,0),"ERROR")</f>
        <v>48</v>
      </c>
      <c r="R20" s="115">
        <f>IFERROR(VLOOKUP($B20,MMWR_TRAD_AGG_STATE_COMP[],R$1,0),"ERROR")</f>
        <v>1</v>
      </c>
      <c r="S20" s="115">
        <f>IFERROR(VLOOKUP($B20,MMWR_APP_STATE_COMP[],S$1,0),"ERROR")</f>
        <v>204</v>
      </c>
      <c r="T20" s="28"/>
    </row>
    <row r="21" spans="1:20" s="123" customFormat="1" x14ac:dyDescent="0.2">
      <c r="A21" s="107"/>
      <c r="B21" s="127" t="s">
        <v>388</v>
      </c>
      <c r="C21" s="109">
        <f>IFERROR(VLOOKUP($B21,MMWR_TRAD_AGG_STATE_COMP[],C$1,0),"ERROR")</f>
        <v>18063</v>
      </c>
      <c r="D21" s="110">
        <f>IFERROR(VLOOKUP($B21,MMWR_TRAD_AGG_STATE_COMP[],D$1,0),"ERROR")</f>
        <v>469.00647732930003</v>
      </c>
      <c r="E21" s="111">
        <f>IFERROR(VLOOKUP($B21,MMWR_TRAD_AGG_STATE_COMP[],E$1,0),"ERROR")</f>
        <v>12639</v>
      </c>
      <c r="F21" s="112">
        <f>IFERROR(VLOOKUP($B21,MMWR_TRAD_AGG_STATE_COMP[],F$1,0),"ERROR")</f>
        <v>3076</v>
      </c>
      <c r="G21" s="113">
        <f t="shared" si="0"/>
        <v>0.24337368462694833</v>
      </c>
      <c r="H21" s="111">
        <f>IFERROR(VLOOKUP($B21,MMWR_TRAD_AGG_STATE_COMP[],H$1,0),"ERROR")</f>
        <v>22733</v>
      </c>
      <c r="I21" s="112">
        <f>IFERROR(VLOOKUP($B21,MMWR_TRAD_AGG_STATE_COMP[],I$1,0),"ERROR")</f>
        <v>15152</v>
      </c>
      <c r="J21" s="114">
        <f t="shared" si="1"/>
        <v>0.6665200369506884</v>
      </c>
      <c r="K21" s="111">
        <f>IFERROR(VLOOKUP($B21,MMWR_TRAD_AGG_STATE_COMP[],K$1,0),"ERROR")</f>
        <v>5556</v>
      </c>
      <c r="L21" s="112">
        <f>IFERROR(VLOOKUP($B21,MMWR_TRAD_AGG_STATE_COMP[],L$1,0),"ERROR")</f>
        <v>4986</v>
      </c>
      <c r="M21" s="114">
        <f t="shared" si="2"/>
        <v>0.89740820734341253</v>
      </c>
      <c r="N21" s="111">
        <f>IFERROR(VLOOKUP($B21,MMWR_TRAD_AGG_STATE_COMP[],N$1,0),"ERROR")</f>
        <v>5734</v>
      </c>
      <c r="O21" s="112">
        <f>IFERROR(VLOOKUP($B21,MMWR_TRAD_AGG_STATE_COMP[],O$1,0),"ERROR")</f>
        <v>4229</v>
      </c>
      <c r="P21" s="114">
        <f t="shared" si="3"/>
        <v>0.73753051970701078</v>
      </c>
      <c r="Q21" s="115">
        <f>IFERROR(VLOOKUP($B21,MMWR_TRAD_AGG_STATE_COMP[],Q$1,0),"ERROR")</f>
        <v>661</v>
      </c>
      <c r="R21" s="115">
        <f>IFERROR(VLOOKUP($B21,MMWR_TRAD_AGG_STATE_COMP[],R$1,0),"ERROR")</f>
        <v>35</v>
      </c>
      <c r="S21" s="115">
        <f>IFERROR(VLOOKUP($B21,MMWR_APP_STATE_COMP[],S$1,0),"ERROR")</f>
        <v>14136</v>
      </c>
      <c r="T21" s="28"/>
    </row>
    <row r="22" spans="1:20" s="123" customFormat="1" x14ac:dyDescent="0.2">
      <c r="A22" s="107"/>
      <c r="B22" s="127" t="s">
        <v>389</v>
      </c>
      <c r="C22" s="109">
        <f>IFERROR(VLOOKUP($B22,MMWR_TRAD_AGG_STATE_COMP[],C$1,0),"ERROR")</f>
        <v>2336</v>
      </c>
      <c r="D22" s="110">
        <f>IFERROR(VLOOKUP($B22,MMWR_TRAD_AGG_STATE_COMP[],D$1,0),"ERROR")</f>
        <v>249.17679794520001</v>
      </c>
      <c r="E22" s="111">
        <f>IFERROR(VLOOKUP($B22,MMWR_TRAD_AGG_STATE_COMP[],E$1,0),"ERROR")</f>
        <v>2249</v>
      </c>
      <c r="F22" s="112">
        <f>IFERROR(VLOOKUP($B22,MMWR_TRAD_AGG_STATE_COMP[],F$1,0),"ERROR")</f>
        <v>517</v>
      </c>
      <c r="G22" s="113">
        <f t="shared" si="0"/>
        <v>0.22987994664295242</v>
      </c>
      <c r="H22" s="111">
        <f>IFERROR(VLOOKUP($B22,MMWR_TRAD_AGG_STATE_COMP[],H$1,0),"ERROR")</f>
        <v>3548</v>
      </c>
      <c r="I22" s="112">
        <f>IFERROR(VLOOKUP($B22,MMWR_TRAD_AGG_STATE_COMP[],I$1,0),"ERROR")</f>
        <v>1883</v>
      </c>
      <c r="J22" s="114">
        <f t="shared" si="1"/>
        <v>0.53072153325817362</v>
      </c>
      <c r="K22" s="111">
        <f>IFERROR(VLOOKUP($B22,MMWR_TRAD_AGG_STATE_COMP[],K$1,0),"ERROR")</f>
        <v>322</v>
      </c>
      <c r="L22" s="112">
        <f>IFERROR(VLOOKUP($B22,MMWR_TRAD_AGG_STATE_COMP[],L$1,0),"ERROR")</f>
        <v>264</v>
      </c>
      <c r="M22" s="114">
        <f t="shared" si="2"/>
        <v>0.81987577639751552</v>
      </c>
      <c r="N22" s="111">
        <f>IFERROR(VLOOKUP($B22,MMWR_TRAD_AGG_STATE_COMP[],N$1,0),"ERROR")</f>
        <v>1140</v>
      </c>
      <c r="O22" s="112">
        <f>IFERROR(VLOOKUP($B22,MMWR_TRAD_AGG_STATE_COMP[],O$1,0),"ERROR")</f>
        <v>701</v>
      </c>
      <c r="P22" s="114">
        <f t="shared" si="3"/>
        <v>0.61491228070175441</v>
      </c>
      <c r="Q22" s="115">
        <f>IFERROR(VLOOKUP($B22,MMWR_TRAD_AGG_STATE_COMP[],Q$1,0),"ERROR")</f>
        <v>275</v>
      </c>
      <c r="R22" s="115">
        <f>IFERROR(VLOOKUP($B22,MMWR_TRAD_AGG_STATE_COMP[],R$1,0),"ERROR")</f>
        <v>19</v>
      </c>
      <c r="S22" s="115">
        <f>IFERROR(VLOOKUP($B22,MMWR_APP_STATE_COMP[],S$1,0),"ERROR")</f>
        <v>2361</v>
      </c>
      <c r="T22" s="28"/>
    </row>
    <row r="23" spans="1:20" s="123" customFormat="1" x14ac:dyDescent="0.2">
      <c r="A23" s="107"/>
      <c r="B23" s="126" t="s">
        <v>400</v>
      </c>
      <c r="C23" s="102">
        <f>IF(SUM(C24:C35)&lt;&gt;VLOOKUP($B23,MMWR_TRAD_AGG_ST_DISTRICT_COMP[],C$1,0),"ERROR",
VLOOKUP($B23,MMWR_TRAD_AGG_ST_DISTRICT_COMP[],C$1,0))</f>
        <v>47284</v>
      </c>
      <c r="D23" s="103">
        <f>IFERROR(VLOOKUP($B23,MMWR_TRAD_AGG_ST_DISTRICT_COMP[],D$1,0),"ERROR")</f>
        <v>400.67521783270001</v>
      </c>
      <c r="E23" s="102">
        <f>IF(SUM(E24:E35)&lt;&gt;VLOOKUP($B23,MMWR_TRAD_AGG_ST_DISTRICT_COMP[],E$1,0),"ERROR",
VLOOKUP($B23,MMWR_TRAD_AGG_ST_DISTRICT_COMP[],E$1,0))</f>
        <v>52638</v>
      </c>
      <c r="F23" s="102">
        <f>IF(SUM(F24:F35)&lt;&gt;VLOOKUP($B23,MMWR_TRAD_AGG_ST_DISTRICT_COMP[],F$1,0),"ERROR",
VLOOKUP($B23,MMWR_TRAD_AGG_ST_DISTRICT_COMP[],F$1,0))</f>
        <v>12916</v>
      </c>
      <c r="G23" s="104">
        <f t="shared" si="0"/>
        <v>0.24537406436414758</v>
      </c>
      <c r="H23" s="102">
        <f>IF(SUM(H24:H35)&lt;&gt;VLOOKUP($B23,MMWR_TRAD_AGG_ST_DISTRICT_COMP[],H$1,0),"ERROR",
VLOOKUP($B23,MMWR_TRAD_AGG_ST_DISTRICT_COMP[],H$1,0))</f>
        <v>73821</v>
      </c>
      <c r="I23" s="102">
        <f>IF(SUM(I24:I35)&lt;&gt;VLOOKUP($B23,MMWR_TRAD_AGG_ST_DISTRICT_COMP[],I$1,0),"ERROR",
VLOOKUP($B23,MMWR_TRAD_AGG_ST_DISTRICT_COMP[],I$1,0))</f>
        <v>41273</v>
      </c>
      <c r="J23" s="105">
        <f t="shared" si="1"/>
        <v>0.55909565028921304</v>
      </c>
      <c r="K23" s="102">
        <f>IF(SUM(K24:K35)&lt;&gt;VLOOKUP($B23,MMWR_TRAD_AGG_ST_DISTRICT_COMP[],K$1,0),"ERROR",
VLOOKUP($B23,MMWR_TRAD_AGG_ST_DISTRICT_COMP[],K$1,0))</f>
        <v>10411</v>
      </c>
      <c r="L23" s="102">
        <f>IF(SUM(L24:L35)&lt;&gt;VLOOKUP($B23,MMWR_TRAD_AGG_ST_DISTRICT_COMP[],L$1,0),"ERROR",
VLOOKUP($B23,MMWR_TRAD_AGG_ST_DISTRICT_COMP[],L$1,0))</f>
        <v>8279</v>
      </c>
      <c r="M23" s="105">
        <f t="shared" si="2"/>
        <v>0.79521659782921905</v>
      </c>
      <c r="N23" s="102">
        <f>IF(SUM(N24:N35)&lt;&gt;VLOOKUP($B23,MMWR_TRAD_AGG_ST_DISTRICT_COMP[],N$1,0),"ERROR",
VLOOKUP($B23,MMWR_TRAD_AGG_ST_DISTRICT_COMP[],N$1,0))</f>
        <v>22494</v>
      </c>
      <c r="O23" s="102">
        <f>IF(SUM(O24:O35)&lt;&gt;VLOOKUP($B23,MMWR_TRAD_AGG_ST_DISTRICT_COMP[],O$1,0),"ERROR",
VLOOKUP($B23,MMWR_TRAD_AGG_ST_DISTRICT_COMP[],O$1,0))</f>
        <v>14576</v>
      </c>
      <c r="P23" s="105">
        <f t="shared" si="3"/>
        <v>0.6479950208944607</v>
      </c>
      <c r="Q23" s="102">
        <f>IF(SUM(Q24:Q35)&lt;&gt;VLOOKUP($B23,MMWR_TRAD_AGG_ST_DISTRICT_COMP[],Q$1,0),"ERROR",
VLOOKUP($B23,MMWR_TRAD_AGG_ST_DISTRICT_COMP[],Q$1,0))</f>
        <v>138</v>
      </c>
      <c r="R23" s="102">
        <f>IF(SUM(R24:R35)&lt;&gt;VLOOKUP($B23,MMWR_TRAD_AGG_ST_DISTRICT_COMP[],R$1,0),"ERROR",
VLOOKUP($B23,MMWR_TRAD_AGG_ST_DISTRICT_COMP[],R$1,0))</f>
        <v>1187</v>
      </c>
      <c r="S23" s="106">
        <f>SUM(S24:S35)</f>
        <v>53041</v>
      </c>
      <c r="T23" s="28"/>
    </row>
    <row r="24" spans="1:20" s="123" customFormat="1" x14ac:dyDescent="0.2">
      <c r="A24" s="92"/>
      <c r="B24" s="127" t="s">
        <v>404</v>
      </c>
      <c r="C24" s="109">
        <f>IFERROR(VLOOKUP($B24,MMWR_TRAD_AGG_STATE_COMP[],C$1,0),"ERROR")</f>
        <v>7753</v>
      </c>
      <c r="D24" s="110">
        <f>IFERROR(VLOOKUP($B24,MMWR_TRAD_AGG_STATE_COMP[],D$1,0),"ERROR")</f>
        <v>478.13310976399998</v>
      </c>
      <c r="E24" s="111">
        <f>IFERROR(VLOOKUP($B24,MMWR_TRAD_AGG_STATE_COMP[],E$1,0),"ERROR")</f>
        <v>7567</v>
      </c>
      <c r="F24" s="112">
        <f>IFERROR(VLOOKUP($B24,MMWR_TRAD_AGG_STATE_COMP[],F$1,0),"ERROR")</f>
        <v>2180</v>
      </c>
      <c r="G24" s="113">
        <f t="shared" si="0"/>
        <v>0.28809303554909477</v>
      </c>
      <c r="H24" s="111">
        <f>IFERROR(VLOOKUP($B24,MMWR_TRAD_AGG_STATE_COMP[],H$1,0),"ERROR")</f>
        <v>10522</v>
      </c>
      <c r="I24" s="112">
        <f>IFERROR(VLOOKUP($B24,MMWR_TRAD_AGG_STATE_COMP[],I$1,0),"ERROR")</f>
        <v>6969</v>
      </c>
      <c r="J24" s="114">
        <f t="shared" si="1"/>
        <v>0.66232655388709372</v>
      </c>
      <c r="K24" s="111">
        <f>IFERROR(VLOOKUP($B24,MMWR_TRAD_AGG_STATE_COMP[],K$1,0),"ERROR")</f>
        <v>1502</v>
      </c>
      <c r="L24" s="112">
        <f>IFERROR(VLOOKUP($B24,MMWR_TRAD_AGG_STATE_COMP[],L$1,0),"ERROR")</f>
        <v>1375</v>
      </c>
      <c r="M24" s="114">
        <f t="shared" si="2"/>
        <v>0.91544607190412786</v>
      </c>
      <c r="N24" s="111">
        <f>IFERROR(VLOOKUP($B24,MMWR_TRAD_AGG_STATE_COMP[],N$1,0),"ERROR")</f>
        <v>2703</v>
      </c>
      <c r="O24" s="112">
        <f>IFERROR(VLOOKUP($B24,MMWR_TRAD_AGG_STATE_COMP[],O$1,0),"ERROR")</f>
        <v>1905</v>
      </c>
      <c r="P24" s="114">
        <f t="shared" si="3"/>
        <v>0.70477247502774698</v>
      </c>
      <c r="Q24" s="115">
        <f>IFERROR(VLOOKUP($B24,MMWR_TRAD_AGG_STATE_COMP[],Q$1,0),"ERROR")</f>
        <v>21</v>
      </c>
      <c r="R24" s="115">
        <f>IFERROR(VLOOKUP($B24,MMWR_TRAD_AGG_STATE_COMP[],R$1,0),"ERROR")</f>
        <v>282</v>
      </c>
      <c r="S24" s="115">
        <f>IFERROR(VLOOKUP($B24,MMWR_APP_STATE_COMP[],S$1,0),"ERROR")</f>
        <v>7710</v>
      </c>
      <c r="T24" s="28"/>
    </row>
    <row r="25" spans="1:20" s="123" customFormat="1" x14ac:dyDescent="0.2">
      <c r="A25" s="107"/>
      <c r="B25" s="127" t="s">
        <v>402</v>
      </c>
      <c r="C25" s="109">
        <f>IFERROR(VLOOKUP($B25,MMWR_TRAD_AGG_STATE_COMP[],C$1,0),"ERROR")</f>
        <v>8407</v>
      </c>
      <c r="D25" s="110">
        <f>IFERROR(VLOOKUP($B25,MMWR_TRAD_AGG_STATE_COMP[],D$1,0),"ERROR")</f>
        <v>658.14024027599999</v>
      </c>
      <c r="E25" s="111">
        <f>IFERROR(VLOOKUP($B25,MMWR_TRAD_AGG_STATE_COMP[],E$1,0),"ERROR")</f>
        <v>5215</v>
      </c>
      <c r="F25" s="112">
        <f>IFERROR(VLOOKUP($B25,MMWR_TRAD_AGG_STATE_COMP[],F$1,0),"ERROR")</f>
        <v>1191</v>
      </c>
      <c r="G25" s="113">
        <f t="shared" si="0"/>
        <v>0.22837967401725792</v>
      </c>
      <c r="H25" s="111">
        <f>IFERROR(VLOOKUP($B25,MMWR_TRAD_AGG_STATE_COMP[],H$1,0),"ERROR")</f>
        <v>11267</v>
      </c>
      <c r="I25" s="112">
        <f>IFERROR(VLOOKUP($B25,MMWR_TRAD_AGG_STATE_COMP[],I$1,0),"ERROR")</f>
        <v>8017</v>
      </c>
      <c r="J25" s="114">
        <f t="shared" si="1"/>
        <v>0.7115469956510162</v>
      </c>
      <c r="K25" s="111">
        <f>IFERROR(VLOOKUP($B25,MMWR_TRAD_AGG_STATE_COMP[],K$1,0),"ERROR")</f>
        <v>1182</v>
      </c>
      <c r="L25" s="112">
        <f>IFERROR(VLOOKUP($B25,MMWR_TRAD_AGG_STATE_COMP[],L$1,0),"ERROR")</f>
        <v>977</v>
      </c>
      <c r="M25" s="114">
        <f t="shared" si="2"/>
        <v>0.82656514382402713</v>
      </c>
      <c r="N25" s="111">
        <f>IFERROR(VLOOKUP($B25,MMWR_TRAD_AGG_STATE_COMP[],N$1,0),"ERROR")</f>
        <v>2217</v>
      </c>
      <c r="O25" s="112">
        <f>IFERROR(VLOOKUP($B25,MMWR_TRAD_AGG_STATE_COMP[],O$1,0),"ERROR")</f>
        <v>1488</v>
      </c>
      <c r="P25" s="114">
        <f t="shared" si="3"/>
        <v>0.67117726657645471</v>
      </c>
      <c r="Q25" s="115">
        <f>IFERROR(VLOOKUP($B25,MMWR_TRAD_AGG_STATE_COMP[],Q$1,0),"ERROR")</f>
        <v>19</v>
      </c>
      <c r="R25" s="115">
        <f>IFERROR(VLOOKUP($B25,MMWR_TRAD_AGG_STATE_COMP[],R$1,0),"ERROR")</f>
        <v>202</v>
      </c>
      <c r="S25" s="115">
        <f>IFERROR(VLOOKUP($B25,MMWR_APP_STATE_COMP[],S$1,0),"ERROR")</f>
        <v>8032</v>
      </c>
      <c r="T25" s="28"/>
    </row>
    <row r="26" spans="1:20" s="123" customFormat="1" x14ac:dyDescent="0.2">
      <c r="A26" s="107"/>
      <c r="B26" s="127" t="s">
        <v>409</v>
      </c>
      <c r="C26" s="109">
        <f>IFERROR(VLOOKUP($B26,MMWR_TRAD_AGG_STATE_COMP[],C$1,0),"ERROR")</f>
        <v>1609</v>
      </c>
      <c r="D26" s="110">
        <f>IFERROR(VLOOKUP($B26,MMWR_TRAD_AGG_STATE_COMP[],D$1,0),"ERROR")</f>
        <v>183.54878806709999</v>
      </c>
      <c r="E26" s="111">
        <f>IFERROR(VLOOKUP($B26,MMWR_TRAD_AGG_STATE_COMP[],E$1,0),"ERROR")</f>
        <v>2441</v>
      </c>
      <c r="F26" s="112">
        <f>IFERROR(VLOOKUP($B26,MMWR_TRAD_AGG_STATE_COMP[],F$1,0),"ERROR")</f>
        <v>577</v>
      </c>
      <c r="G26" s="113">
        <f t="shared" si="0"/>
        <v>0.23637853338795575</v>
      </c>
      <c r="H26" s="111">
        <f>IFERROR(VLOOKUP($B26,MMWR_TRAD_AGG_STATE_COMP[],H$1,0),"ERROR")</f>
        <v>3349</v>
      </c>
      <c r="I26" s="112">
        <f>IFERROR(VLOOKUP($B26,MMWR_TRAD_AGG_STATE_COMP[],I$1,0),"ERROR")</f>
        <v>1183</v>
      </c>
      <c r="J26" s="114">
        <f t="shared" si="1"/>
        <v>0.35323977306658705</v>
      </c>
      <c r="K26" s="111">
        <f>IFERROR(VLOOKUP($B26,MMWR_TRAD_AGG_STATE_COMP[],K$1,0),"ERROR")</f>
        <v>274</v>
      </c>
      <c r="L26" s="112">
        <f>IFERROR(VLOOKUP($B26,MMWR_TRAD_AGG_STATE_COMP[],L$1,0),"ERROR")</f>
        <v>218</v>
      </c>
      <c r="M26" s="114">
        <f t="shared" si="2"/>
        <v>0.79562043795620441</v>
      </c>
      <c r="N26" s="111">
        <f>IFERROR(VLOOKUP($B26,MMWR_TRAD_AGG_STATE_COMP[],N$1,0),"ERROR")</f>
        <v>1308</v>
      </c>
      <c r="O26" s="112">
        <f>IFERROR(VLOOKUP($B26,MMWR_TRAD_AGG_STATE_COMP[],O$1,0),"ERROR")</f>
        <v>1053</v>
      </c>
      <c r="P26" s="114">
        <f t="shared" si="3"/>
        <v>0.80504587155963303</v>
      </c>
      <c r="Q26" s="115">
        <f>IFERROR(VLOOKUP($B26,MMWR_TRAD_AGG_STATE_COMP[],Q$1,0),"ERROR")</f>
        <v>0</v>
      </c>
      <c r="R26" s="115">
        <f>IFERROR(VLOOKUP($B26,MMWR_TRAD_AGG_STATE_COMP[],R$1,0),"ERROR")</f>
        <v>14</v>
      </c>
      <c r="S26" s="115">
        <f>IFERROR(VLOOKUP($B26,MMWR_APP_STATE_COMP[],S$1,0),"ERROR")</f>
        <v>1200</v>
      </c>
      <c r="T26" s="28"/>
    </row>
    <row r="27" spans="1:20" s="123" customFormat="1" x14ac:dyDescent="0.2">
      <c r="A27" s="107"/>
      <c r="B27" s="127" t="s">
        <v>432</v>
      </c>
      <c r="C27" s="109">
        <f>IFERROR(VLOOKUP($B27,MMWR_TRAD_AGG_STATE_COMP[],C$1,0),"ERROR")</f>
        <v>2144</v>
      </c>
      <c r="D27" s="110">
        <f>IFERROR(VLOOKUP($B27,MMWR_TRAD_AGG_STATE_COMP[],D$1,0),"ERROR")</f>
        <v>234.85354477609999</v>
      </c>
      <c r="E27" s="111">
        <f>IFERROR(VLOOKUP($B27,MMWR_TRAD_AGG_STATE_COMP[],E$1,0),"ERROR")</f>
        <v>2779</v>
      </c>
      <c r="F27" s="112">
        <f>IFERROR(VLOOKUP($B27,MMWR_TRAD_AGG_STATE_COMP[],F$1,0),"ERROR")</f>
        <v>642</v>
      </c>
      <c r="G27" s="113">
        <f t="shared" si="0"/>
        <v>0.23101835192515294</v>
      </c>
      <c r="H27" s="111">
        <f>IFERROR(VLOOKUP($B27,MMWR_TRAD_AGG_STATE_COMP[],H$1,0),"ERROR")</f>
        <v>3631</v>
      </c>
      <c r="I27" s="112">
        <f>IFERROR(VLOOKUP($B27,MMWR_TRAD_AGG_STATE_COMP[],I$1,0),"ERROR")</f>
        <v>1520</v>
      </c>
      <c r="J27" s="114">
        <f t="shared" si="1"/>
        <v>0.41861746075461304</v>
      </c>
      <c r="K27" s="111">
        <f>IFERROR(VLOOKUP($B27,MMWR_TRAD_AGG_STATE_COMP[],K$1,0),"ERROR")</f>
        <v>546</v>
      </c>
      <c r="L27" s="112">
        <f>IFERROR(VLOOKUP($B27,MMWR_TRAD_AGG_STATE_COMP[],L$1,0),"ERROR")</f>
        <v>337</v>
      </c>
      <c r="M27" s="114">
        <f t="shared" si="2"/>
        <v>0.61721611721611724</v>
      </c>
      <c r="N27" s="111">
        <f>IFERROR(VLOOKUP($B27,MMWR_TRAD_AGG_STATE_COMP[],N$1,0),"ERROR")</f>
        <v>447</v>
      </c>
      <c r="O27" s="112">
        <f>IFERROR(VLOOKUP($B27,MMWR_TRAD_AGG_STATE_COMP[],O$1,0),"ERROR")</f>
        <v>199</v>
      </c>
      <c r="P27" s="114">
        <f t="shared" si="3"/>
        <v>0.44519015659955258</v>
      </c>
      <c r="Q27" s="115">
        <f>IFERROR(VLOOKUP($B27,MMWR_TRAD_AGG_STATE_COMP[],Q$1,0),"ERROR")</f>
        <v>1</v>
      </c>
      <c r="R27" s="115">
        <f>IFERROR(VLOOKUP($B27,MMWR_TRAD_AGG_STATE_COMP[],R$1,0),"ERROR")</f>
        <v>15</v>
      </c>
      <c r="S27" s="115">
        <f>IFERROR(VLOOKUP($B27,MMWR_APP_STATE_COMP[],S$1,0),"ERROR")</f>
        <v>1397</v>
      </c>
      <c r="T27" s="28"/>
    </row>
    <row r="28" spans="1:20" s="123" customFormat="1" x14ac:dyDescent="0.2">
      <c r="A28" s="107"/>
      <c r="B28" s="127" t="s">
        <v>405</v>
      </c>
      <c r="C28" s="109">
        <f>IFERROR(VLOOKUP($B28,MMWR_TRAD_AGG_STATE_COMP[],C$1,0),"ERROR")</f>
        <v>4027</v>
      </c>
      <c r="D28" s="110">
        <f>IFERROR(VLOOKUP($B28,MMWR_TRAD_AGG_STATE_COMP[],D$1,0),"ERROR")</f>
        <v>251.42637198910001</v>
      </c>
      <c r="E28" s="111">
        <f>IFERROR(VLOOKUP($B28,MMWR_TRAD_AGG_STATE_COMP[],E$1,0),"ERROR")</f>
        <v>7568</v>
      </c>
      <c r="F28" s="112">
        <f>IFERROR(VLOOKUP($B28,MMWR_TRAD_AGG_STATE_COMP[],F$1,0),"ERROR")</f>
        <v>2151</v>
      </c>
      <c r="G28" s="113">
        <f t="shared" si="0"/>
        <v>0.28422304439746299</v>
      </c>
      <c r="H28" s="111">
        <f>IFERROR(VLOOKUP($B28,MMWR_TRAD_AGG_STATE_COMP[],H$1,0),"ERROR")</f>
        <v>7880</v>
      </c>
      <c r="I28" s="112">
        <f>IFERROR(VLOOKUP($B28,MMWR_TRAD_AGG_STATE_COMP[],I$1,0),"ERROR")</f>
        <v>3436</v>
      </c>
      <c r="J28" s="114">
        <f t="shared" si="1"/>
        <v>0.43604060913705583</v>
      </c>
      <c r="K28" s="111">
        <f>IFERROR(VLOOKUP($B28,MMWR_TRAD_AGG_STATE_COMP[],K$1,0),"ERROR")</f>
        <v>1059</v>
      </c>
      <c r="L28" s="112">
        <f>IFERROR(VLOOKUP($B28,MMWR_TRAD_AGG_STATE_COMP[],L$1,0),"ERROR")</f>
        <v>821</v>
      </c>
      <c r="M28" s="114">
        <f t="shared" si="2"/>
        <v>0.77525967894239844</v>
      </c>
      <c r="N28" s="111">
        <f>IFERROR(VLOOKUP($B28,MMWR_TRAD_AGG_STATE_COMP[],N$1,0),"ERROR")</f>
        <v>1197</v>
      </c>
      <c r="O28" s="112">
        <f>IFERROR(VLOOKUP($B28,MMWR_TRAD_AGG_STATE_COMP[],O$1,0),"ERROR")</f>
        <v>687</v>
      </c>
      <c r="P28" s="114">
        <f t="shared" si="3"/>
        <v>0.57393483709273185</v>
      </c>
      <c r="Q28" s="115">
        <f>IFERROR(VLOOKUP($B28,MMWR_TRAD_AGG_STATE_COMP[],Q$1,0),"ERROR")</f>
        <v>26</v>
      </c>
      <c r="R28" s="115">
        <f>IFERROR(VLOOKUP($B28,MMWR_TRAD_AGG_STATE_COMP[],R$1,0),"ERROR")</f>
        <v>202</v>
      </c>
      <c r="S28" s="115">
        <f>IFERROR(VLOOKUP($B28,MMWR_APP_STATE_COMP[],S$1,0),"ERROR")</f>
        <v>6335</v>
      </c>
      <c r="T28" s="28"/>
    </row>
    <row r="29" spans="1:20" s="123" customFormat="1" x14ac:dyDescent="0.2">
      <c r="A29" s="107"/>
      <c r="B29" s="127" t="s">
        <v>411</v>
      </c>
      <c r="C29" s="109">
        <f>IFERROR(VLOOKUP($B29,MMWR_TRAD_AGG_STATE_COMP[],C$1,0),"ERROR")</f>
        <v>1417</v>
      </c>
      <c r="D29" s="110">
        <f>IFERROR(VLOOKUP($B29,MMWR_TRAD_AGG_STATE_COMP[],D$1,0),"ERROR")</f>
        <v>201.29851799580001</v>
      </c>
      <c r="E29" s="111">
        <f>IFERROR(VLOOKUP($B29,MMWR_TRAD_AGG_STATE_COMP[],E$1,0),"ERROR")</f>
        <v>5430</v>
      </c>
      <c r="F29" s="112">
        <f>IFERROR(VLOOKUP($B29,MMWR_TRAD_AGG_STATE_COMP[],F$1,0),"ERROR")</f>
        <v>1248</v>
      </c>
      <c r="G29" s="113">
        <f t="shared" si="0"/>
        <v>0.22983425414364642</v>
      </c>
      <c r="H29" s="111">
        <f>IFERROR(VLOOKUP($B29,MMWR_TRAD_AGG_STATE_COMP[],H$1,0),"ERROR")</f>
        <v>4720</v>
      </c>
      <c r="I29" s="112">
        <f>IFERROR(VLOOKUP($B29,MMWR_TRAD_AGG_STATE_COMP[],I$1,0),"ERROR")</f>
        <v>1144</v>
      </c>
      <c r="J29" s="114">
        <f t="shared" si="1"/>
        <v>0.24237288135593221</v>
      </c>
      <c r="K29" s="111">
        <f>IFERROR(VLOOKUP($B29,MMWR_TRAD_AGG_STATE_COMP[],K$1,0),"ERROR")</f>
        <v>332</v>
      </c>
      <c r="L29" s="112">
        <f>IFERROR(VLOOKUP($B29,MMWR_TRAD_AGG_STATE_COMP[],L$1,0),"ERROR")</f>
        <v>234</v>
      </c>
      <c r="M29" s="114">
        <f t="shared" si="2"/>
        <v>0.70481927710843373</v>
      </c>
      <c r="N29" s="111">
        <f>IFERROR(VLOOKUP($B29,MMWR_TRAD_AGG_STATE_COMP[],N$1,0),"ERROR")</f>
        <v>1189</v>
      </c>
      <c r="O29" s="112">
        <f>IFERROR(VLOOKUP($B29,MMWR_TRAD_AGG_STATE_COMP[],O$1,0),"ERROR")</f>
        <v>590</v>
      </c>
      <c r="P29" s="114">
        <f t="shared" si="3"/>
        <v>0.49621530698065602</v>
      </c>
      <c r="Q29" s="115">
        <f>IFERROR(VLOOKUP($B29,MMWR_TRAD_AGG_STATE_COMP[],Q$1,0),"ERROR")</f>
        <v>7</v>
      </c>
      <c r="R29" s="115">
        <f>IFERROR(VLOOKUP($B29,MMWR_TRAD_AGG_STATE_COMP[],R$1,0),"ERROR")</f>
        <v>2</v>
      </c>
      <c r="S29" s="115">
        <f>IFERROR(VLOOKUP($B29,MMWR_APP_STATE_COMP[],S$1,0),"ERROR")</f>
        <v>2172</v>
      </c>
      <c r="T29" s="28"/>
    </row>
    <row r="30" spans="1:20" s="123" customFormat="1" x14ac:dyDescent="0.2">
      <c r="A30" s="107"/>
      <c r="B30" s="127" t="s">
        <v>407</v>
      </c>
      <c r="C30" s="109">
        <f>IFERROR(VLOOKUP($B30,MMWR_TRAD_AGG_STATE_COMP[],C$1,0),"ERROR")</f>
        <v>6074</v>
      </c>
      <c r="D30" s="110">
        <f>IFERROR(VLOOKUP($B30,MMWR_TRAD_AGG_STATE_COMP[],D$1,0),"ERROR")</f>
        <v>283.30276588740003</v>
      </c>
      <c r="E30" s="111">
        <f>IFERROR(VLOOKUP($B30,MMWR_TRAD_AGG_STATE_COMP[],E$1,0),"ERROR")</f>
        <v>5595</v>
      </c>
      <c r="F30" s="112">
        <f>IFERROR(VLOOKUP($B30,MMWR_TRAD_AGG_STATE_COMP[],F$1,0),"ERROR")</f>
        <v>1115</v>
      </c>
      <c r="G30" s="113">
        <f t="shared" si="0"/>
        <v>0.19928507596067918</v>
      </c>
      <c r="H30" s="111">
        <f>IFERROR(VLOOKUP($B30,MMWR_TRAD_AGG_STATE_COMP[],H$1,0),"ERROR")</f>
        <v>9021</v>
      </c>
      <c r="I30" s="112">
        <f>IFERROR(VLOOKUP($B30,MMWR_TRAD_AGG_STATE_COMP[],I$1,0),"ERROR")</f>
        <v>5348</v>
      </c>
      <c r="J30" s="114">
        <f t="shared" si="1"/>
        <v>0.59283893138233013</v>
      </c>
      <c r="K30" s="111">
        <f>IFERROR(VLOOKUP($B30,MMWR_TRAD_AGG_STATE_COMP[],K$1,0),"ERROR")</f>
        <v>2152</v>
      </c>
      <c r="L30" s="112">
        <f>IFERROR(VLOOKUP($B30,MMWR_TRAD_AGG_STATE_COMP[],L$1,0),"ERROR")</f>
        <v>1959</v>
      </c>
      <c r="M30" s="114">
        <f t="shared" si="2"/>
        <v>0.91031598513011147</v>
      </c>
      <c r="N30" s="111">
        <f>IFERROR(VLOOKUP($B30,MMWR_TRAD_AGG_STATE_COMP[],N$1,0),"ERROR")</f>
        <v>6045</v>
      </c>
      <c r="O30" s="112">
        <f>IFERROR(VLOOKUP($B30,MMWR_TRAD_AGG_STATE_COMP[],O$1,0),"ERROR")</f>
        <v>4534</v>
      </c>
      <c r="P30" s="114">
        <f t="shared" si="3"/>
        <v>0.75004135649296944</v>
      </c>
      <c r="Q30" s="115">
        <f>IFERROR(VLOOKUP($B30,MMWR_TRAD_AGG_STATE_COMP[],Q$1,0),"ERROR")</f>
        <v>11</v>
      </c>
      <c r="R30" s="115">
        <f>IFERROR(VLOOKUP($B30,MMWR_TRAD_AGG_STATE_COMP[],R$1,0),"ERROR")</f>
        <v>105</v>
      </c>
      <c r="S30" s="115">
        <f>IFERROR(VLOOKUP($B30,MMWR_APP_STATE_COMP[],S$1,0),"ERROR")</f>
        <v>6785</v>
      </c>
      <c r="T30" s="28"/>
    </row>
    <row r="31" spans="1:20" s="123" customFormat="1" x14ac:dyDescent="0.2">
      <c r="A31" s="107"/>
      <c r="B31" s="127" t="s">
        <v>410</v>
      </c>
      <c r="C31" s="109">
        <f>IFERROR(VLOOKUP($B31,MMWR_TRAD_AGG_STATE_COMP[],C$1,0),"ERROR")</f>
        <v>1332</v>
      </c>
      <c r="D31" s="110">
        <f>IFERROR(VLOOKUP($B31,MMWR_TRAD_AGG_STATE_COMP[],D$1,0),"ERROR")</f>
        <v>206.62537537540001</v>
      </c>
      <c r="E31" s="111">
        <f>IFERROR(VLOOKUP($B31,MMWR_TRAD_AGG_STATE_COMP[],E$1,0),"ERROR")</f>
        <v>2070</v>
      </c>
      <c r="F31" s="112">
        <f>IFERROR(VLOOKUP($B31,MMWR_TRAD_AGG_STATE_COMP[],F$1,0),"ERROR")</f>
        <v>305</v>
      </c>
      <c r="G31" s="113">
        <f t="shared" si="0"/>
        <v>0.14734299516908211</v>
      </c>
      <c r="H31" s="111">
        <f>IFERROR(VLOOKUP($B31,MMWR_TRAD_AGG_STATE_COMP[],H$1,0),"ERROR")</f>
        <v>2576</v>
      </c>
      <c r="I31" s="112">
        <f>IFERROR(VLOOKUP($B31,MMWR_TRAD_AGG_STATE_COMP[],I$1,0),"ERROR")</f>
        <v>783</v>
      </c>
      <c r="J31" s="114">
        <f t="shared" si="1"/>
        <v>0.30395962732919257</v>
      </c>
      <c r="K31" s="111">
        <f>IFERROR(VLOOKUP($B31,MMWR_TRAD_AGG_STATE_COMP[],K$1,0),"ERROR")</f>
        <v>901</v>
      </c>
      <c r="L31" s="112">
        <f>IFERROR(VLOOKUP($B31,MMWR_TRAD_AGG_STATE_COMP[],L$1,0),"ERROR")</f>
        <v>450</v>
      </c>
      <c r="M31" s="114">
        <f t="shared" si="2"/>
        <v>0.49944506104328523</v>
      </c>
      <c r="N31" s="111">
        <f>IFERROR(VLOOKUP($B31,MMWR_TRAD_AGG_STATE_COMP[],N$1,0),"ERROR")</f>
        <v>411</v>
      </c>
      <c r="O31" s="112">
        <f>IFERROR(VLOOKUP($B31,MMWR_TRAD_AGG_STATE_COMP[],O$1,0),"ERROR")</f>
        <v>155</v>
      </c>
      <c r="P31" s="114">
        <f t="shared" si="3"/>
        <v>0.37712895377128952</v>
      </c>
      <c r="Q31" s="115">
        <f>IFERROR(VLOOKUP($B31,MMWR_TRAD_AGG_STATE_COMP[],Q$1,0),"ERROR")</f>
        <v>1</v>
      </c>
      <c r="R31" s="115">
        <f>IFERROR(VLOOKUP($B31,MMWR_TRAD_AGG_STATE_COMP[],R$1,0),"ERROR")</f>
        <v>14</v>
      </c>
      <c r="S31" s="115">
        <f>IFERROR(VLOOKUP($B31,MMWR_APP_STATE_COMP[],S$1,0),"ERROR")</f>
        <v>1580</v>
      </c>
      <c r="T31" s="28"/>
    </row>
    <row r="32" spans="1:20" s="123" customFormat="1" x14ac:dyDescent="0.2">
      <c r="A32" s="107"/>
      <c r="B32" s="127" t="s">
        <v>429</v>
      </c>
      <c r="C32" s="109">
        <f>IFERROR(VLOOKUP($B32,MMWR_TRAD_AGG_STATE_COMP[],C$1,0),"ERROR")</f>
        <v>256</v>
      </c>
      <c r="D32" s="110">
        <f>IFERROR(VLOOKUP($B32,MMWR_TRAD_AGG_STATE_COMP[],D$1,0),"ERROR")</f>
        <v>210.69921875</v>
      </c>
      <c r="E32" s="111">
        <f>IFERROR(VLOOKUP($B32,MMWR_TRAD_AGG_STATE_COMP[],E$1,0),"ERROR")</f>
        <v>678</v>
      </c>
      <c r="F32" s="112">
        <f>IFERROR(VLOOKUP($B32,MMWR_TRAD_AGG_STATE_COMP[],F$1,0),"ERROR")</f>
        <v>137</v>
      </c>
      <c r="G32" s="113">
        <f t="shared" si="0"/>
        <v>0.20206489675516223</v>
      </c>
      <c r="H32" s="111">
        <f>IFERROR(VLOOKUP($B32,MMWR_TRAD_AGG_STATE_COMP[],H$1,0),"ERROR")</f>
        <v>560</v>
      </c>
      <c r="I32" s="112">
        <f>IFERROR(VLOOKUP($B32,MMWR_TRAD_AGG_STATE_COMP[],I$1,0),"ERROR")</f>
        <v>148</v>
      </c>
      <c r="J32" s="114">
        <f t="shared" si="1"/>
        <v>0.26428571428571429</v>
      </c>
      <c r="K32" s="111">
        <f>IFERROR(VLOOKUP($B32,MMWR_TRAD_AGG_STATE_COMP[],K$1,0),"ERROR")</f>
        <v>86</v>
      </c>
      <c r="L32" s="112">
        <f>IFERROR(VLOOKUP($B32,MMWR_TRAD_AGG_STATE_COMP[],L$1,0),"ERROR")</f>
        <v>43</v>
      </c>
      <c r="M32" s="114">
        <f t="shared" si="2"/>
        <v>0.5</v>
      </c>
      <c r="N32" s="111">
        <f>IFERROR(VLOOKUP($B32,MMWR_TRAD_AGG_STATE_COMP[],N$1,0),"ERROR")</f>
        <v>115</v>
      </c>
      <c r="O32" s="112">
        <f>IFERROR(VLOOKUP($B32,MMWR_TRAD_AGG_STATE_COMP[],O$1,0),"ERROR")</f>
        <v>47</v>
      </c>
      <c r="P32" s="114">
        <f t="shared" si="3"/>
        <v>0.40869565217391307</v>
      </c>
      <c r="Q32" s="115">
        <f>IFERROR(VLOOKUP($B32,MMWR_TRAD_AGG_STATE_COMP[],Q$1,0),"ERROR")</f>
        <v>0</v>
      </c>
      <c r="R32" s="115">
        <f>IFERROR(VLOOKUP($B32,MMWR_TRAD_AGG_STATE_COMP[],R$1,0),"ERROR")</f>
        <v>0</v>
      </c>
      <c r="S32" s="115">
        <f>IFERROR(VLOOKUP($B32,MMWR_APP_STATE_COMP[],S$1,0),"ERROR")</f>
        <v>405</v>
      </c>
      <c r="T32" s="28"/>
    </row>
    <row r="33" spans="1:20" s="123" customFormat="1" x14ac:dyDescent="0.2">
      <c r="A33" s="107"/>
      <c r="B33" s="127" t="s">
        <v>401</v>
      </c>
      <c r="C33" s="109">
        <f>IFERROR(VLOOKUP($B33,MMWR_TRAD_AGG_STATE_COMP[],C$1,0),"ERROR")</f>
        <v>8749</v>
      </c>
      <c r="D33" s="110">
        <f>IFERROR(VLOOKUP($B33,MMWR_TRAD_AGG_STATE_COMP[],D$1,0),"ERROR")</f>
        <v>487.27008801009998</v>
      </c>
      <c r="E33" s="111">
        <f>IFERROR(VLOOKUP($B33,MMWR_TRAD_AGG_STATE_COMP[],E$1,0),"ERROR")</f>
        <v>8462</v>
      </c>
      <c r="F33" s="112">
        <f>IFERROR(VLOOKUP($B33,MMWR_TRAD_AGG_STATE_COMP[],F$1,0),"ERROR")</f>
        <v>2169</v>
      </c>
      <c r="G33" s="113">
        <f t="shared" si="0"/>
        <v>0.25632238241550459</v>
      </c>
      <c r="H33" s="111">
        <f>IFERROR(VLOOKUP($B33,MMWR_TRAD_AGG_STATE_COMP[],H$1,0),"ERROR")</f>
        <v>12289</v>
      </c>
      <c r="I33" s="112">
        <f>IFERROR(VLOOKUP($B33,MMWR_TRAD_AGG_STATE_COMP[],I$1,0),"ERROR")</f>
        <v>8963</v>
      </c>
      <c r="J33" s="114">
        <f t="shared" si="1"/>
        <v>0.72935145251851252</v>
      </c>
      <c r="K33" s="111">
        <f>IFERROR(VLOOKUP($B33,MMWR_TRAD_AGG_STATE_COMP[],K$1,0),"ERROR")</f>
        <v>1622</v>
      </c>
      <c r="L33" s="112">
        <f>IFERROR(VLOOKUP($B33,MMWR_TRAD_AGG_STATE_COMP[],L$1,0),"ERROR")</f>
        <v>1492</v>
      </c>
      <c r="M33" s="114">
        <f t="shared" si="2"/>
        <v>0.91985203452527742</v>
      </c>
      <c r="N33" s="111">
        <f>IFERROR(VLOOKUP($B33,MMWR_TRAD_AGG_STATE_COMP[],N$1,0),"ERROR")</f>
        <v>5987</v>
      </c>
      <c r="O33" s="112">
        <f>IFERROR(VLOOKUP($B33,MMWR_TRAD_AGG_STATE_COMP[],O$1,0),"ERROR")</f>
        <v>3470</v>
      </c>
      <c r="P33" s="114">
        <f t="shared" si="3"/>
        <v>0.57958910973776512</v>
      </c>
      <c r="Q33" s="115">
        <f>IFERROR(VLOOKUP($B33,MMWR_TRAD_AGG_STATE_COMP[],Q$1,0),"ERROR")</f>
        <v>44</v>
      </c>
      <c r="R33" s="115">
        <f>IFERROR(VLOOKUP($B33,MMWR_TRAD_AGG_STATE_COMP[],R$1,0),"ERROR")</f>
        <v>340</v>
      </c>
      <c r="S33" s="115">
        <f>IFERROR(VLOOKUP($B33,MMWR_APP_STATE_COMP[],S$1,0),"ERROR")</f>
        <v>14003</v>
      </c>
      <c r="T33" s="28"/>
    </row>
    <row r="34" spans="1:20" s="123" customFormat="1" x14ac:dyDescent="0.2">
      <c r="A34" s="107"/>
      <c r="B34" s="127" t="s">
        <v>430</v>
      </c>
      <c r="C34" s="109">
        <f>IFERROR(VLOOKUP($B34,MMWR_TRAD_AGG_STATE_COMP[],C$1,0),"ERROR")</f>
        <v>480</v>
      </c>
      <c r="D34" s="110">
        <f>IFERROR(VLOOKUP($B34,MMWR_TRAD_AGG_STATE_COMP[],D$1,0),"ERROR")</f>
        <v>207.8125</v>
      </c>
      <c r="E34" s="111">
        <f>IFERROR(VLOOKUP($B34,MMWR_TRAD_AGG_STATE_COMP[],E$1,0),"ERROR")</f>
        <v>911</v>
      </c>
      <c r="F34" s="112">
        <f>IFERROR(VLOOKUP($B34,MMWR_TRAD_AGG_STATE_COMP[],F$1,0),"ERROR")</f>
        <v>232</v>
      </c>
      <c r="G34" s="113">
        <f t="shared" si="0"/>
        <v>0.25466520307354557</v>
      </c>
      <c r="H34" s="111">
        <f>IFERROR(VLOOKUP($B34,MMWR_TRAD_AGG_STATE_COMP[],H$1,0),"ERROR")</f>
        <v>1176</v>
      </c>
      <c r="I34" s="112">
        <f>IFERROR(VLOOKUP($B34,MMWR_TRAD_AGG_STATE_COMP[],I$1,0),"ERROR")</f>
        <v>253</v>
      </c>
      <c r="J34" s="114">
        <f t="shared" si="1"/>
        <v>0.2151360544217687</v>
      </c>
      <c r="K34" s="111">
        <f>IFERROR(VLOOKUP($B34,MMWR_TRAD_AGG_STATE_COMP[],K$1,0),"ERROR")</f>
        <v>421</v>
      </c>
      <c r="L34" s="112">
        <f>IFERROR(VLOOKUP($B34,MMWR_TRAD_AGG_STATE_COMP[],L$1,0),"ERROR")</f>
        <v>114</v>
      </c>
      <c r="M34" s="114">
        <f t="shared" si="2"/>
        <v>0.27078384798099764</v>
      </c>
      <c r="N34" s="111">
        <f>IFERROR(VLOOKUP($B34,MMWR_TRAD_AGG_STATE_COMP[],N$1,0),"ERROR")</f>
        <v>127</v>
      </c>
      <c r="O34" s="112">
        <f>IFERROR(VLOOKUP($B34,MMWR_TRAD_AGG_STATE_COMP[],O$1,0),"ERROR")</f>
        <v>54</v>
      </c>
      <c r="P34" s="114">
        <f t="shared" si="3"/>
        <v>0.42519685039370081</v>
      </c>
      <c r="Q34" s="115">
        <f>IFERROR(VLOOKUP($B34,MMWR_TRAD_AGG_STATE_COMP[],Q$1,0),"ERROR")</f>
        <v>1</v>
      </c>
      <c r="R34" s="115">
        <f>IFERROR(VLOOKUP($B34,MMWR_TRAD_AGG_STATE_COMP[],R$1,0),"ERROR")</f>
        <v>2</v>
      </c>
      <c r="S34" s="115">
        <f>IFERROR(VLOOKUP($B34,MMWR_APP_STATE_COMP[],S$1,0),"ERROR")</f>
        <v>198</v>
      </c>
      <c r="T34" s="28"/>
    </row>
    <row r="35" spans="1:20" s="123" customFormat="1" x14ac:dyDescent="0.2">
      <c r="A35" s="107"/>
      <c r="B35" s="127" t="s">
        <v>406</v>
      </c>
      <c r="C35" s="109">
        <f>IFERROR(VLOOKUP($B35,MMWR_TRAD_AGG_STATE_COMP[],C$1,0),"ERROR")</f>
        <v>5036</v>
      </c>
      <c r="D35" s="110">
        <f>IFERROR(VLOOKUP($B35,MMWR_TRAD_AGG_STATE_COMP[],D$1,0),"ERROR")</f>
        <v>237.5228355838</v>
      </c>
      <c r="E35" s="111">
        <f>IFERROR(VLOOKUP($B35,MMWR_TRAD_AGG_STATE_COMP[],E$1,0),"ERROR")</f>
        <v>3922</v>
      </c>
      <c r="F35" s="112">
        <f>IFERROR(VLOOKUP($B35,MMWR_TRAD_AGG_STATE_COMP[],F$1,0),"ERROR")</f>
        <v>969</v>
      </c>
      <c r="G35" s="113">
        <f t="shared" si="0"/>
        <v>0.24706782253952064</v>
      </c>
      <c r="H35" s="111">
        <f>IFERROR(VLOOKUP($B35,MMWR_TRAD_AGG_STATE_COMP[],H$1,0),"ERROR")</f>
        <v>6830</v>
      </c>
      <c r="I35" s="112">
        <f>IFERROR(VLOOKUP($B35,MMWR_TRAD_AGG_STATE_COMP[],I$1,0),"ERROR")</f>
        <v>3509</v>
      </c>
      <c r="J35" s="114">
        <f t="shared" si="1"/>
        <v>0.5137628111273792</v>
      </c>
      <c r="K35" s="111">
        <f>IFERROR(VLOOKUP($B35,MMWR_TRAD_AGG_STATE_COMP[],K$1,0),"ERROR")</f>
        <v>334</v>
      </c>
      <c r="L35" s="112">
        <f>IFERROR(VLOOKUP($B35,MMWR_TRAD_AGG_STATE_COMP[],L$1,0),"ERROR")</f>
        <v>259</v>
      </c>
      <c r="M35" s="114">
        <f t="shared" si="2"/>
        <v>0.77544910179640714</v>
      </c>
      <c r="N35" s="111">
        <f>IFERROR(VLOOKUP($B35,MMWR_TRAD_AGG_STATE_COMP[],N$1,0),"ERROR")</f>
        <v>748</v>
      </c>
      <c r="O35" s="112">
        <f>IFERROR(VLOOKUP($B35,MMWR_TRAD_AGG_STATE_COMP[],O$1,0),"ERROR")</f>
        <v>394</v>
      </c>
      <c r="P35" s="114">
        <f t="shared" si="3"/>
        <v>0.5267379679144385</v>
      </c>
      <c r="Q35" s="115">
        <f>IFERROR(VLOOKUP($B35,MMWR_TRAD_AGG_STATE_COMP[],Q$1,0),"ERROR")</f>
        <v>7</v>
      </c>
      <c r="R35" s="115">
        <f>IFERROR(VLOOKUP($B35,MMWR_TRAD_AGG_STATE_COMP[],R$1,0),"ERROR")</f>
        <v>9</v>
      </c>
      <c r="S35" s="115">
        <f>IFERROR(VLOOKUP($B35,MMWR_APP_STATE_COMP[],S$1,0),"ERROR")</f>
        <v>3224</v>
      </c>
      <c r="T35" s="28"/>
    </row>
    <row r="36" spans="1:20" s="123" customFormat="1" x14ac:dyDescent="0.2">
      <c r="A36" s="28"/>
      <c r="B36" s="126" t="s">
        <v>395</v>
      </c>
      <c r="C36" s="102">
        <f>IF(SUM(C37:C45)&lt;&gt;VLOOKUP($B36,MMWR_TRAD_AGG_ST_DISTRICT_COMP[],C$1,0),"ERROR",
VLOOKUP($B36,MMWR_TRAD_AGG_ST_DISTRICT_COMP[],C$1,0))</f>
        <v>66116</v>
      </c>
      <c r="D36" s="103">
        <f>IFERROR(VLOOKUP($B36,MMWR_TRAD_AGG_ST_DISTRICT_COMP[],D$1,0),"ERROR")</f>
        <v>344.5393701978</v>
      </c>
      <c r="E36" s="102">
        <f>IFERROR(VLOOKUP($B36,MMWR_TRAD_AGG_ST_DISTRICT_COMP[],E$1,0),"ERROR")</f>
        <v>69620</v>
      </c>
      <c r="F36" s="102">
        <f>IFERROR(VLOOKUP($B36,MMWR_TRAD_AGG_ST_DISTRICT_COMP[],F$1,0),"ERROR")</f>
        <v>18080</v>
      </c>
      <c r="G36" s="104">
        <f t="shared" si="0"/>
        <v>0.25969548980178109</v>
      </c>
      <c r="H36" s="102">
        <f>IFERROR(VLOOKUP($B36,MMWR_TRAD_AGG_ST_DISTRICT_COMP[],H$1,0),"ERROR")</f>
        <v>94524</v>
      </c>
      <c r="I36" s="102">
        <f>IFERROR(VLOOKUP($B36,MMWR_TRAD_AGG_ST_DISTRICT_COMP[],I$1,0),"ERROR")</f>
        <v>54018</v>
      </c>
      <c r="J36" s="105">
        <f t="shared" si="1"/>
        <v>0.57147391138758408</v>
      </c>
      <c r="K36" s="102">
        <f>IFERROR(VLOOKUP($B36,MMWR_TRAD_AGG_ST_DISTRICT_COMP[],K$1,0),"ERROR")</f>
        <v>13616</v>
      </c>
      <c r="L36" s="102">
        <f>IFERROR(VLOOKUP($B36,MMWR_TRAD_AGG_ST_DISTRICT_COMP[],L$1,0),"ERROR")</f>
        <v>9727</v>
      </c>
      <c r="M36" s="105">
        <f t="shared" si="2"/>
        <v>0.71438014101057579</v>
      </c>
      <c r="N36" s="102">
        <f>IFERROR(VLOOKUP($B36,MMWR_TRAD_AGG_ST_DISTRICT_COMP[],N$1,0),"ERROR")</f>
        <v>23449</v>
      </c>
      <c r="O36" s="102">
        <f>IFERROR(VLOOKUP($B36,MMWR_TRAD_AGG_ST_DISTRICT_COMP[],O$1,0),"ERROR")</f>
        <v>14061</v>
      </c>
      <c r="P36" s="105">
        <f t="shared" si="3"/>
        <v>0.59964177576868949</v>
      </c>
      <c r="Q36" s="102">
        <f>IFERROR(VLOOKUP($B36,MMWR_TRAD_AGG_ST_DISTRICT_COMP[],Q$1,0),"ERROR")</f>
        <v>90</v>
      </c>
      <c r="R36" s="106">
        <f>IFERROR(VLOOKUP($B36,MMWR_TRAD_AGG_ST_DISTRICT_COMP[],R$1,0),"ERROR")</f>
        <v>1197</v>
      </c>
      <c r="S36" s="106">
        <f>SUM(S37:S45)</f>
        <v>67200</v>
      </c>
      <c r="T36" s="28"/>
    </row>
    <row r="37" spans="1:20" s="123" customFormat="1" x14ac:dyDescent="0.2">
      <c r="A37" s="28"/>
      <c r="B37" s="127" t="s">
        <v>421</v>
      </c>
      <c r="C37" s="109">
        <f>IFERROR(VLOOKUP($B37,MMWR_TRAD_AGG_STATE_COMP[],C$1,0),"ERROR")</f>
        <v>5387</v>
      </c>
      <c r="D37" s="110">
        <f>IFERROR(VLOOKUP($B37,MMWR_TRAD_AGG_STATE_COMP[],D$1,0),"ERROR")</f>
        <v>343.10506775570002</v>
      </c>
      <c r="E37" s="111">
        <f>IFERROR(VLOOKUP($B37,MMWR_TRAD_AGG_STATE_COMP[],E$1,0),"ERROR")</f>
        <v>3730</v>
      </c>
      <c r="F37" s="112">
        <f>IFERROR(VLOOKUP($B37,MMWR_TRAD_AGG_STATE_COMP[],F$1,0),"ERROR")</f>
        <v>651</v>
      </c>
      <c r="G37" s="113">
        <f t="shared" si="0"/>
        <v>0.1745308310991957</v>
      </c>
      <c r="H37" s="111">
        <f>IFERROR(VLOOKUP($B37,MMWR_TRAD_AGG_STATE_COMP[],H$1,0),"ERROR")</f>
        <v>7589</v>
      </c>
      <c r="I37" s="112">
        <f>IFERROR(VLOOKUP($B37,MMWR_TRAD_AGG_STATE_COMP[],I$1,0),"ERROR")</f>
        <v>4339</v>
      </c>
      <c r="J37" s="114">
        <f t="shared" si="1"/>
        <v>0.57174858347608382</v>
      </c>
      <c r="K37" s="111">
        <f>IFERROR(VLOOKUP($B37,MMWR_TRAD_AGG_STATE_COMP[],K$1,0),"ERROR")</f>
        <v>2256</v>
      </c>
      <c r="L37" s="112">
        <f>IFERROR(VLOOKUP($B37,MMWR_TRAD_AGG_STATE_COMP[],L$1,0),"ERROR")</f>
        <v>1520</v>
      </c>
      <c r="M37" s="114">
        <f t="shared" si="2"/>
        <v>0.67375886524822692</v>
      </c>
      <c r="N37" s="111">
        <f>IFERROR(VLOOKUP($B37,MMWR_TRAD_AGG_STATE_COMP[],N$1,0),"ERROR")</f>
        <v>3793</v>
      </c>
      <c r="O37" s="112">
        <f>IFERROR(VLOOKUP($B37,MMWR_TRAD_AGG_STATE_COMP[],O$1,0),"ERROR")</f>
        <v>2824</v>
      </c>
      <c r="P37" s="114">
        <f t="shared" si="3"/>
        <v>0.74452939625626158</v>
      </c>
      <c r="Q37" s="115">
        <f>IFERROR(VLOOKUP($B37,MMWR_TRAD_AGG_STATE_COMP[],Q$1,0),"ERROR")</f>
        <v>7</v>
      </c>
      <c r="R37" s="115">
        <f>IFERROR(VLOOKUP($B37,MMWR_TRAD_AGG_STATE_COMP[],R$1,0),"ERROR")</f>
        <v>154</v>
      </c>
      <c r="S37" s="115">
        <f>IFERROR(VLOOKUP($B37,MMWR_APP_STATE_COMP[],S$1,0),"ERROR")</f>
        <v>5364</v>
      </c>
      <c r="T37" s="28"/>
    </row>
    <row r="38" spans="1:20" s="123" customFormat="1" x14ac:dyDescent="0.2">
      <c r="A38" s="28"/>
      <c r="B38" s="127" t="s">
        <v>413</v>
      </c>
      <c r="C38" s="109">
        <f>IFERROR(VLOOKUP($B38,MMWR_TRAD_AGG_STATE_COMP[],C$1,0),"ERROR")</f>
        <v>7720</v>
      </c>
      <c r="D38" s="110">
        <f>IFERROR(VLOOKUP($B38,MMWR_TRAD_AGG_STATE_COMP[],D$1,0),"ERROR")</f>
        <v>394.92836787559997</v>
      </c>
      <c r="E38" s="111">
        <f>IFERROR(VLOOKUP($B38,MMWR_TRAD_AGG_STATE_COMP[],E$1,0),"ERROR")</f>
        <v>7358</v>
      </c>
      <c r="F38" s="112">
        <f>IFERROR(VLOOKUP($B38,MMWR_TRAD_AGG_STATE_COMP[],F$1,0),"ERROR")</f>
        <v>2316</v>
      </c>
      <c r="G38" s="113">
        <f t="shared" ref="G38:G64" si="4">IFERROR(F38/E38,"0%")</f>
        <v>0.31475944550149498</v>
      </c>
      <c r="H38" s="111">
        <f>IFERROR(VLOOKUP($B38,MMWR_TRAD_AGG_STATE_COMP[],H$1,0),"ERROR")</f>
        <v>10411</v>
      </c>
      <c r="I38" s="112">
        <f>IFERROR(VLOOKUP($B38,MMWR_TRAD_AGG_STATE_COMP[],I$1,0),"ERROR")</f>
        <v>6741</v>
      </c>
      <c r="J38" s="114">
        <f t="shared" ref="J38:J64" si="5">IFERROR(I38/H38,"0%")</f>
        <v>0.64748823359907792</v>
      </c>
      <c r="K38" s="111">
        <f>IFERROR(VLOOKUP($B38,MMWR_TRAD_AGG_STATE_COMP[],K$1,0),"ERROR")</f>
        <v>2114</v>
      </c>
      <c r="L38" s="112">
        <f>IFERROR(VLOOKUP($B38,MMWR_TRAD_AGG_STATE_COMP[],L$1,0),"ERROR")</f>
        <v>1723</v>
      </c>
      <c r="M38" s="114">
        <f t="shared" ref="M38:M64" si="6">IFERROR(L38/K38,"0%")</f>
        <v>0.81504257332071905</v>
      </c>
      <c r="N38" s="111">
        <f>IFERROR(VLOOKUP($B38,MMWR_TRAD_AGG_STATE_COMP[],N$1,0),"ERROR")</f>
        <v>4767</v>
      </c>
      <c r="O38" s="112">
        <f>IFERROR(VLOOKUP($B38,MMWR_TRAD_AGG_STATE_COMP[],O$1,0),"ERROR")</f>
        <v>3436</v>
      </c>
      <c r="P38" s="114">
        <f t="shared" ref="P38:P64" si="7">IFERROR(O38/N38,"0%")</f>
        <v>0.72078875603104675</v>
      </c>
      <c r="Q38" s="115">
        <f>IFERROR(VLOOKUP($B38,MMWR_TRAD_AGG_STATE_COMP[],Q$1,0),"ERROR")</f>
        <v>10</v>
      </c>
      <c r="R38" s="115">
        <f>IFERROR(VLOOKUP($B38,MMWR_TRAD_AGG_STATE_COMP[],R$1,0),"ERROR")</f>
        <v>71</v>
      </c>
      <c r="S38" s="115">
        <f>IFERROR(VLOOKUP($B38,MMWR_APP_STATE_COMP[],S$1,0),"ERROR")</f>
        <v>6037</v>
      </c>
      <c r="T38" s="28"/>
    </row>
    <row r="39" spans="1:20" s="123" customFormat="1" x14ac:dyDescent="0.2">
      <c r="A39" s="28"/>
      <c r="B39" s="127" t="s">
        <v>397</v>
      </c>
      <c r="C39" s="109">
        <f>IFERROR(VLOOKUP($B39,MMWR_TRAD_AGG_STATE_COMP[],C$1,0),"ERROR")</f>
        <v>6653</v>
      </c>
      <c r="D39" s="110">
        <f>IFERROR(VLOOKUP($B39,MMWR_TRAD_AGG_STATE_COMP[],D$1,0),"ERROR")</f>
        <v>398.90906358030003</v>
      </c>
      <c r="E39" s="111">
        <f>IFERROR(VLOOKUP($B39,MMWR_TRAD_AGG_STATE_COMP[],E$1,0),"ERROR")</f>
        <v>5967</v>
      </c>
      <c r="F39" s="112">
        <f>IFERROR(VLOOKUP($B39,MMWR_TRAD_AGG_STATE_COMP[],F$1,0),"ERROR")</f>
        <v>1440</v>
      </c>
      <c r="G39" s="113">
        <f t="shared" si="4"/>
        <v>0.24132730015082957</v>
      </c>
      <c r="H39" s="111">
        <f>IFERROR(VLOOKUP($B39,MMWR_TRAD_AGG_STATE_COMP[],H$1,0),"ERROR")</f>
        <v>9392</v>
      </c>
      <c r="I39" s="112">
        <f>IFERROR(VLOOKUP($B39,MMWR_TRAD_AGG_STATE_COMP[],I$1,0),"ERROR")</f>
        <v>5730</v>
      </c>
      <c r="J39" s="114">
        <f t="shared" si="5"/>
        <v>0.61009369676320269</v>
      </c>
      <c r="K39" s="111">
        <f>IFERROR(VLOOKUP($B39,MMWR_TRAD_AGG_STATE_COMP[],K$1,0),"ERROR")</f>
        <v>770</v>
      </c>
      <c r="L39" s="112">
        <f>IFERROR(VLOOKUP($B39,MMWR_TRAD_AGG_STATE_COMP[],L$1,0),"ERROR")</f>
        <v>547</v>
      </c>
      <c r="M39" s="114">
        <f t="shared" si="6"/>
        <v>0.71038961038961035</v>
      </c>
      <c r="N39" s="111">
        <f>IFERROR(VLOOKUP($B39,MMWR_TRAD_AGG_STATE_COMP[],N$1,0),"ERROR")</f>
        <v>1424</v>
      </c>
      <c r="O39" s="112">
        <f>IFERROR(VLOOKUP($B39,MMWR_TRAD_AGG_STATE_COMP[],O$1,0),"ERROR")</f>
        <v>605</v>
      </c>
      <c r="P39" s="114">
        <f t="shared" si="7"/>
        <v>0.42485955056179775</v>
      </c>
      <c r="Q39" s="115">
        <f>IFERROR(VLOOKUP($B39,MMWR_TRAD_AGG_STATE_COMP[],Q$1,0),"ERROR")</f>
        <v>7</v>
      </c>
      <c r="R39" s="115">
        <f>IFERROR(VLOOKUP($B39,MMWR_TRAD_AGG_STATE_COMP[],R$1,0),"ERROR")</f>
        <v>299</v>
      </c>
      <c r="S39" s="115">
        <f>IFERROR(VLOOKUP($B39,MMWR_APP_STATE_COMP[],S$1,0),"ERROR")</f>
        <v>5966</v>
      </c>
      <c r="T39" s="28"/>
    </row>
    <row r="40" spans="1:20" s="123" customFormat="1" x14ac:dyDescent="0.2">
      <c r="A40" s="28"/>
      <c r="B40" s="127" t="s">
        <v>399</v>
      </c>
      <c r="C40" s="109">
        <f>IFERROR(VLOOKUP($B40,MMWR_TRAD_AGG_STATE_COMP[],C$1,0),"ERROR")</f>
        <v>5076</v>
      </c>
      <c r="D40" s="110">
        <f>IFERROR(VLOOKUP($B40,MMWR_TRAD_AGG_STATE_COMP[],D$1,0),"ERROR")</f>
        <v>375.32131599680002</v>
      </c>
      <c r="E40" s="111">
        <f>IFERROR(VLOOKUP($B40,MMWR_TRAD_AGG_STATE_COMP[],E$1,0),"ERROR")</f>
        <v>4138</v>
      </c>
      <c r="F40" s="112">
        <f>IFERROR(VLOOKUP($B40,MMWR_TRAD_AGG_STATE_COMP[],F$1,0),"ERROR")</f>
        <v>1184</v>
      </c>
      <c r="G40" s="113">
        <f t="shared" si="4"/>
        <v>0.2861285645239246</v>
      </c>
      <c r="H40" s="111">
        <f>IFERROR(VLOOKUP($B40,MMWR_TRAD_AGG_STATE_COMP[],H$1,0),"ERROR")</f>
        <v>7159</v>
      </c>
      <c r="I40" s="112">
        <f>IFERROR(VLOOKUP($B40,MMWR_TRAD_AGG_STATE_COMP[],I$1,0),"ERROR")</f>
        <v>4839</v>
      </c>
      <c r="J40" s="114">
        <f t="shared" si="5"/>
        <v>0.67593239279228945</v>
      </c>
      <c r="K40" s="111">
        <f>IFERROR(VLOOKUP($B40,MMWR_TRAD_AGG_STATE_COMP[],K$1,0),"ERROR")</f>
        <v>1018</v>
      </c>
      <c r="L40" s="112">
        <f>IFERROR(VLOOKUP($B40,MMWR_TRAD_AGG_STATE_COMP[],L$1,0),"ERROR")</f>
        <v>856</v>
      </c>
      <c r="M40" s="114">
        <f t="shared" si="6"/>
        <v>0.84086444007858541</v>
      </c>
      <c r="N40" s="111">
        <f>IFERROR(VLOOKUP($B40,MMWR_TRAD_AGG_STATE_COMP[],N$1,0),"ERROR")</f>
        <v>2281</v>
      </c>
      <c r="O40" s="112">
        <f>IFERROR(VLOOKUP($B40,MMWR_TRAD_AGG_STATE_COMP[],O$1,0),"ERROR")</f>
        <v>1355</v>
      </c>
      <c r="P40" s="114">
        <f t="shared" si="7"/>
        <v>0.59403770276194656</v>
      </c>
      <c r="Q40" s="115">
        <f>IFERROR(VLOOKUP($B40,MMWR_TRAD_AGG_STATE_COMP[],Q$1,0),"ERROR")</f>
        <v>10</v>
      </c>
      <c r="R40" s="115">
        <f>IFERROR(VLOOKUP($B40,MMWR_TRAD_AGG_STATE_COMP[],R$1,0),"ERROR")</f>
        <v>145</v>
      </c>
      <c r="S40" s="115">
        <f>IFERROR(VLOOKUP($B40,MMWR_APP_STATE_COMP[],S$1,0),"ERROR")</f>
        <v>4553</v>
      </c>
      <c r="T40" s="28"/>
    </row>
    <row r="41" spans="1:20" s="123" customFormat="1" x14ac:dyDescent="0.2">
      <c r="A41" s="28"/>
      <c r="B41" s="127" t="s">
        <v>428</v>
      </c>
      <c r="C41" s="109">
        <f>IFERROR(VLOOKUP($B41,MMWR_TRAD_AGG_STATE_COMP[],C$1,0),"ERROR")</f>
        <v>1083</v>
      </c>
      <c r="D41" s="110">
        <f>IFERROR(VLOOKUP($B41,MMWR_TRAD_AGG_STATE_COMP[],D$1,0),"ERROR")</f>
        <v>242.62326869809999</v>
      </c>
      <c r="E41" s="111">
        <f>IFERROR(VLOOKUP($B41,MMWR_TRAD_AGG_STATE_COMP[],E$1,0),"ERROR")</f>
        <v>953</v>
      </c>
      <c r="F41" s="112">
        <f>IFERROR(VLOOKUP($B41,MMWR_TRAD_AGG_STATE_COMP[],F$1,0),"ERROR")</f>
        <v>109</v>
      </c>
      <c r="G41" s="113">
        <f t="shared" si="4"/>
        <v>0.11437565582371459</v>
      </c>
      <c r="H41" s="111">
        <f>IFERROR(VLOOKUP($B41,MMWR_TRAD_AGG_STATE_COMP[],H$1,0),"ERROR")</f>
        <v>1795</v>
      </c>
      <c r="I41" s="112">
        <f>IFERROR(VLOOKUP($B41,MMWR_TRAD_AGG_STATE_COMP[],I$1,0),"ERROR")</f>
        <v>739</v>
      </c>
      <c r="J41" s="114">
        <f t="shared" si="5"/>
        <v>0.41169916434540388</v>
      </c>
      <c r="K41" s="111">
        <f>IFERROR(VLOOKUP($B41,MMWR_TRAD_AGG_STATE_COMP[],K$1,0),"ERROR")</f>
        <v>450</v>
      </c>
      <c r="L41" s="112">
        <f>IFERROR(VLOOKUP($B41,MMWR_TRAD_AGG_STATE_COMP[],L$1,0),"ERROR")</f>
        <v>219</v>
      </c>
      <c r="M41" s="114">
        <f t="shared" si="6"/>
        <v>0.48666666666666669</v>
      </c>
      <c r="N41" s="111">
        <f>IFERROR(VLOOKUP($B41,MMWR_TRAD_AGG_STATE_COMP[],N$1,0),"ERROR")</f>
        <v>188</v>
      </c>
      <c r="O41" s="112">
        <f>IFERROR(VLOOKUP($B41,MMWR_TRAD_AGG_STATE_COMP[],O$1,0),"ERROR")</f>
        <v>86</v>
      </c>
      <c r="P41" s="114">
        <f t="shared" si="7"/>
        <v>0.45744680851063829</v>
      </c>
      <c r="Q41" s="115">
        <f>IFERROR(VLOOKUP($B41,MMWR_TRAD_AGG_STATE_COMP[],Q$1,0),"ERROR")</f>
        <v>4</v>
      </c>
      <c r="R41" s="115">
        <f>IFERROR(VLOOKUP($B41,MMWR_TRAD_AGG_STATE_COMP[],R$1,0),"ERROR")</f>
        <v>5</v>
      </c>
      <c r="S41" s="115">
        <f>IFERROR(VLOOKUP($B41,MMWR_APP_STATE_COMP[],S$1,0),"ERROR")</f>
        <v>316</v>
      </c>
      <c r="T41" s="28"/>
    </row>
    <row r="42" spans="1:20" s="123" customFormat="1" x14ac:dyDescent="0.2">
      <c r="A42" s="28"/>
      <c r="B42" s="127" t="s">
        <v>422</v>
      </c>
      <c r="C42" s="109">
        <f>IFERROR(VLOOKUP($B42,MMWR_TRAD_AGG_STATE_COMP[],C$1,0),"ERROR")</f>
        <v>4396</v>
      </c>
      <c r="D42" s="110">
        <f>IFERROR(VLOOKUP($B42,MMWR_TRAD_AGG_STATE_COMP[],D$1,0),"ERROR")</f>
        <v>281.97565969060003</v>
      </c>
      <c r="E42" s="111">
        <f>IFERROR(VLOOKUP($B42,MMWR_TRAD_AGG_STATE_COMP[],E$1,0),"ERROR")</f>
        <v>7219</v>
      </c>
      <c r="F42" s="112">
        <f>IFERROR(VLOOKUP($B42,MMWR_TRAD_AGG_STATE_COMP[],F$1,0),"ERROR")</f>
        <v>1552</v>
      </c>
      <c r="G42" s="113">
        <f t="shared" si="4"/>
        <v>0.21498822551599944</v>
      </c>
      <c r="H42" s="111">
        <f>IFERROR(VLOOKUP($B42,MMWR_TRAD_AGG_STATE_COMP[],H$1,0),"ERROR")</f>
        <v>7222</v>
      </c>
      <c r="I42" s="112">
        <f>IFERROR(VLOOKUP($B42,MMWR_TRAD_AGG_STATE_COMP[],I$1,0),"ERROR")</f>
        <v>2934</v>
      </c>
      <c r="J42" s="114">
        <f t="shared" si="5"/>
        <v>0.40625865411243423</v>
      </c>
      <c r="K42" s="111">
        <f>IFERROR(VLOOKUP($B42,MMWR_TRAD_AGG_STATE_COMP[],K$1,0),"ERROR")</f>
        <v>1152</v>
      </c>
      <c r="L42" s="112">
        <f>IFERROR(VLOOKUP($B42,MMWR_TRAD_AGG_STATE_COMP[],L$1,0),"ERROR")</f>
        <v>613</v>
      </c>
      <c r="M42" s="114">
        <f t="shared" si="6"/>
        <v>0.53211805555555558</v>
      </c>
      <c r="N42" s="111">
        <f>IFERROR(VLOOKUP($B42,MMWR_TRAD_AGG_STATE_COMP[],N$1,0),"ERROR")</f>
        <v>1235</v>
      </c>
      <c r="O42" s="112">
        <f>IFERROR(VLOOKUP($B42,MMWR_TRAD_AGG_STATE_COMP[],O$1,0),"ERROR")</f>
        <v>461</v>
      </c>
      <c r="P42" s="114">
        <f t="shared" si="7"/>
        <v>0.37327935222672065</v>
      </c>
      <c r="Q42" s="115">
        <f>IFERROR(VLOOKUP($B42,MMWR_TRAD_AGG_STATE_COMP[],Q$1,0),"ERROR")</f>
        <v>5</v>
      </c>
      <c r="R42" s="115">
        <f>IFERROR(VLOOKUP($B42,MMWR_TRAD_AGG_STATE_COMP[],R$1,0),"ERROR")</f>
        <v>65</v>
      </c>
      <c r="S42" s="115">
        <f>IFERROR(VLOOKUP($B42,MMWR_APP_STATE_COMP[],S$1,0),"ERROR")</f>
        <v>4308</v>
      </c>
      <c r="T42" s="28"/>
    </row>
    <row r="43" spans="1:20" s="123" customFormat="1" x14ac:dyDescent="0.2">
      <c r="A43" s="28"/>
      <c r="B43" s="127" t="s">
        <v>420</v>
      </c>
      <c r="C43" s="109">
        <f>IFERROR(VLOOKUP($B43,MMWR_TRAD_AGG_STATE_COMP[],C$1,0),"ERROR")</f>
        <v>32841</v>
      </c>
      <c r="D43" s="110">
        <f>IFERROR(VLOOKUP($B43,MMWR_TRAD_AGG_STATE_COMP[],D$1,0),"ERROR")</f>
        <v>332.43768460159998</v>
      </c>
      <c r="E43" s="111">
        <f>IFERROR(VLOOKUP($B43,MMWR_TRAD_AGG_STATE_COMP[],E$1,0),"ERROR")</f>
        <v>37441</v>
      </c>
      <c r="F43" s="112">
        <f>IFERROR(VLOOKUP($B43,MMWR_TRAD_AGG_STATE_COMP[],F$1,0),"ERROR")</f>
        <v>10166</v>
      </c>
      <c r="G43" s="113">
        <f t="shared" si="4"/>
        <v>0.27152052562698648</v>
      </c>
      <c r="H43" s="111">
        <f>IFERROR(VLOOKUP($B43,MMWR_TRAD_AGG_STATE_COMP[],H$1,0),"ERROR")</f>
        <v>46171</v>
      </c>
      <c r="I43" s="112">
        <f>IFERROR(VLOOKUP($B43,MMWR_TRAD_AGG_STATE_COMP[],I$1,0),"ERROR")</f>
        <v>26346</v>
      </c>
      <c r="J43" s="114">
        <f t="shared" si="5"/>
        <v>0.57061792033960712</v>
      </c>
      <c r="K43" s="111">
        <f>IFERROR(VLOOKUP($B43,MMWR_TRAD_AGG_STATE_COMP[],K$1,0),"ERROR")</f>
        <v>5093</v>
      </c>
      <c r="L43" s="112">
        <f>IFERROR(VLOOKUP($B43,MMWR_TRAD_AGG_STATE_COMP[],L$1,0),"ERROR")</f>
        <v>3692</v>
      </c>
      <c r="M43" s="114">
        <f t="shared" si="6"/>
        <v>0.72491655213037498</v>
      </c>
      <c r="N43" s="111">
        <f>IFERROR(VLOOKUP($B43,MMWR_TRAD_AGG_STATE_COMP[],N$1,0),"ERROR")</f>
        <v>9353</v>
      </c>
      <c r="O43" s="112">
        <f>IFERROR(VLOOKUP($B43,MMWR_TRAD_AGG_STATE_COMP[],O$1,0),"ERROR")</f>
        <v>5098</v>
      </c>
      <c r="P43" s="114">
        <f t="shared" si="7"/>
        <v>0.54506575430343207</v>
      </c>
      <c r="Q43" s="115">
        <f>IFERROR(VLOOKUP($B43,MMWR_TRAD_AGG_STATE_COMP[],Q$1,0),"ERROR")</f>
        <v>29</v>
      </c>
      <c r="R43" s="115">
        <f>IFERROR(VLOOKUP($B43,MMWR_TRAD_AGG_STATE_COMP[],R$1,0),"ERROR")</f>
        <v>447</v>
      </c>
      <c r="S43" s="115">
        <f>IFERROR(VLOOKUP($B43,MMWR_APP_STATE_COMP[],S$1,0),"ERROR")</f>
        <v>39763</v>
      </c>
      <c r="T43" s="28"/>
    </row>
    <row r="44" spans="1:20" s="123" customFormat="1" x14ac:dyDescent="0.2">
      <c r="A44" s="28"/>
      <c r="B44" s="127" t="s">
        <v>416</v>
      </c>
      <c r="C44" s="109">
        <f>IFERROR(VLOOKUP($B44,MMWR_TRAD_AGG_STATE_COMP[],C$1,0),"ERROR")</f>
        <v>2231</v>
      </c>
      <c r="D44" s="110">
        <f>IFERROR(VLOOKUP($B44,MMWR_TRAD_AGG_STATE_COMP[],D$1,0),"ERROR")</f>
        <v>313.01792917969999</v>
      </c>
      <c r="E44" s="111">
        <f>IFERROR(VLOOKUP($B44,MMWR_TRAD_AGG_STATE_COMP[],E$1,0),"ERROR")</f>
        <v>1879</v>
      </c>
      <c r="F44" s="112">
        <f>IFERROR(VLOOKUP($B44,MMWR_TRAD_AGG_STATE_COMP[],F$1,0),"ERROR")</f>
        <v>453</v>
      </c>
      <c r="G44" s="113">
        <f t="shared" si="4"/>
        <v>0.24108568387440127</v>
      </c>
      <c r="H44" s="111">
        <f>IFERROR(VLOOKUP($B44,MMWR_TRAD_AGG_STATE_COMP[],H$1,0),"ERROR")</f>
        <v>3624</v>
      </c>
      <c r="I44" s="112">
        <f>IFERROR(VLOOKUP($B44,MMWR_TRAD_AGG_STATE_COMP[],I$1,0),"ERROR")</f>
        <v>1817</v>
      </c>
      <c r="J44" s="114">
        <f t="shared" si="5"/>
        <v>0.50137969094922741</v>
      </c>
      <c r="K44" s="111">
        <f>IFERROR(VLOOKUP($B44,MMWR_TRAD_AGG_STATE_COMP[],K$1,0),"ERROR")</f>
        <v>572</v>
      </c>
      <c r="L44" s="112">
        <f>IFERROR(VLOOKUP($B44,MMWR_TRAD_AGG_STATE_COMP[],L$1,0),"ERROR")</f>
        <v>446</v>
      </c>
      <c r="M44" s="114">
        <f t="shared" si="6"/>
        <v>0.77972027972027969</v>
      </c>
      <c r="N44" s="111">
        <f>IFERROR(VLOOKUP($B44,MMWR_TRAD_AGG_STATE_COMP[],N$1,0),"ERROR")</f>
        <v>227</v>
      </c>
      <c r="O44" s="112">
        <f>IFERROR(VLOOKUP($B44,MMWR_TRAD_AGG_STATE_COMP[],O$1,0),"ERROR")</f>
        <v>123</v>
      </c>
      <c r="P44" s="114">
        <f t="shared" si="7"/>
        <v>0.54185022026431717</v>
      </c>
      <c r="Q44" s="115">
        <f>IFERROR(VLOOKUP($B44,MMWR_TRAD_AGG_STATE_COMP[],Q$1,0),"ERROR")</f>
        <v>0</v>
      </c>
      <c r="R44" s="115">
        <f>IFERROR(VLOOKUP($B44,MMWR_TRAD_AGG_STATE_COMP[],R$1,0),"ERROR")</f>
        <v>5</v>
      </c>
      <c r="S44" s="115">
        <f>IFERROR(VLOOKUP($B44,MMWR_APP_STATE_COMP[],S$1,0),"ERROR")</f>
        <v>530</v>
      </c>
      <c r="T44" s="28"/>
    </row>
    <row r="45" spans="1:20" s="123" customFormat="1" x14ac:dyDescent="0.2">
      <c r="A45" s="28"/>
      <c r="B45" s="127" t="s">
        <v>431</v>
      </c>
      <c r="C45" s="109">
        <f>IFERROR(VLOOKUP($B45,MMWR_TRAD_AGG_STATE_COMP[],C$1,0),"ERROR")</f>
        <v>729</v>
      </c>
      <c r="D45" s="110">
        <f>IFERROR(VLOOKUP($B45,MMWR_TRAD_AGG_STATE_COMP[],D$1,0),"ERROR")</f>
        <v>281.32098765429998</v>
      </c>
      <c r="E45" s="111">
        <f>IFERROR(VLOOKUP($B45,MMWR_TRAD_AGG_STATE_COMP[],E$1,0),"ERROR")</f>
        <v>935</v>
      </c>
      <c r="F45" s="112">
        <f>IFERROR(VLOOKUP($B45,MMWR_TRAD_AGG_STATE_COMP[],F$1,0),"ERROR")</f>
        <v>209</v>
      </c>
      <c r="G45" s="113">
        <f t="shared" si="4"/>
        <v>0.22352941176470589</v>
      </c>
      <c r="H45" s="111">
        <f>IFERROR(VLOOKUP($B45,MMWR_TRAD_AGG_STATE_COMP[],H$1,0),"ERROR")</f>
        <v>1161</v>
      </c>
      <c r="I45" s="112">
        <f>IFERROR(VLOOKUP($B45,MMWR_TRAD_AGG_STATE_COMP[],I$1,0),"ERROR")</f>
        <v>533</v>
      </c>
      <c r="J45" s="114">
        <f t="shared" si="5"/>
        <v>0.4590869939707149</v>
      </c>
      <c r="K45" s="111">
        <f>IFERROR(VLOOKUP($B45,MMWR_TRAD_AGG_STATE_COMP[],K$1,0),"ERROR")</f>
        <v>191</v>
      </c>
      <c r="L45" s="112">
        <f>IFERROR(VLOOKUP($B45,MMWR_TRAD_AGG_STATE_COMP[],L$1,0),"ERROR")</f>
        <v>111</v>
      </c>
      <c r="M45" s="114">
        <f t="shared" si="6"/>
        <v>0.58115183246073299</v>
      </c>
      <c r="N45" s="111">
        <f>IFERROR(VLOOKUP($B45,MMWR_TRAD_AGG_STATE_COMP[],N$1,0),"ERROR")</f>
        <v>181</v>
      </c>
      <c r="O45" s="112">
        <f>IFERROR(VLOOKUP($B45,MMWR_TRAD_AGG_STATE_COMP[],O$1,0),"ERROR")</f>
        <v>73</v>
      </c>
      <c r="P45" s="114">
        <f t="shared" si="7"/>
        <v>0.40331491712707185</v>
      </c>
      <c r="Q45" s="115">
        <f>IFERROR(VLOOKUP($B45,MMWR_TRAD_AGG_STATE_COMP[],Q$1,0),"ERROR")</f>
        <v>18</v>
      </c>
      <c r="R45" s="115">
        <f>IFERROR(VLOOKUP($B45,MMWR_TRAD_AGG_STATE_COMP[],R$1,0),"ERROR")</f>
        <v>6</v>
      </c>
      <c r="S45" s="115">
        <f>IFERROR(VLOOKUP($B45,MMWR_APP_STATE_COMP[],S$1,0),"ERROR")</f>
        <v>363</v>
      </c>
      <c r="T45" s="28"/>
    </row>
    <row r="46" spans="1:20" s="123" customFormat="1" x14ac:dyDescent="0.2">
      <c r="A46" s="28"/>
      <c r="B46" s="126" t="s">
        <v>414</v>
      </c>
      <c r="C46" s="102">
        <f>IFERROR(VLOOKUP($B46,MMWR_TRAD_AGG_ST_DISTRICT_COMP[],C$1,0),"ERROR")</f>
        <v>73984</v>
      </c>
      <c r="D46" s="103">
        <f>IFERROR(VLOOKUP($B46,MMWR_TRAD_AGG_ST_DISTRICT_COMP[],D$1,0),"ERROR")</f>
        <v>365.28275032440001</v>
      </c>
      <c r="E46" s="102">
        <f>IFERROR(VLOOKUP($B46,MMWR_TRAD_AGG_ST_DISTRICT_COMP[],E$1,0),"ERROR")</f>
        <v>62472</v>
      </c>
      <c r="F46" s="102">
        <f>IFERROR(VLOOKUP($B46,MMWR_TRAD_AGG_ST_DISTRICT_COMP[],F$1,0),"ERROR")</f>
        <v>16301</v>
      </c>
      <c r="G46" s="104">
        <f t="shared" si="4"/>
        <v>0.26093289793827634</v>
      </c>
      <c r="H46" s="102">
        <f>IFERROR(VLOOKUP($B46,MMWR_TRAD_AGG_ST_DISTRICT_COMP[],H$1,0),"ERROR")</f>
        <v>103575</v>
      </c>
      <c r="I46" s="102">
        <f>IFERROR(VLOOKUP($B46,MMWR_TRAD_AGG_ST_DISTRICT_COMP[],I$1,0),"ERROR")</f>
        <v>64101</v>
      </c>
      <c r="J46" s="105">
        <f t="shared" si="5"/>
        <v>0.61888486603910209</v>
      </c>
      <c r="K46" s="102">
        <f>IFERROR(VLOOKUP($B46,MMWR_TRAD_AGG_ST_DISTRICT_COMP[],K$1,0),"ERROR")</f>
        <v>18443</v>
      </c>
      <c r="L46" s="102">
        <f>IFERROR(VLOOKUP($B46,MMWR_TRAD_AGG_ST_DISTRICT_COMP[],L$1,0),"ERROR")</f>
        <v>14868</v>
      </c>
      <c r="M46" s="105">
        <f t="shared" si="6"/>
        <v>0.80615951851651035</v>
      </c>
      <c r="N46" s="102">
        <f>IFERROR(VLOOKUP($B46,MMWR_TRAD_AGG_ST_DISTRICT_COMP[],N$1,0),"ERROR")</f>
        <v>24883</v>
      </c>
      <c r="O46" s="102">
        <f>IFERROR(VLOOKUP($B46,MMWR_TRAD_AGG_ST_DISTRICT_COMP[],O$1,0),"ERROR")</f>
        <v>16319</v>
      </c>
      <c r="P46" s="105">
        <f t="shared" si="7"/>
        <v>0.65582928103524496</v>
      </c>
      <c r="Q46" s="102">
        <f>IFERROR(VLOOKUP($B46,MMWR_TRAD_AGG_ST_DISTRICT_COMP[],Q$1,0),"ERROR")</f>
        <v>87</v>
      </c>
      <c r="R46" s="106">
        <f>IFERROR(VLOOKUP($B46,MMWR_TRAD_AGG_ST_DISTRICT_COMP[],R$1,0),"ERROR")</f>
        <v>612</v>
      </c>
      <c r="S46" s="106">
        <f>SUM(S47:S55)</f>
        <v>42903</v>
      </c>
      <c r="T46" s="28"/>
    </row>
    <row r="47" spans="1:20" s="123" customFormat="1" x14ac:dyDescent="0.2">
      <c r="A47" s="28"/>
      <c r="B47" s="127" t="s">
        <v>434</v>
      </c>
      <c r="C47" s="109">
        <f>IFERROR(VLOOKUP($B47,MMWR_TRAD_AGG_STATE_COMP[],C$1,0),"ERROR")</f>
        <v>2147</v>
      </c>
      <c r="D47" s="110">
        <f>IFERROR(VLOOKUP($B47,MMWR_TRAD_AGG_STATE_COMP[],D$1,0),"ERROR")</f>
        <v>464.41266884020001</v>
      </c>
      <c r="E47" s="111">
        <f>IFERROR(VLOOKUP($B47,MMWR_TRAD_AGG_STATE_COMP[],E$1,0),"ERROR")</f>
        <v>952</v>
      </c>
      <c r="F47" s="112">
        <f>IFERROR(VLOOKUP($B47,MMWR_TRAD_AGG_STATE_COMP[],F$1,0),"ERROR")</f>
        <v>124</v>
      </c>
      <c r="G47" s="113">
        <f t="shared" si="4"/>
        <v>0.13025210084033614</v>
      </c>
      <c r="H47" s="111">
        <f>IFERROR(VLOOKUP($B47,MMWR_TRAD_AGG_STATE_COMP[],H$1,0),"ERROR")</f>
        <v>2932</v>
      </c>
      <c r="I47" s="112">
        <f>IFERROR(VLOOKUP($B47,MMWR_TRAD_AGG_STATE_COMP[],I$1,0),"ERROR")</f>
        <v>1983</v>
      </c>
      <c r="J47" s="114">
        <f t="shared" si="5"/>
        <v>0.67633015006821284</v>
      </c>
      <c r="K47" s="111">
        <f>IFERROR(VLOOKUP($B47,MMWR_TRAD_AGG_STATE_COMP[],K$1,0),"ERROR")</f>
        <v>1573</v>
      </c>
      <c r="L47" s="112">
        <f>IFERROR(VLOOKUP($B47,MMWR_TRAD_AGG_STATE_COMP[],L$1,0),"ERROR")</f>
        <v>1451</v>
      </c>
      <c r="M47" s="114">
        <f t="shared" si="6"/>
        <v>0.9224411951684679</v>
      </c>
      <c r="N47" s="111">
        <f>IFERROR(VLOOKUP($B47,MMWR_TRAD_AGG_STATE_COMP[],N$1,0),"ERROR")</f>
        <v>339</v>
      </c>
      <c r="O47" s="112">
        <f>IFERROR(VLOOKUP($B47,MMWR_TRAD_AGG_STATE_COMP[],O$1,0),"ERROR")</f>
        <v>190</v>
      </c>
      <c r="P47" s="114">
        <f t="shared" si="7"/>
        <v>0.56047197640117996</v>
      </c>
      <c r="Q47" s="115">
        <f>IFERROR(VLOOKUP($B47,MMWR_TRAD_AGG_STATE_COMP[],Q$1,0),"ERROR")</f>
        <v>0</v>
      </c>
      <c r="R47" s="115">
        <f>IFERROR(VLOOKUP($B47,MMWR_TRAD_AGG_STATE_COMP[],R$1,0),"ERROR")</f>
        <v>3</v>
      </c>
      <c r="S47" s="115">
        <f>IFERROR(VLOOKUP($B47,MMWR_APP_STATE_COMP[],S$1,0),"ERROR")</f>
        <v>300</v>
      </c>
      <c r="T47" s="28"/>
    </row>
    <row r="48" spans="1:20" s="123" customFormat="1" x14ac:dyDescent="0.2">
      <c r="A48" s="28"/>
      <c r="B48" s="127" t="s">
        <v>436</v>
      </c>
      <c r="C48" s="109">
        <f>IFERROR(VLOOKUP($B48,MMWR_TRAD_AGG_STATE_COMP[],C$1,0),"ERROR")</f>
        <v>7344</v>
      </c>
      <c r="D48" s="110">
        <f>IFERROR(VLOOKUP($B48,MMWR_TRAD_AGG_STATE_COMP[],D$1,0),"ERROR")</f>
        <v>300.104711329</v>
      </c>
      <c r="E48" s="111">
        <f>IFERROR(VLOOKUP($B48,MMWR_TRAD_AGG_STATE_COMP[],E$1,0),"ERROR")</f>
        <v>6285</v>
      </c>
      <c r="F48" s="112">
        <f>IFERROR(VLOOKUP($B48,MMWR_TRAD_AGG_STATE_COMP[],F$1,0),"ERROR")</f>
        <v>1505</v>
      </c>
      <c r="G48" s="113">
        <f t="shared" si="4"/>
        <v>0.23945902943516309</v>
      </c>
      <c r="H48" s="111">
        <f>IFERROR(VLOOKUP($B48,MMWR_TRAD_AGG_STATE_COMP[],H$1,0),"ERROR")</f>
        <v>9660</v>
      </c>
      <c r="I48" s="112">
        <f>IFERROR(VLOOKUP($B48,MMWR_TRAD_AGG_STATE_COMP[],I$1,0),"ERROR")</f>
        <v>5512</v>
      </c>
      <c r="J48" s="114">
        <f t="shared" si="5"/>
        <v>0.5706004140786749</v>
      </c>
      <c r="K48" s="111">
        <f>IFERROR(VLOOKUP($B48,MMWR_TRAD_AGG_STATE_COMP[],K$1,0),"ERROR")</f>
        <v>678</v>
      </c>
      <c r="L48" s="112">
        <f>IFERROR(VLOOKUP($B48,MMWR_TRAD_AGG_STATE_COMP[],L$1,0),"ERROR")</f>
        <v>493</v>
      </c>
      <c r="M48" s="114">
        <f t="shared" si="6"/>
        <v>0.72713864306784659</v>
      </c>
      <c r="N48" s="111">
        <f>IFERROR(VLOOKUP($B48,MMWR_TRAD_AGG_STATE_COMP[],N$1,0),"ERROR")</f>
        <v>3188</v>
      </c>
      <c r="O48" s="112">
        <f>IFERROR(VLOOKUP($B48,MMWR_TRAD_AGG_STATE_COMP[],O$1,0),"ERROR")</f>
        <v>2303</v>
      </c>
      <c r="P48" s="114">
        <f t="shared" si="7"/>
        <v>0.72239648682559598</v>
      </c>
      <c r="Q48" s="115">
        <f>IFERROR(VLOOKUP($B48,MMWR_TRAD_AGG_STATE_COMP[],Q$1,0),"ERROR")</f>
        <v>4</v>
      </c>
      <c r="R48" s="115">
        <f>IFERROR(VLOOKUP($B48,MMWR_TRAD_AGG_STATE_COMP[],R$1,0),"ERROR")</f>
        <v>79</v>
      </c>
      <c r="S48" s="115">
        <f>IFERROR(VLOOKUP($B48,MMWR_APP_STATE_COMP[],S$1,0),"ERROR")</f>
        <v>7112</v>
      </c>
      <c r="T48" s="28"/>
    </row>
    <row r="49" spans="1:20" s="123" customFormat="1" x14ac:dyDescent="0.2">
      <c r="A49" s="28"/>
      <c r="B49" s="127" t="s">
        <v>417</v>
      </c>
      <c r="C49" s="109">
        <f>IFERROR(VLOOKUP($B49,MMWR_TRAD_AGG_STATE_COMP[],C$1,0),"ERROR")</f>
        <v>31879</v>
      </c>
      <c r="D49" s="110">
        <f>IFERROR(VLOOKUP($B49,MMWR_TRAD_AGG_STATE_COMP[],D$1,0),"ERROR")</f>
        <v>358.58640484329999</v>
      </c>
      <c r="E49" s="111">
        <f>IFERROR(VLOOKUP($B49,MMWR_TRAD_AGG_STATE_COMP[],E$1,0),"ERROR")</f>
        <v>32126</v>
      </c>
      <c r="F49" s="112">
        <f>IFERROR(VLOOKUP($B49,MMWR_TRAD_AGG_STATE_COMP[],F$1,0),"ERROR")</f>
        <v>8071</v>
      </c>
      <c r="G49" s="113">
        <f t="shared" si="4"/>
        <v>0.25122953371101286</v>
      </c>
      <c r="H49" s="111">
        <f>IFERROR(VLOOKUP($B49,MMWR_TRAD_AGG_STATE_COMP[],H$1,0),"ERROR")</f>
        <v>45578</v>
      </c>
      <c r="I49" s="112">
        <f>IFERROR(VLOOKUP($B49,MMWR_TRAD_AGG_STATE_COMP[],I$1,0),"ERROR")</f>
        <v>28046</v>
      </c>
      <c r="J49" s="114">
        <f t="shared" si="5"/>
        <v>0.61534073456492167</v>
      </c>
      <c r="K49" s="111">
        <f>IFERROR(VLOOKUP($B49,MMWR_TRAD_AGG_STATE_COMP[],K$1,0),"ERROR")</f>
        <v>7579</v>
      </c>
      <c r="L49" s="112">
        <f>IFERROR(VLOOKUP($B49,MMWR_TRAD_AGG_STATE_COMP[],L$1,0),"ERROR")</f>
        <v>5707</v>
      </c>
      <c r="M49" s="114">
        <f t="shared" si="6"/>
        <v>0.75300171526586623</v>
      </c>
      <c r="N49" s="111">
        <f>IFERROR(VLOOKUP($B49,MMWR_TRAD_AGG_STATE_COMP[],N$1,0),"ERROR")</f>
        <v>11689</v>
      </c>
      <c r="O49" s="112">
        <f>IFERROR(VLOOKUP($B49,MMWR_TRAD_AGG_STATE_COMP[],O$1,0),"ERROR")</f>
        <v>7542</v>
      </c>
      <c r="P49" s="114">
        <f t="shared" si="7"/>
        <v>0.64522200359312176</v>
      </c>
      <c r="Q49" s="115">
        <f>IFERROR(VLOOKUP($B49,MMWR_TRAD_AGG_STATE_COMP[],Q$1,0),"ERROR")</f>
        <v>51</v>
      </c>
      <c r="R49" s="115">
        <f>IFERROR(VLOOKUP($B49,MMWR_TRAD_AGG_STATE_COMP[],R$1,0),"ERROR")</f>
        <v>166</v>
      </c>
      <c r="S49" s="115">
        <f>IFERROR(VLOOKUP($B49,MMWR_APP_STATE_COMP[],S$1,0),"ERROR")</f>
        <v>18143</v>
      </c>
      <c r="T49" s="28"/>
    </row>
    <row r="50" spans="1:20" s="123" customFormat="1" x14ac:dyDescent="0.2">
      <c r="A50" s="28"/>
      <c r="B50" s="127" t="s">
        <v>438</v>
      </c>
      <c r="C50" s="109">
        <f>IFERROR(VLOOKUP($B50,MMWR_TRAD_AGG_STATE_COMP[],C$1,0),"ERROR")</f>
        <v>1889</v>
      </c>
      <c r="D50" s="110">
        <f>IFERROR(VLOOKUP($B50,MMWR_TRAD_AGG_STATE_COMP[],D$1,0),"ERROR")</f>
        <v>265.90365272629998</v>
      </c>
      <c r="E50" s="111">
        <f>IFERROR(VLOOKUP($B50,MMWR_TRAD_AGG_STATE_COMP[],E$1,0),"ERROR")</f>
        <v>2097</v>
      </c>
      <c r="F50" s="112">
        <f>IFERROR(VLOOKUP($B50,MMWR_TRAD_AGG_STATE_COMP[],F$1,0),"ERROR")</f>
        <v>432</v>
      </c>
      <c r="G50" s="113">
        <f t="shared" si="4"/>
        <v>0.20600858369098712</v>
      </c>
      <c r="H50" s="111">
        <f>IFERROR(VLOOKUP($B50,MMWR_TRAD_AGG_STATE_COMP[],H$1,0),"ERROR")</f>
        <v>2638</v>
      </c>
      <c r="I50" s="112">
        <f>IFERROR(VLOOKUP($B50,MMWR_TRAD_AGG_STATE_COMP[],I$1,0),"ERROR")</f>
        <v>1454</v>
      </c>
      <c r="J50" s="114">
        <f t="shared" si="5"/>
        <v>0.55117513267626994</v>
      </c>
      <c r="K50" s="111">
        <f>IFERROR(VLOOKUP($B50,MMWR_TRAD_AGG_STATE_COMP[],K$1,0),"ERROR")</f>
        <v>388</v>
      </c>
      <c r="L50" s="112">
        <f>IFERROR(VLOOKUP($B50,MMWR_TRAD_AGG_STATE_COMP[],L$1,0),"ERROR")</f>
        <v>305</v>
      </c>
      <c r="M50" s="114">
        <f t="shared" si="6"/>
        <v>0.78608247422680411</v>
      </c>
      <c r="N50" s="111">
        <f>IFERROR(VLOOKUP($B50,MMWR_TRAD_AGG_STATE_COMP[],N$1,0),"ERROR")</f>
        <v>304</v>
      </c>
      <c r="O50" s="112">
        <f>IFERROR(VLOOKUP($B50,MMWR_TRAD_AGG_STATE_COMP[],O$1,0),"ERROR")</f>
        <v>181</v>
      </c>
      <c r="P50" s="114">
        <f t="shared" si="7"/>
        <v>0.59539473684210531</v>
      </c>
      <c r="Q50" s="115">
        <f>IFERROR(VLOOKUP($B50,MMWR_TRAD_AGG_STATE_COMP[],Q$1,0),"ERROR")</f>
        <v>6</v>
      </c>
      <c r="R50" s="115">
        <f>IFERROR(VLOOKUP($B50,MMWR_TRAD_AGG_STATE_COMP[],R$1,0),"ERROR")</f>
        <v>2</v>
      </c>
      <c r="S50" s="115">
        <f>IFERROR(VLOOKUP($B50,MMWR_APP_STATE_COMP[],S$1,0),"ERROR")</f>
        <v>1036</v>
      </c>
      <c r="T50" s="28"/>
    </row>
    <row r="51" spans="1:20" s="123" customFormat="1" x14ac:dyDescent="0.2">
      <c r="A51" s="28"/>
      <c r="B51" s="127" t="s">
        <v>418</v>
      </c>
      <c r="C51" s="109">
        <f>IFERROR(VLOOKUP($B51,MMWR_TRAD_AGG_STATE_COMP[],C$1,0),"ERROR")</f>
        <v>936</v>
      </c>
      <c r="D51" s="110">
        <f>IFERROR(VLOOKUP($B51,MMWR_TRAD_AGG_STATE_COMP[],D$1,0),"ERROR")</f>
        <v>257.71688034189998</v>
      </c>
      <c r="E51" s="111">
        <f>IFERROR(VLOOKUP($B51,MMWR_TRAD_AGG_STATE_COMP[],E$1,0),"ERROR")</f>
        <v>1656</v>
      </c>
      <c r="F51" s="112">
        <f>IFERROR(VLOOKUP($B51,MMWR_TRAD_AGG_STATE_COMP[],F$1,0),"ERROR")</f>
        <v>377</v>
      </c>
      <c r="G51" s="113">
        <f t="shared" si="4"/>
        <v>0.22765700483091789</v>
      </c>
      <c r="H51" s="111">
        <f>IFERROR(VLOOKUP($B51,MMWR_TRAD_AGG_STATE_COMP[],H$1,0),"ERROR")</f>
        <v>1573</v>
      </c>
      <c r="I51" s="112">
        <f>IFERROR(VLOOKUP($B51,MMWR_TRAD_AGG_STATE_COMP[],I$1,0),"ERROR")</f>
        <v>633</v>
      </c>
      <c r="J51" s="114">
        <f t="shared" si="5"/>
        <v>0.4024157660521297</v>
      </c>
      <c r="K51" s="111">
        <f>IFERROR(VLOOKUP($B51,MMWR_TRAD_AGG_STATE_COMP[],K$1,0),"ERROR")</f>
        <v>195</v>
      </c>
      <c r="L51" s="112">
        <f>IFERROR(VLOOKUP($B51,MMWR_TRAD_AGG_STATE_COMP[],L$1,0),"ERROR")</f>
        <v>105</v>
      </c>
      <c r="M51" s="114">
        <f t="shared" si="6"/>
        <v>0.53846153846153844</v>
      </c>
      <c r="N51" s="111">
        <f>IFERROR(VLOOKUP($B51,MMWR_TRAD_AGG_STATE_COMP[],N$1,0),"ERROR")</f>
        <v>282</v>
      </c>
      <c r="O51" s="112">
        <f>IFERROR(VLOOKUP($B51,MMWR_TRAD_AGG_STATE_COMP[],O$1,0),"ERROR")</f>
        <v>134</v>
      </c>
      <c r="P51" s="114">
        <f t="shared" si="7"/>
        <v>0.47517730496453903</v>
      </c>
      <c r="Q51" s="115">
        <f>IFERROR(VLOOKUP($B51,MMWR_TRAD_AGG_STATE_COMP[],Q$1,0),"ERROR")</f>
        <v>2</v>
      </c>
      <c r="R51" s="115">
        <f>IFERROR(VLOOKUP($B51,MMWR_TRAD_AGG_STATE_COMP[],R$1,0),"ERROR")</f>
        <v>12</v>
      </c>
      <c r="S51" s="115">
        <f>IFERROR(VLOOKUP($B51,MMWR_APP_STATE_COMP[],S$1,0),"ERROR")</f>
        <v>998</v>
      </c>
      <c r="T51" s="28"/>
    </row>
    <row r="52" spans="1:20" s="123" customFormat="1" x14ac:dyDescent="0.2">
      <c r="A52" s="28"/>
      <c r="B52" s="127" t="s">
        <v>423</v>
      </c>
      <c r="C52" s="109">
        <f>IFERROR(VLOOKUP($B52,MMWR_TRAD_AGG_STATE_COMP[],C$1,0),"ERROR")</f>
        <v>4335</v>
      </c>
      <c r="D52" s="110">
        <f>IFERROR(VLOOKUP($B52,MMWR_TRAD_AGG_STATE_COMP[],D$1,0),"ERROR")</f>
        <v>436.53656286040001</v>
      </c>
      <c r="E52" s="111">
        <f>IFERROR(VLOOKUP($B52,MMWR_TRAD_AGG_STATE_COMP[],E$1,0),"ERROR")</f>
        <v>3979</v>
      </c>
      <c r="F52" s="112">
        <f>IFERROR(VLOOKUP($B52,MMWR_TRAD_AGG_STATE_COMP[],F$1,0),"ERROR")</f>
        <v>1223</v>
      </c>
      <c r="G52" s="113">
        <f t="shared" si="4"/>
        <v>0.30736365921085701</v>
      </c>
      <c r="H52" s="111">
        <f>IFERROR(VLOOKUP($B52,MMWR_TRAD_AGG_STATE_COMP[],H$1,0),"ERROR")</f>
        <v>5553</v>
      </c>
      <c r="I52" s="112">
        <f>IFERROR(VLOOKUP($B52,MMWR_TRAD_AGG_STATE_COMP[],I$1,0),"ERROR")</f>
        <v>3566</v>
      </c>
      <c r="J52" s="114">
        <f t="shared" si="5"/>
        <v>0.64217540068431478</v>
      </c>
      <c r="K52" s="111">
        <f>IFERROR(VLOOKUP($B52,MMWR_TRAD_AGG_STATE_COMP[],K$1,0),"ERROR")</f>
        <v>535</v>
      </c>
      <c r="L52" s="112">
        <f>IFERROR(VLOOKUP($B52,MMWR_TRAD_AGG_STATE_COMP[],L$1,0),"ERROR")</f>
        <v>464</v>
      </c>
      <c r="M52" s="114">
        <f t="shared" si="6"/>
        <v>0.86728971962616819</v>
      </c>
      <c r="N52" s="111">
        <f>IFERROR(VLOOKUP($B52,MMWR_TRAD_AGG_STATE_COMP[],N$1,0),"ERROR")</f>
        <v>1531</v>
      </c>
      <c r="O52" s="112">
        <f>IFERROR(VLOOKUP($B52,MMWR_TRAD_AGG_STATE_COMP[],O$1,0),"ERROR")</f>
        <v>878</v>
      </c>
      <c r="P52" s="114">
        <f t="shared" si="7"/>
        <v>0.57348138471587196</v>
      </c>
      <c r="Q52" s="115">
        <f>IFERROR(VLOOKUP($B52,MMWR_TRAD_AGG_STATE_COMP[],Q$1,0),"ERROR")</f>
        <v>7</v>
      </c>
      <c r="R52" s="115">
        <f>IFERROR(VLOOKUP($B52,MMWR_TRAD_AGG_STATE_COMP[],R$1,0),"ERROR")</f>
        <v>109</v>
      </c>
      <c r="S52" s="115">
        <f>IFERROR(VLOOKUP($B52,MMWR_APP_STATE_COMP[],S$1,0),"ERROR")</f>
        <v>2901</v>
      </c>
      <c r="T52" s="28"/>
    </row>
    <row r="53" spans="1:20" s="123" customFormat="1" x14ac:dyDescent="0.2">
      <c r="A53" s="28"/>
      <c r="B53" s="127" t="s">
        <v>415</v>
      </c>
      <c r="C53" s="109">
        <f>IFERROR(VLOOKUP($B53,MMWR_TRAD_AGG_STATE_COMP[],C$1,0),"ERROR")</f>
        <v>1884</v>
      </c>
      <c r="D53" s="110">
        <f>IFERROR(VLOOKUP($B53,MMWR_TRAD_AGG_STATE_COMP[],D$1,0),"ERROR")</f>
        <v>204.82696390660001</v>
      </c>
      <c r="E53" s="111">
        <f>IFERROR(VLOOKUP($B53,MMWR_TRAD_AGG_STATE_COMP[],E$1,0),"ERROR")</f>
        <v>2949</v>
      </c>
      <c r="F53" s="112">
        <f>IFERROR(VLOOKUP($B53,MMWR_TRAD_AGG_STATE_COMP[],F$1,0),"ERROR")</f>
        <v>874</v>
      </c>
      <c r="G53" s="113">
        <f t="shared" si="4"/>
        <v>0.29637165140725669</v>
      </c>
      <c r="H53" s="111">
        <f>IFERROR(VLOOKUP($B53,MMWR_TRAD_AGG_STATE_COMP[],H$1,0),"ERROR")</f>
        <v>2663</v>
      </c>
      <c r="I53" s="112">
        <f>IFERROR(VLOOKUP($B53,MMWR_TRAD_AGG_STATE_COMP[],I$1,0),"ERROR")</f>
        <v>1024</v>
      </c>
      <c r="J53" s="114">
        <f t="shared" si="5"/>
        <v>0.38452872699962448</v>
      </c>
      <c r="K53" s="111">
        <f>IFERROR(VLOOKUP($B53,MMWR_TRAD_AGG_STATE_COMP[],K$1,0),"ERROR")</f>
        <v>270</v>
      </c>
      <c r="L53" s="112">
        <f>IFERROR(VLOOKUP($B53,MMWR_TRAD_AGG_STATE_COMP[],L$1,0),"ERROR")</f>
        <v>170</v>
      </c>
      <c r="M53" s="114">
        <f t="shared" si="6"/>
        <v>0.62962962962962965</v>
      </c>
      <c r="N53" s="111">
        <f>IFERROR(VLOOKUP($B53,MMWR_TRAD_AGG_STATE_COMP[],N$1,0),"ERROR")</f>
        <v>539</v>
      </c>
      <c r="O53" s="112">
        <f>IFERROR(VLOOKUP($B53,MMWR_TRAD_AGG_STATE_COMP[],O$1,0),"ERROR")</f>
        <v>245</v>
      </c>
      <c r="P53" s="114">
        <f t="shared" si="7"/>
        <v>0.45454545454545453</v>
      </c>
      <c r="Q53" s="115">
        <f>IFERROR(VLOOKUP($B53,MMWR_TRAD_AGG_STATE_COMP[],Q$1,0),"ERROR")</f>
        <v>4</v>
      </c>
      <c r="R53" s="115">
        <f>IFERROR(VLOOKUP($B53,MMWR_TRAD_AGG_STATE_COMP[],R$1,0),"ERROR")</f>
        <v>18</v>
      </c>
      <c r="S53" s="115">
        <f>IFERROR(VLOOKUP($B53,MMWR_APP_STATE_COMP[],S$1,0),"ERROR")</f>
        <v>1978</v>
      </c>
      <c r="T53" s="28"/>
    </row>
    <row r="54" spans="1:20" s="123" customFormat="1" x14ac:dyDescent="0.2">
      <c r="A54" s="28"/>
      <c r="B54" s="127" t="s">
        <v>419</v>
      </c>
      <c r="C54" s="109">
        <f>IFERROR(VLOOKUP($B54,MMWR_TRAD_AGG_STATE_COMP[],C$1,0),"ERROR")</f>
        <v>9343</v>
      </c>
      <c r="D54" s="110">
        <f>IFERROR(VLOOKUP($B54,MMWR_TRAD_AGG_STATE_COMP[],D$1,0),"ERROR")</f>
        <v>394.93171358239999</v>
      </c>
      <c r="E54" s="111">
        <f>IFERROR(VLOOKUP($B54,MMWR_TRAD_AGG_STATE_COMP[],E$1,0),"ERROR")</f>
        <v>5287</v>
      </c>
      <c r="F54" s="112">
        <f>IFERROR(VLOOKUP($B54,MMWR_TRAD_AGG_STATE_COMP[],F$1,0),"ERROR")</f>
        <v>1881</v>
      </c>
      <c r="G54" s="113">
        <f t="shared" si="4"/>
        <v>0.35577832419141292</v>
      </c>
      <c r="H54" s="111">
        <f>IFERROR(VLOOKUP($B54,MMWR_TRAD_AGG_STATE_COMP[],H$1,0),"ERROR")</f>
        <v>12509</v>
      </c>
      <c r="I54" s="112">
        <f>IFERROR(VLOOKUP($B54,MMWR_TRAD_AGG_STATE_COMP[],I$1,0),"ERROR")</f>
        <v>8331</v>
      </c>
      <c r="J54" s="114">
        <f t="shared" si="5"/>
        <v>0.6660004796546487</v>
      </c>
      <c r="K54" s="111">
        <f>IFERROR(VLOOKUP($B54,MMWR_TRAD_AGG_STATE_COMP[],K$1,0),"ERROR")</f>
        <v>3675</v>
      </c>
      <c r="L54" s="112">
        <f>IFERROR(VLOOKUP($B54,MMWR_TRAD_AGG_STATE_COMP[],L$1,0),"ERROR")</f>
        <v>3020</v>
      </c>
      <c r="M54" s="114">
        <f t="shared" si="6"/>
        <v>0.82176870748299324</v>
      </c>
      <c r="N54" s="111">
        <f>IFERROR(VLOOKUP($B54,MMWR_TRAD_AGG_STATE_COMP[],N$1,0),"ERROR")</f>
        <v>1769</v>
      </c>
      <c r="O54" s="112">
        <f>IFERROR(VLOOKUP($B54,MMWR_TRAD_AGG_STATE_COMP[],O$1,0),"ERROR")</f>
        <v>664</v>
      </c>
      <c r="P54" s="114">
        <f t="shared" si="7"/>
        <v>0.37535330695308083</v>
      </c>
      <c r="Q54" s="115">
        <f>IFERROR(VLOOKUP($B54,MMWR_TRAD_AGG_STATE_COMP[],Q$1,0),"ERROR")</f>
        <v>4</v>
      </c>
      <c r="R54" s="115">
        <f>IFERROR(VLOOKUP($B54,MMWR_TRAD_AGG_STATE_COMP[],R$1,0),"ERROR")</f>
        <v>79</v>
      </c>
      <c r="S54" s="115">
        <f>IFERROR(VLOOKUP($B54,MMWR_APP_STATE_COMP[],S$1,0),"ERROR")</f>
        <v>5504</v>
      </c>
      <c r="T54" s="28"/>
    </row>
    <row r="55" spans="1:20" s="123" customFormat="1" x14ac:dyDescent="0.2">
      <c r="A55" s="28"/>
      <c r="B55" s="127" t="s">
        <v>83</v>
      </c>
      <c r="C55" s="109">
        <f>IFERROR(VLOOKUP($B55,MMWR_TRAD_AGG_STATE_COMP[],C$1,0),"ERROR")</f>
        <v>14227</v>
      </c>
      <c r="D55" s="110">
        <f>IFERROR(VLOOKUP($B55,MMWR_TRAD_AGG_STATE_COMP[],D$1,0),"ERROR")</f>
        <v>399.31102832639999</v>
      </c>
      <c r="E55" s="111">
        <f>IFERROR(VLOOKUP($B55,MMWR_TRAD_AGG_STATE_COMP[],E$1,0),"ERROR")</f>
        <v>7141</v>
      </c>
      <c r="F55" s="112">
        <f>IFERROR(VLOOKUP($B55,MMWR_TRAD_AGG_STATE_COMP[],F$1,0),"ERROR")</f>
        <v>1814</v>
      </c>
      <c r="G55" s="113">
        <f t="shared" si="4"/>
        <v>0.25402604677216079</v>
      </c>
      <c r="H55" s="111">
        <f>IFERROR(VLOOKUP($B55,MMWR_TRAD_AGG_STATE_COMP[],H$1,0),"ERROR")</f>
        <v>20469</v>
      </c>
      <c r="I55" s="112">
        <f>IFERROR(VLOOKUP($B55,MMWR_TRAD_AGG_STATE_COMP[],I$1,0),"ERROR")</f>
        <v>13552</v>
      </c>
      <c r="J55" s="114">
        <f t="shared" si="5"/>
        <v>0.66207435634373935</v>
      </c>
      <c r="K55" s="111">
        <f>IFERROR(VLOOKUP($B55,MMWR_TRAD_AGG_STATE_COMP[],K$1,0),"ERROR")</f>
        <v>3550</v>
      </c>
      <c r="L55" s="112">
        <f>IFERROR(VLOOKUP($B55,MMWR_TRAD_AGG_STATE_COMP[],L$1,0),"ERROR")</f>
        <v>3153</v>
      </c>
      <c r="M55" s="114">
        <f t="shared" si="6"/>
        <v>0.88816901408450699</v>
      </c>
      <c r="N55" s="111">
        <f>IFERROR(VLOOKUP($B55,MMWR_TRAD_AGG_STATE_COMP[],N$1,0),"ERROR")</f>
        <v>5242</v>
      </c>
      <c r="O55" s="112">
        <f>IFERROR(VLOOKUP($B55,MMWR_TRAD_AGG_STATE_COMP[],O$1,0),"ERROR")</f>
        <v>4182</v>
      </c>
      <c r="P55" s="114">
        <f t="shared" si="7"/>
        <v>0.79778710415871801</v>
      </c>
      <c r="Q55" s="115">
        <f>IFERROR(VLOOKUP($B55,MMWR_TRAD_AGG_STATE_COMP[],Q$1,0),"ERROR")</f>
        <v>9</v>
      </c>
      <c r="R55" s="115">
        <f>IFERROR(VLOOKUP($B55,MMWR_TRAD_AGG_STATE_COMP[],R$1,0),"ERROR")</f>
        <v>144</v>
      </c>
      <c r="S55" s="115">
        <f>IFERROR(VLOOKUP($B55,MMWR_APP_STATE_COMP[],S$1,0),"ERROR")</f>
        <v>4931</v>
      </c>
      <c r="T55" s="28"/>
    </row>
    <row r="56" spans="1:20" s="123" customFormat="1" x14ac:dyDescent="0.2">
      <c r="A56" s="28"/>
      <c r="B56" s="126" t="s">
        <v>390</v>
      </c>
      <c r="C56" s="102">
        <f>IFERROR(VLOOKUP($B56,MMWR_TRAD_AGG_ST_DISTRICT_COMP[],C$1,0),"ERROR")</f>
        <v>80908</v>
      </c>
      <c r="D56" s="103">
        <f>IFERROR(VLOOKUP($B56,MMWR_TRAD_AGG_ST_DISTRICT_COMP[],D$1,0),"ERROR")</f>
        <v>352.91403816680003</v>
      </c>
      <c r="E56" s="102">
        <f>IFERROR(VLOOKUP($B56,MMWR_TRAD_AGG_ST_DISTRICT_COMP[],E$1,0),"ERROR")</f>
        <v>77137</v>
      </c>
      <c r="F56" s="102">
        <f>IFERROR(VLOOKUP($B56,MMWR_TRAD_AGG_ST_DISTRICT_COMP[],F$1,0),"ERROR")</f>
        <v>20770</v>
      </c>
      <c r="G56" s="104">
        <f t="shared" si="4"/>
        <v>0.26926118464550086</v>
      </c>
      <c r="H56" s="102">
        <f>IFERROR(VLOOKUP($B56,MMWR_TRAD_AGG_ST_DISTRICT_COMP[],H$1,0),"ERROR")</f>
        <v>113174</v>
      </c>
      <c r="I56" s="102">
        <f>IFERROR(VLOOKUP($B56,MMWR_TRAD_AGG_ST_DISTRICT_COMP[],I$1,0),"ERROR")</f>
        <v>71874</v>
      </c>
      <c r="J56" s="105">
        <f t="shared" si="5"/>
        <v>0.63507519394914025</v>
      </c>
      <c r="K56" s="102">
        <f>IFERROR(VLOOKUP($B56,MMWR_TRAD_AGG_ST_DISTRICT_COMP[],K$1,0),"ERROR")</f>
        <v>21234</v>
      </c>
      <c r="L56" s="102">
        <f>IFERROR(VLOOKUP($B56,MMWR_TRAD_AGG_ST_DISTRICT_COMP[],L$1,0),"ERROR")</f>
        <v>16319</v>
      </c>
      <c r="M56" s="105">
        <f t="shared" si="6"/>
        <v>0.76853160026372802</v>
      </c>
      <c r="N56" s="102">
        <f>IFERROR(VLOOKUP($B56,MMWR_TRAD_AGG_ST_DISTRICT_COMP[],N$1,0),"ERROR")</f>
        <v>41107</v>
      </c>
      <c r="O56" s="102">
        <f>IFERROR(VLOOKUP($B56,MMWR_TRAD_AGG_ST_DISTRICT_COMP[],O$1,0),"ERROR")</f>
        <v>22020</v>
      </c>
      <c r="P56" s="105">
        <f t="shared" si="7"/>
        <v>0.53567518914053569</v>
      </c>
      <c r="Q56" s="102">
        <f>IFERROR(VLOOKUP($B56,MMWR_TRAD_AGG_ST_DISTRICT_COMP[],Q$1,0),"ERROR")</f>
        <v>2918</v>
      </c>
      <c r="R56" s="106">
        <f>IFERROR(VLOOKUP($B56,MMWR_TRAD_AGG_ST_DISTRICT_COMP[],R$1,0),"ERROR")</f>
        <v>1117</v>
      </c>
      <c r="S56" s="106">
        <f>SUM(S57:S63)</f>
        <v>84905</v>
      </c>
      <c r="T56" s="28"/>
    </row>
    <row r="57" spans="1:20" s="123" customFormat="1" x14ac:dyDescent="0.2">
      <c r="A57" s="28"/>
      <c r="B57" s="127" t="s">
        <v>398</v>
      </c>
      <c r="C57" s="109">
        <f>IFERROR(VLOOKUP($B57,MMWR_TRAD_AGG_STATE_COMP[],C$1,0),"ERROR")</f>
        <v>14322</v>
      </c>
      <c r="D57" s="110">
        <f>IFERROR(VLOOKUP($B57,MMWR_TRAD_AGG_STATE_COMP[],D$1,0),"ERROR")</f>
        <v>366.52248289350001</v>
      </c>
      <c r="E57" s="111">
        <f>IFERROR(VLOOKUP($B57,MMWR_TRAD_AGG_STATE_COMP[],E$1,0),"ERROR")</f>
        <v>8061</v>
      </c>
      <c r="F57" s="112">
        <f>IFERROR(VLOOKUP($B57,MMWR_TRAD_AGG_STATE_COMP[],F$1,0),"ERROR")</f>
        <v>1656</v>
      </c>
      <c r="G57" s="113">
        <f t="shared" si="4"/>
        <v>0.20543356903609974</v>
      </c>
      <c r="H57" s="111">
        <f>IFERROR(VLOOKUP($B57,MMWR_TRAD_AGG_STATE_COMP[],H$1,0),"ERROR")</f>
        <v>16856</v>
      </c>
      <c r="I57" s="112">
        <f>IFERROR(VLOOKUP($B57,MMWR_TRAD_AGG_STATE_COMP[],I$1,0),"ERROR")</f>
        <v>11846</v>
      </c>
      <c r="J57" s="114">
        <f t="shared" si="5"/>
        <v>0.70277645942097766</v>
      </c>
      <c r="K57" s="111">
        <f>IFERROR(VLOOKUP($B57,MMWR_TRAD_AGG_STATE_COMP[],K$1,0),"ERROR")</f>
        <v>4354</v>
      </c>
      <c r="L57" s="112">
        <f>IFERROR(VLOOKUP($B57,MMWR_TRAD_AGG_STATE_COMP[],L$1,0),"ERROR")</f>
        <v>3948</v>
      </c>
      <c r="M57" s="114">
        <f t="shared" si="6"/>
        <v>0.90675241157556274</v>
      </c>
      <c r="N57" s="111">
        <f>IFERROR(VLOOKUP($B57,MMWR_TRAD_AGG_STATE_COMP[],N$1,0),"ERROR")</f>
        <v>3275</v>
      </c>
      <c r="O57" s="112">
        <f>IFERROR(VLOOKUP($B57,MMWR_TRAD_AGG_STATE_COMP[],O$1,0),"ERROR")</f>
        <v>2005</v>
      </c>
      <c r="P57" s="114">
        <f t="shared" si="7"/>
        <v>0.61221374045801524</v>
      </c>
      <c r="Q57" s="115">
        <f>IFERROR(VLOOKUP($B57,MMWR_TRAD_AGG_STATE_COMP[],Q$1,0),"ERROR")</f>
        <v>15</v>
      </c>
      <c r="R57" s="115">
        <f>IFERROR(VLOOKUP($B57,MMWR_TRAD_AGG_STATE_COMP[],R$1,0),"ERROR")</f>
        <v>364</v>
      </c>
      <c r="S57" s="115">
        <f>IFERROR(VLOOKUP($B57,MMWR_APP_STATE_COMP[],S$1,0),"ERROR")</f>
        <v>10765</v>
      </c>
      <c r="T57" s="28"/>
    </row>
    <row r="58" spans="1:20" s="123" customFormat="1" x14ac:dyDescent="0.2">
      <c r="A58" s="28"/>
      <c r="B58" s="127" t="s">
        <v>435</v>
      </c>
      <c r="C58" s="109">
        <f>IFERROR(VLOOKUP($B58,MMWR_TRAD_AGG_STATE_COMP[],C$1,0),"ERROR")</f>
        <v>20481</v>
      </c>
      <c r="D58" s="110">
        <f>IFERROR(VLOOKUP($B58,MMWR_TRAD_AGG_STATE_COMP[],D$1,0),"ERROR")</f>
        <v>322.44695083250002</v>
      </c>
      <c r="E58" s="111">
        <f>IFERROR(VLOOKUP($B58,MMWR_TRAD_AGG_STATE_COMP[],E$1,0),"ERROR")</f>
        <v>24290</v>
      </c>
      <c r="F58" s="112">
        <f>IFERROR(VLOOKUP($B58,MMWR_TRAD_AGG_STATE_COMP[],F$1,0),"ERROR")</f>
        <v>7682</v>
      </c>
      <c r="G58" s="113">
        <f t="shared" si="4"/>
        <v>0.31626183614656239</v>
      </c>
      <c r="H58" s="111">
        <f>IFERROR(VLOOKUP($B58,MMWR_TRAD_AGG_STATE_COMP[],H$1,0),"ERROR")</f>
        <v>28794</v>
      </c>
      <c r="I58" s="112">
        <f>IFERROR(VLOOKUP($B58,MMWR_TRAD_AGG_STATE_COMP[],I$1,0),"ERROR")</f>
        <v>17300</v>
      </c>
      <c r="J58" s="114">
        <f t="shared" si="5"/>
        <v>0.60081961519761062</v>
      </c>
      <c r="K58" s="111">
        <f>IFERROR(VLOOKUP($B58,MMWR_TRAD_AGG_STATE_COMP[],K$1,0),"ERROR")</f>
        <v>3916</v>
      </c>
      <c r="L58" s="112">
        <f>IFERROR(VLOOKUP($B58,MMWR_TRAD_AGG_STATE_COMP[],L$1,0),"ERROR")</f>
        <v>2737</v>
      </c>
      <c r="M58" s="114">
        <f t="shared" si="6"/>
        <v>0.69892747701736468</v>
      </c>
      <c r="N58" s="111">
        <f>IFERROR(VLOOKUP($B58,MMWR_TRAD_AGG_STATE_COMP[],N$1,0),"ERROR")</f>
        <v>12129</v>
      </c>
      <c r="O58" s="112">
        <f>IFERROR(VLOOKUP($B58,MMWR_TRAD_AGG_STATE_COMP[],O$1,0),"ERROR")</f>
        <v>6909</v>
      </c>
      <c r="P58" s="114">
        <f t="shared" si="7"/>
        <v>0.56962651496413552</v>
      </c>
      <c r="Q58" s="115">
        <f>IFERROR(VLOOKUP($B58,MMWR_TRAD_AGG_STATE_COMP[],Q$1,0),"ERROR")</f>
        <v>1437</v>
      </c>
      <c r="R58" s="115">
        <f>IFERROR(VLOOKUP($B58,MMWR_TRAD_AGG_STATE_COMP[],R$1,0),"ERROR")</f>
        <v>259</v>
      </c>
      <c r="S58" s="115">
        <f>IFERROR(VLOOKUP($B58,MMWR_APP_STATE_COMP[],S$1,0),"ERROR")</f>
        <v>28651</v>
      </c>
      <c r="T58" s="28"/>
    </row>
    <row r="59" spans="1:20" s="123" customFormat="1" x14ac:dyDescent="0.2">
      <c r="A59" s="28"/>
      <c r="B59" s="127" t="s">
        <v>391</v>
      </c>
      <c r="C59" s="109">
        <f>IFERROR(VLOOKUP($B59,MMWR_TRAD_AGG_STATE_COMP[],C$1,0),"ERROR")</f>
        <v>16273</v>
      </c>
      <c r="D59" s="110">
        <f>IFERROR(VLOOKUP($B59,MMWR_TRAD_AGG_STATE_COMP[],D$1,0),"ERROR")</f>
        <v>353.04049652800001</v>
      </c>
      <c r="E59" s="111">
        <f>IFERROR(VLOOKUP($B59,MMWR_TRAD_AGG_STATE_COMP[],E$1,0),"ERROR")</f>
        <v>17865</v>
      </c>
      <c r="F59" s="112">
        <f>IFERROR(VLOOKUP($B59,MMWR_TRAD_AGG_STATE_COMP[],F$1,0),"ERROR")</f>
        <v>4500</v>
      </c>
      <c r="G59" s="113">
        <f t="shared" si="4"/>
        <v>0.25188916876574308</v>
      </c>
      <c r="H59" s="111">
        <f>IFERROR(VLOOKUP($B59,MMWR_TRAD_AGG_STATE_COMP[],H$1,0),"ERROR")</f>
        <v>24313</v>
      </c>
      <c r="I59" s="112">
        <f>IFERROR(VLOOKUP($B59,MMWR_TRAD_AGG_STATE_COMP[],I$1,0),"ERROR")</f>
        <v>15232</v>
      </c>
      <c r="J59" s="114">
        <f t="shared" si="5"/>
        <v>0.62649611319047427</v>
      </c>
      <c r="K59" s="111">
        <f>IFERROR(VLOOKUP($B59,MMWR_TRAD_AGG_STATE_COMP[],K$1,0),"ERROR")</f>
        <v>5583</v>
      </c>
      <c r="L59" s="112">
        <f>IFERROR(VLOOKUP($B59,MMWR_TRAD_AGG_STATE_COMP[],L$1,0),"ERROR")</f>
        <v>4504</v>
      </c>
      <c r="M59" s="114">
        <f t="shared" si="6"/>
        <v>0.80673473043166755</v>
      </c>
      <c r="N59" s="111">
        <f>IFERROR(VLOOKUP($B59,MMWR_TRAD_AGG_STATE_COMP[],N$1,0),"ERROR")</f>
        <v>18368</v>
      </c>
      <c r="O59" s="112">
        <f>IFERROR(VLOOKUP($B59,MMWR_TRAD_AGG_STATE_COMP[],O$1,0),"ERROR")</f>
        <v>9034</v>
      </c>
      <c r="P59" s="114">
        <f t="shared" si="7"/>
        <v>0.4918336236933798</v>
      </c>
      <c r="Q59" s="115">
        <f>IFERROR(VLOOKUP($B59,MMWR_TRAD_AGG_STATE_COMP[],Q$1,0),"ERROR")</f>
        <v>723</v>
      </c>
      <c r="R59" s="115">
        <f>IFERROR(VLOOKUP($B59,MMWR_TRAD_AGG_STATE_COMP[],R$1,0),"ERROR")</f>
        <v>41</v>
      </c>
      <c r="S59" s="115">
        <f>IFERROR(VLOOKUP($B59,MMWR_APP_STATE_COMP[],S$1,0),"ERROR")</f>
        <v>16680</v>
      </c>
      <c r="T59" s="28"/>
    </row>
    <row r="60" spans="1:20" s="123" customFormat="1" x14ac:dyDescent="0.2">
      <c r="A60" s="28"/>
      <c r="B60" s="127" t="s">
        <v>403</v>
      </c>
      <c r="C60" s="109">
        <f>IFERROR(VLOOKUP($B60,MMWR_TRAD_AGG_STATE_COMP[],C$1,0),"ERROR")</f>
        <v>8013</v>
      </c>
      <c r="D60" s="110">
        <f>IFERROR(VLOOKUP($B60,MMWR_TRAD_AGG_STATE_COMP[],D$1,0),"ERROR")</f>
        <v>525.41944340450004</v>
      </c>
      <c r="E60" s="111">
        <f>IFERROR(VLOOKUP($B60,MMWR_TRAD_AGG_STATE_COMP[],E$1,0),"ERROR")</f>
        <v>4383</v>
      </c>
      <c r="F60" s="112">
        <f>IFERROR(VLOOKUP($B60,MMWR_TRAD_AGG_STATE_COMP[],F$1,0),"ERROR")</f>
        <v>1205</v>
      </c>
      <c r="G60" s="113">
        <f t="shared" si="4"/>
        <v>0.27492584987451518</v>
      </c>
      <c r="H60" s="111">
        <f>IFERROR(VLOOKUP($B60,MMWR_TRAD_AGG_STATE_COMP[],H$1,0),"ERROR")</f>
        <v>11060</v>
      </c>
      <c r="I60" s="112">
        <f>IFERROR(VLOOKUP($B60,MMWR_TRAD_AGG_STATE_COMP[],I$1,0),"ERROR")</f>
        <v>7440</v>
      </c>
      <c r="J60" s="114">
        <f t="shared" si="5"/>
        <v>0.67269439421338151</v>
      </c>
      <c r="K60" s="111">
        <f>IFERROR(VLOOKUP($B60,MMWR_TRAD_AGG_STATE_COMP[],K$1,0),"ERROR")</f>
        <v>2794</v>
      </c>
      <c r="L60" s="112">
        <f>IFERROR(VLOOKUP($B60,MMWR_TRAD_AGG_STATE_COMP[],L$1,0),"ERROR")</f>
        <v>2183</v>
      </c>
      <c r="M60" s="114">
        <f t="shared" si="6"/>
        <v>0.78131710808876165</v>
      </c>
      <c r="N60" s="111">
        <f>IFERROR(VLOOKUP($B60,MMWR_TRAD_AGG_STATE_COMP[],N$1,0),"ERROR")</f>
        <v>878</v>
      </c>
      <c r="O60" s="112">
        <f>IFERROR(VLOOKUP($B60,MMWR_TRAD_AGG_STATE_COMP[],O$1,0),"ERROR")</f>
        <v>526</v>
      </c>
      <c r="P60" s="114">
        <f t="shared" si="7"/>
        <v>0.59908883826879267</v>
      </c>
      <c r="Q60" s="115">
        <f>IFERROR(VLOOKUP($B60,MMWR_TRAD_AGG_STATE_COMP[],Q$1,0),"ERROR")</f>
        <v>42</v>
      </c>
      <c r="R60" s="115">
        <f>IFERROR(VLOOKUP($B60,MMWR_TRAD_AGG_STATE_COMP[],R$1,0),"ERROR")</f>
        <v>157</v>
      </c>
      <c r="S60" s="115">
        <f>IFERROR(VLOOKUP($B60,MMWR_APP_STATE_COMP[],S$1,0),"ERROR")</f>
        <v>3285</v>
      </c>
      <c r="T60" s="28"/>
    </row>
    <row r="61" spans="1:20" s="123" customFormat="1" x14ac:dyDescent="0.2">
      <c r="A61" s="28"/>
      <c r="B61" s="127" t="s">
        <v>437</v>
      </c>
      <c r="C61" s="109">
        <f>IFERROR(VLOOKUP($B61,MMWR_TRAD_AGG_STATE_COMP[],C$1,0),"ERROR")</f>
        <v>2761</v>
      </c>
      <c r="D61" s="110">
        <f>IFERROR(VLOOKUP($B61,MMWR_TRAD_AGG_STATE_COMP[],D$1,0),"ERROR")</f>
        <v>289.99420499820002</v>
      </c>
      <c r="E61" s="111">
        <f>IFERROR(VLOOKUP($B61,MMWR_TRAD_AGG_STATE_COMP[],E$1,0),"ERROR")</f>
        <v>2845</v>
      </c>
      <c r="F61" s="112">
        <f>IFERROR(VLOOKUP($B61,MMWR_TRAD_AGG_STATE_COMP[],F$1,0),"ERROR")</f>
        <v>862</v>
      </c>
      <c r="G61" s="113">
        <f t="shared" si="4"/>
        <v>0.30298769771528999</v>
      </c>
      <c r="H61" s="111">
        <f>IFERROR(VLOOKUP($B61,MMWR_TRAD_AGG_STATE_COMP[],H$1,0),"ERROR")</f>
        <v>4733</v>
      </c>
      <c r="I61" s="112">
        <f>IFERROR(VLOOKUP($B61,MMWR_TRAD_AGG_STATE_COMP[],I$1,0),"ERROR")</f>
        <v>3086</v>
      </c>
      <c r="J61" s="114">
        <f t="shared" si="5"/>
        <v>0.65201774772871324</v>
      </c>
      <c r="K61" s="111">
        <f>IFERROR(VLOOKUP($B61,MMWR_TRAD_AGG_STATE_COMP[],K$1,0),"ERROR")</f>
        <v>759</v>
      </c>
      <c r="L61" s="112">
        <f>IFERROR(VLOOKUP($B61,MMWR_TRAD_AGG_STATE_COMP[],L$1,0),"ERROR")</f>
        <v>622</v>
      </c>
      <c r="M61" s="114">
        <f t="shared" si="6"/>
        <v>0.81949934123847168</v>
      </c>
      <c r="N61" s="111">
        <f>IFERROR(VLOOKUP($B61,MMWR_TRAD_AGG_STATE_COMP[],N$1,0),"ERROR")</f>
        <v>1654</v>
      </c>
      <c r="O61" s="112">
        <f>IFERROR(VLOOKUP($B61,MMWR_TRAD_AGG_STATE_COMP[],O$1,0),"ERROR")</f>
        <v>839</v>
      </c>
      <c r="P61" s="114">
        <f t="shared" si="7"/>
        <v>0.50725513905683195</v>
      </c>
      <c r="Q61" s="115">
        <f>IFERROR(VLOOKUP($B61,MMWR_TRAD_AGG_STATE_COMP[],Q$1,0),"ERROR")</f>
        <v>223</v>
      </c>
      <c r="R61" s="115">
        <f>IFERROR(VLOOKUP($B61,MMWR_TRAD_AGG_STATE_COMP[],R$1,0),"ERROR")</f>
        <v>4</v>
      </c>
      <c r="S61" s="115">
        <f>IFERROR(VLOOKUP($B61,MMWR_APP_STATE_COMP[],S$1,0),"ERROR")</f>
        <v>6203</v>
      </c>
      <c r="T61" s="28"/>
    </row>
    <row r="62" spans="1:20" s="123" customFormat="1" x14ac:dyDescent="0.2">
      <c r="A62" s="28"/>
      <c r="B62" s="127" t="s">
        <v>393</v>
      </c>
      <c r="C62" s="109">
        <f>IFERROR(VLOOKUP($B62,MMWR_TRAD_AGG_STATE_COMP[],C$1,0),"ERROR")</f>
        <v>11735</v>
      </c>
      <c r="D62" s="110">
        <f>IFERROR(VLOOKUP($B62,MMWR_TRAD_AGG_STATE_COMP[],D$1,0),"ERROR")</f>
        <v>337.47550063910001</v>
      </c>
      <c r="E62" s="111">
        <f>IFERROR(VLOOKUP($B62,MMWR_TRAD_AGG_STATE_COMP[],E$1,0),"ERROR")</f>
        <v>9852</v>
      </c>
      <c r="F62" s="112">
        <f>IFERROR(VLOOKUP($B62,MMWR_TRAD_AGG_STATE_COMP[],F$1,0),"ERROR")</f>
        <v>2510</v>
      </c>
      <c r="G62" s="113">
        <f t="shared" si="4"/>
        <v>0.254770604953309</v>
      </c>
      <c r="H62" s="111">
        <f>IFERROR(VLOOKUP($B62,MMWR_TRAD_AGG_STATE_COMP[],H$1,0),"ERROR")</f>
        <v>16811</v>
      </c>
      <c r="I62" s="112">
        <f>IFERROR(VLOOKUP($B62,MMWR_TRAD_AGG_STATE_COMP[],I$1,0),"ERROR")</f>
        <v>11220</v>
      </c>
      <c r="J62" s="114">
        <f t="shared" si="5"/>
        <v>0.66742014157396945</v>
      </c>
      <c r="K62" s="111">
        <f>IFERROR(VLOOKUP($B62,MMWR_TRAD_AGG_STATE_COMP[],K$1,0),"ERROR")</f>
        <v>2277</v>
      </c>
      <c r="L62" s="112">
        <f>IFERROR(VLOOKUP($B62,MMWR_TRAD_AGG_STATE_COMP[],L$1,0),"ERROR")</f>
        <v>1093</v>
      </c>
      <c r="M62" s="114">
        <f t="shared" si="6"/>
        <v>0.48001756697408871</v>
      </c>
      <c r="N62" s="111">
        <f>IFERROR(VLOOKUP($B62,MMWR_TRAD_AGG_STATE_COMP[],N$1,0),"ERROR")</f>
        <v>2884</v>
      </c>
      <c r="O62" s="112">
        <f>IFERROR(VLOOKUP($B62,MMWR_TRAD_AGG_STATE_COMP[],O$1,0),"ERROR")</f>
        <v>1577</v>
      </c>
      <c r="P62" s="114">
        <f t="shared" si="7"/>
        <v>0.54680998613037446</v>
      </c>
      <c r="Q62" s="115">
        <f>IFERROR(VLOOKUP($B62,MMWR_TRAD_AGG_STATE_COMP[],Q$1,0),"ERROR")</f>
        <v>445</v>
      </c>
      <c r="R62" s="115">
        <f>IFERROR(VLOOKUP($B62,MMWR_TRAD_AGG_STATE_COMP[],R$1,0),"ERROR")</f>
        <v>64</v>
      </c>
      <c r="S62" s="115">
        <f>IFERROR(VLOOKUP($B62,MMWR_APP_STATE_COMP[],S$1,0),"ERROR")</f>
        <v>12293</v>
      </c>
      <c r="T62" s="28"/>
    </row>
    <row r="63" spans="1:20" s="123" customFormat="1" x14ac:dyDescent="0.2">
      <c r="A63" s="28"/>
      <c r="B63" s="127" t="s">
        <v>394</v>
      </c>
      <c r="C63" s="109">
        <f>IFERROR(VLOOKUP($B63,MMWR_TRAD_AGG_STATE_COMP[],C$1,0),"ERROR")</f>
        <v>7323</v>
      </c>
      <c r="D63" s="110">
        <f>IFERROR(VLOOKUP($B63,MMWR_TRAD_AGG_STATE_COMP[],D$1,0),"ERROR")</f>
        <v>270.93199508399999</v>
      </c>
      <c r="E63" s="111">
        <f>IFERROR(VLOOKUP($B63,MMWR_TRAD_AGG_STATE_COMP[],E$1,0),"ERROR")</f>
        <v>9841</v>
      </c>
      <c r="F63" s="112">
        <f>IFERROR(VLOOKUP($B63,MMWR_TRAD_AGG_STATE_COMP[],F$1,0),"ERROR")</f>
        <v>2355</v>
      </c>
      <c r="G63" s="113">
        <f t="shared" si="4"/>
        <v>0.23930494868407681</v>
      </c>
      <c r="H63" s="111">
        <f>IFERROR(VLOOKUP($B63,MMWR_TRAD_AGG_STATE_COMP[],H$1,0),"ERROR")</f>
        <v>10607</v>
      </c>
      <c r="I63" s="112">
        <f>IFERROR(VLOOKUP($B63,MMWR_TRAD_AGG_STATE_COMP[],I$1,0),"ERROR")</f>
        <v>5750</v>
      </c>
      <c r="J63" s="114">
        <f t="shared" si="5"/>
        <v>0.54209484302818889</v>
      </c>
      <c r="K63" s="111">
        <f>IFERROR(VLOOKUP($B63,MMWR_TRAD_AGG_STATE_COMP[],K$1,0),"ERROR")</f>
        <v>1551</v>
      </c>
      <c r="L63" s="112">
        <f>IFERROR(VLOOKUP($B63,MMWR_TRAD_AGG_STATE_COMP[],L$1,0),"ERROR")</f>
        <v>1232</v>
      </c>
      <c r="M63" s="114">
        <f t="shared" si="6"/>
        <v>0.79432624113475181</v>
      </c>
      <c r="N63" s="111">
        <f>IFERROR(VLOOKUP($B63,MMWR_TRAD_AGG_STATE_COMP[],N$1,0),"ERROR")</f>
        <v>1919</v>
      </c>
      <c r="O63" s="112">
        <f>IFERROR(VLOOKUP($B63,MMWR_TRAD_AGG_STATE_COMP[],O$1,0),"ERROR")</f>
        <v>1130</v>
      </c>
      <c r="P63" s="114">
        <f t="shared" si="7"/>
        <v>0.58884835852006256</v>
      </c>
      <c r="Q63" s="115">
        <f>IFERROR(VLOOKUP($B63,MMWR_TRAD_AGG_STATE_COMP[],Q$1,0),"ERROR")</f>
        <v>33</v>
      </c>
      <c r="R63" s="115">
        <f>IFERROR(VLOOKUP($B63,MMWR_TRAD_AGG_STATE_COMP[],R$1,0),"ERROR")</f>
        <v>228</v>
      </c>
      <c r="S63" s="115">
        <f>IFERROR(VLOOKUP($B63,MMWR_APP_STATE_COMP[],S$1,0),"ERROR")</f>
        <v>7028</v>
      </c>
      <c r="T63" s="28"/>
    </row>
    <row r="64" spans="1:20" s="123" customFormat="1" x14ac:dyDescent="0.2">
      <c r="A64" s="28"/>
      <c r="B64" s="128" t="s">
        <v>8</v>
      </c>
      <c r="C64" s="102">
        <f>IFERROR(VLOOKUP($B64,MMWR_TRAD_AGG_ST_DISTRICT_COMP[],C$1,0),"ERROR")</f>
        <v>8742</v>
      </c>
      <c r="D64" s="103">
        <f>IFERROR(VLOOKUP($B64,MMWR_TRAD_AGG_ST_DISTRICT_COMP[],D$1,0),"ERROR")</f>
        <v>418.27808281860001</v>
      </c>
      <c r="E64" s="102">
        <f>IFERROR(VLOOKUP($B64,MMWR_TRAD_AGG_ST_DISTRICT_COMP[],E$1,0),"ERROR")</f>
        <v>4118</v>
      </c>
      <c r="F64" s="102">
        <f>IFERROR(VLOOKUP($B64,MMWR_TRAD_AGG_ST_DISTRICT_COMP[],F$1,0),"ERROR")</f>
        <v>1767</v>
      </c>
      <c r="G64" s="104">
        <f t="shared" si="4"/>
        <v>0.42909179213210297</v>
      </c>
      <c r="H64" s="102">
        <f>IFERROR(VLOOKUP($B64,MMWR_TRAD_AGG_ST_DISTRICT_COMP[],H$1,0),"ERROR")</f>
        <v>10644</v>
      </c>
      <c r="I64" s="102">
        <f>IFERROR(VLOOKUP($B64,MMWR_TRAD_AGG_ST_DISTRICT_COMP[],I$1,0),"ERROR")</f>
        <v>8179</v>
      </c>
      <c r="J64" s="105">
        <f t="shared" si="5"/>
        <v>0.76841413002630587</v>
      </c>
      <c r="K64" s="102">
        <f>IFERROR(VLOOKUP($B64,MMWR_TRAD_AGG_ST_DISTRICT_COMP[],K$1,0),"ERROR")</f>
        <v>1378</v>
      </c>
      <c r="L64" s="102">
        <f>IFERROR(VLOOKUP($B64,MMWR_TRAD_AGG_ST_DISTRICT_COMP[],L$1,0),"ERROR")</f>
        <v>1175</v>
      </c>
      <c r="M64" s="105">
        <f t="shared" si="6"/>
        <v>0.85268505079825829</v>
      </c>
      <c r="N64" s="102">
        <f>IFERROR(VLOOKUP($B64,MMWR_TRAD_AGG_ST_DISTRICT_COMP[],N$1,0),"ERROR")</f>
        <v>15638</v>
      </c>
      <c r="O64" s="102">
        <f>IFERROR(VLOOKUP($B64,MMWR_TRAD_AGG_ST_DISTRICT_COMP[],O$1,0),"ERROR")</f>
        <v>12321</v>
      </c>
      <c r="P64" s="105">
        <f t="shared" si="7"/>
        <v>0.787888476787313</v>
      </c>
      <c r="Q64" s="102">
        <f>IFERROR(VLOOKUP($B64,MMWR_TRAD_AGG_ST_DISTRICT_COMP[],Q$1,0),"ERROR")</f>
        <v>378</v>
      </c>
      <c r="R64" s="106">
        <f>IFERROR(VLOOKUP($B64,MMWR_TRAD_AGG_ST_DISTRICT_COMP[],R$1,0),"ERROR")</f>
        <v>156</v>
      </c>
      <c r="S64" s="106">
        <f>IFERROR(VLOOKUP($B64,MMWR_APP_STATE_COMP[],S$1,0),"ERROR")</f>
        <v>389</v>
      </c>
      <c r="T64" s="28"/>
    </row>
    <row r="65" spans="1:20" s="123" customFormat="1" x14ac:dyDescent="0.2">
      <c r="A65" s="28"/>
      <c r="B65" s="28"/>
      <c r="C65" s="28"/>
      <c r="D65" s="28"/>
      <c r="E65" s="28"/>
      <c r="F65" s="28"/>
      <c r="G65" s="28"/>
      <c r="H65" s="28"/>
      <c r="I65" s="28"/>
      <c r="J65" s="28"/>
      <c r="K65" s="28"/>
      <c r="L65" s="28"/>
      <c r="M65" s="28"/>
      <c r="N65" s="28"/>
      <c r="O65" s="28"/>
      <c r="P65" s="28"/>
      <c r="Q65" s="28"/>
      <c r="R65" s="28"/>
      <c r="S65" s="28"/>
      <c r="T65" s="28"/>
    </row>
    <row r="66" spans="1:20" s="123" customFormat="1" ht="26.25" x14ac:dyDescent="0.4">
      <c r="A66" s="28"/>
      <c r="B66" s="26"/>
      <c r="C66" s="451" t="s">
        <v>497</v>
      </c>
      <c r="D66" s="452"/>
      <c r="E66" s="452"/>
      <c r="F66" s="452"/>
      <c r="G66" s="452"/>
      <c r="H66" s="452"/>
      <c r="I66" s="452"/>
      <c r="J66" s="452"/>
      <c r="K66" s="452"/>
      <c r="L66" s="452"/>
      <c r="M66" s="452"/>
      <c r="N66" s="452"/>
      <c r="O66" s="452"/>
      <c r="P66" s="452"/>
      <c r="Q66" s="452"/>
      <c r="R66" s="452"/>
      <c r="S66" s="453"/>
      <c r="T66" s="28"/>
    </row>
    <row r="67" spans="1:20" s="123" customFormat="1" x14ac:dyDescent="0.2">
      <c r="A67" s="28"/>
      <c r="B67" s="26"/>
      <c r="C67" s="459" t="s">
        <v>233</v>
      </c>
      <c r="D67" s="459"/>
      <c r="E67" s="456" t="s">
        <v>213</v>
      </c>
      <c r="F67" s="457"/>
      <c r="G67" s="458"/>
      <c r="H67" s="456" t="s">
        <v>7</v>
      </c>
      <c r="I67" s="457"/>
      <c r="J67" s="458"/>
      <c r="K67" s="456" t="s">
        <v>33</v>
      </c>
      <c r="L67" s="457"/>
      <c r="M67" s="458"/>
      <c r="N67" s="456" t="s">
        <v>8</v>
      </c>
      <c r="O67" s="457"/>
      <c r="P67" s="458"/>
      <c r="Q67" s="81" t="s">
        <v>9</v>
      </c>
      <c r="R67" s="82" t="s">
        <v>10</v>
      </c>
      <c r="S67" s="82" t="s">
        <v>11</v>
      </c>
      <c r="T67" s="28"/>
    </row>
    <row r="68" spans="1:20" s="123" customFormat="1" ht="38.25" x14ac:dyDescent="0.2">
      <c r="A68" s="28"/>
      <c r="B68" s="54"/>
      <c r="C68" s="84" t="s">
        <v>12</v>
      </c>
      <c r="D68" s="85" t="s">
        <v>140</v>
      </c>
      <c r="E68" s="86" t="s">
        <v>12</v>
      </c>
      <c r="F68" s="87" t="s">
        <v>3</v>
      </c>
      <c r="G68" s="88" t="s">
        <v>4</v>
      </c>
      <c r="H68" s="86" t="s">
        <v>12</v>
      </c>
      <c r="I68" s="87" t="s">
        <v>3</v>
      </c>
      <c r="J68" s="88" t="s">
        <v>4</v>
      </c>
      <c r="K68" s="86" t="s">
        <v>12</v>
      </c>
      <c r="L68" s="87" t="s">
        <v>3</v>
      </c>
      <c r="M68" s="88" t="s">
        <v>4</v>
      </c>
      <c r="N68" s="86" t="s">
        <v>12</v>
      </c>
      <c r="O68" s="87" t="s">
        <v>3</v>
      </c>
      <c r="P68" s="88" t="s">
        <v>4</v>
      </c>
      <c r="Q68" s="89" t="s">
        <v>12</v>
      </c>
      <c r="R68" s="89" t="s">
        <v>12</v>
      </c>
      <c r="S68" s="89" t="s">
        <v>498</v>
      </c>
      <c r="T68" s="28"/>
    </row>
    <row r="69" spans="1:20" s="123" customFormat="1" x14ac:dyDescent="0.2">
      <c r="A69" s="28"/>
      <c r="B69" s="129" t="s">
        <v>472</v>
      </c>
      <c r="C69" s="119">
        <f>IFERROR(VLOOKUP($B69,MMWR_TRAD_AGG_RO_PEN[],C$1,0),"ERROR")</f>
        <v>17773</v>
      </c>
      <c r="D69" s="120">
        <f>IFERROR(VLOOKUP($B69,MMWR_TRAD_AGG_RO_PEN[],D$1,0),"ERROR")</f>
        <v>86.171552354699998</v>
      </c>
      <c r="E69" s="119">
        <f>IFERROR(VLOOKUP($B69,MMWR_TRAD_AGG_RO_PEN[],E$1,0),"ERROR")</f>
        <v>25774</v>
      </c>
      <c r="F69" s="119">
        <f>IFERROR(VLOOKUP($B69,MMWR_TRAD_AGG_RO_PEN[],F$1,0),"ERROR")</f>
        <v>3757</v>
      </c>
      <c r="G69" s="98">
        <f t="shared" ref="G69:G100" si="8">IFERROR(F69/E69,"0%")</f>
        <v>0.14576705206797547</v>
      </c>
      <c r="H69" s="119">
        <f>IFERROR(VLOOKUP($B69,MMWR_TRAD_AGG_RO_PEN[],H$1,0),"ERROR")</f>
        <v>30021</v>
      </c>
      <c r="I69" s="119">
        <f>IFERROR(VLOOKUP($B69,MMWR_TRAD_AGG_RO_PEN[],I$1,0),"ERROR")</f>
        <v>6852</v>
      </c>
      <c r="J69" s="98">
        <f t="shared" ref="J69:J100" si="9">IFERROR(I69/H69,"0%")</f>
        <v>0.22824023183771361</v>
      </c>
      <c r="K69" s="119">
        <f>IFERROR(VLOOKUP($B69,MMWR_TRAD_AGG_RO_PEN[],K$1,0),"ERROR")</f>
        <v>813</v>
      </c>
      <c r="L69" s="119">
        <f>IFERROR(VLOOKUP($B69,MMWR_TRAD_AGG_RO_PEN[],L$1,0),"ERROR")</f>
        <v>759</v>
      </c>
      <c r="M69" s="98">
        <f t="shared" ref="M69:M100" si="10">IFERROR(L69/K69,"0%")</f>
        <v>0.93357933579335795</v>
      </c>
      <c r="N69" s="119">
        <f>IFERROR(VLOOKUP($B69,MMWR_TRAD_AGG_RO_PEN[],N$1,0),"ERROR")</f>
        <v>4232</v>
      </c>
      <c r="O69" s="119">
        <f>IFERROR(VLOOKUP($B69,MMWR_TRAD_AGG_RO_PEN[],O$1,0),"ERROR")</f>
        <v>993</v>
      </c>
      <c r="P69" s="98">
        <f t="shared" ref="P69:P100" si="11">IFERROR(O69/N69,"0%")</f>
        <v>0.23464083175803402</v>
      </c>
      <c r="Q69" s="119">
        <f>IFERROR(VLOOKUP($B69,MMWR_TRAD_AGG_RO_PEN[],Q$1,0),"ERROR")</f>
        <v>11529</v>
      </c>
      <c r="R69" s="121">
        <f>IFERROR(VLOOKUP($B69,MMWR_TRAD_AGG_RO_PEN[],R$1,0),"ERROR")</f>
        <v>5213</v>
      </c>
      <c r="S69" s="121">
        <f>S70+S86+S99+S109+S119+S127</f>
        <v>5642</v>
      </c>
      <c r="T69" s="28"/>
    </row>
    <row r="70" spans="1:20" s="123" customFormat="1" x14ac:dyDescent="0.2">
      <c r="A70" s="28"/>
      <c r="B70" s="126" t="s">
        <v>379</v>
      </c>
      <c r="C70" s="102">
        <f>IFERROR(VLOOKUP($B70,MMWR_TRAD_AGG_ST_DISTRICT_PEN[],C$1,0),"ERROR")</f>
        <v>6525</v>
      </c>
      <c r="D70" s="103">
        <f>IFERROR(VLOOKUP($B70,MMWR_TRAD_AGG_ST_DISTRICT_PEN[],D$1,0),"ERROR")</f>
        <v>98.084137931000001</v>
      </c>
      <c r="E70" s="102">
        <f>IFERROR(VLOOKUP($B70,MMWR_TRAD_AGG_ST_DISTRICT_PEN[],E$1,0),"ERROR")</f>
        <v>7366</v>
      </c>
      <c r="F70" s="102">
        <f>IFERROR(VLOOKUP($B70,MMWR_TRAD_AGG_ST_DISTRICT_PEN[],F$1,0),"ERROR")</f>
        <v>1828</v>
      </c>
      <c r="G70" s="104">
        <f t="shared" si="8"/>
        <v>0.24816725495519956</v>
      </c>
      <c r="H70" s="102">
        <f>IFERROR(VLOOKUP($B70,MMWR_TRAD_AGG_ST_DISTRICT_PEN[],H$1,0),"ERROR")</f>
        <v>10391</v>
      </c>
      <c r="I70" s="102">
        <f>IFERROR(VLOOKUP($B70,MMWR_TRAD_AGG_ST_DISTRICT_PEN[],I$1,0),"ERROR")</f>
        <v>3067</v>
      </c>
      <c r="J70" s="104">
        <f t="shared" si="9"/>
        <v>0.29515927244731016</v>
      </c>
      <c r="K70" s="102">
        <f>IFERROR(VLOOKUP($B70,MMWR_TRAD_AGG_ST_DISTRICT_PEN[],K$1,0),"ERROR")</f>
        <v>428</v>
      </c>
      <c r="L70" s="102">
        <f>IFERROR(VLOOKUP($B70,MMWR_TRAD_AGG_ST_DISTRICT_PEN[],L$1,0),"ERROR")</f>
        <v>410</v>
      </c>
      <c r="M70" s="104">
        <f t="shared" si="10"/>
        <v>0.95794392523364491</v>
      </c>
      <c r="N70" s="102">
        <f>IFERROR(VLOOKUP($B70,MMWR_TRAD_AGG_ST_DISTRICT_PEN[],N$1,0),"ERROR")</f>
        <v>2048</v>
      </c>
      <c r="O70" s="102">
        <f>IFERROR(VLOOKUP($B70,MMWR_TRAD_AGG_ST_DISTRICT_PEN[],O$1,0),"ERROR")</f>
        <v>405</v>
      </c>
      <c r="P70" s="104">
        <f t="shared" si="11"/>
        <v>0.19775390625</v>
      </c>
      <c r="Q70" s="102">
        <f>IFERROR(VLOOKUP($B70,MMWR_TRAD_AGG_ST_DISTRICT_PEN[],Q$1,0),"ERROR")</f>
        <v>843</v>
      </c>
      <c r="R70" s="106">
        <f>IFERROR(VLOOKUP($B70,MMWR_TRAD_AGG_ST_DISTRICT_PEN[],R$1,0),"ERROR")</f>
        <v>2130</v>
      </c>
      <c r="S70" s="106">
        <f>IFERROR(VLOOKUP($B70,MMWR_APP_STATE_PEN[],S$1,0),"ERROR")</f>
        <v>1521</v>
      </c>
      <c r="T70" s="28"/>
    </row>
    <row r="71" spans="1:20" s="123" customFormat="1" x14ac:dyDescent="0.2">
      <c r="A71" s="28"/>
      <c r="B71" s="127" t="s">
        <v>383</v>
      </c>
      <c r="C71" s="109">
        <f>IFERROR(VLOOKUP($B71,MMWR_TRAD_AGG_STATE_PEN[],C$1,0),"ERROR")</f>
        <v>166</v>
      </c>
      <c r="D71" s="110">
        <f>IFERROR(VLOOKUP($B71,MMWR_TRAD_AGG_STATE_PEN[],D$1,0),"ERROR")</f>
        <v>83.608433734900004</v>
      </c>
      <c r="E71" s="111">
        <f>IFERROR(VLOOKUP($B71,MMWR_TRAD_AGG_STATE_PEN[],E$1,0),"ERROR")</f>
        <v>248</v>
      </c>
      <c r="F71" s="112">
        <f>IFERROR(VLOOKUP($B71,MMWR_TRAD_AGG_STATE_PEN[],F$1,0),"ERROR")</f>
        <v>63</v>
      </c>
      <c r="G71" s="113">
        <f t="shared" si="8"/>
        <v>0.25403225806451613</v>
      </c>
      <c r="H71" s="111">
        <f>IFERROR(VLOOKUP($B71,MMWR_TRAD_AGG_STATE_PEN[],H$1,0),"ERROR")</f>
        <v>248</v>
      </c>
      <c r="I71" s="112">
        <f>IFERROR(VLOOKUP($B71,MMWR_TRAD_AGG_STATE_PEN[],I$1,0),"ERROR")</f>
        <v>57</v>
      </c>
      <c r="J71" s="114">
        <f t="shared" si="9"/>
        <v>0.22983870967741934</v>
      </c>
      <c r="K71" s="111">
        <f>IFERROR(VLOOKUP($B71,MMWR_TRAD_AGG_STATE_PEN[],K$1,0),"ERROR")</f>
        <v>5</v>
      </c>
      <c r="L71" s="112">
        <f>IFERROR(VLOOKUP($B71,MMWR_TRAD_AGG_STATE_PEN[],L$1,0),"ERROR")</f>
        <v>5</v>
      </c>
      <c r="M71" s="114">
        <f t="shared" si="10"/>
        <v>1</v>
      </c>
      <c r="N71" s="111">
        <f>IFERROR(VLOOKUP($B71,MMWR_TRAD_AGG_STATE_PEN[],N$1,0),"ERROR")</f>
        <v>67</v>
      </c>
      <c r="O71" s="112">
        <f>IFERROR(VLOOKUP($B71,MMWR_TRAD_AGG_STATE_PEN[],O$1,0),"ERROR")</f>
        <v>14</v>
      </c>
      <c r="P71" s="114">
        <f t="shared" si="11"/>
        <v>0.20895522388059701</v>
      </c>
      <c r="Q71" s="115">
        <f>IFERROR(VLOOKUP($B71,MMWR_TRAD_AGG_STATE_PEN[],Q$1,0),"ERROR")</f>
        <v>18</v>
      </c>
      <c r="R71" s="115">
        <f>IFERROR(VLOOKUP($B71,MMWR_TRAD_AGG_STATE_PEN[],R$1,0),"ERROR")</f>
        <v>69</v>
      </c>
      <c r="S71" s="115">
        <f>IFERROR(VLOOKUP($B71,MMWR_APP_STATE_PEN[],S$1,0),"ERROR")</f>
        <v>58</v>
      </c>
      <c r="T71" s="28"/>
    </row>
    <row r="72" spans="1:20" s="123" customFormat="1" x14ac:dyDescent="0.2">
      <c r="A72" s="28"/>
      <c r="B72" s="127" t="s">
        <v>433</v>
      </c>
      <c r="C72" s="109">
        <f>IFERROR(VLOOKUP($B72,MMWR_TRAD_AGG_STATE_PEN[],C$1,0),"ERROR")</f>
        <v>53</v>
      </c>
      <c r="D72" s="110">
        <f>IFERROR(VLOOKUP($B72,MMWR_TRAD_AGG_STATE_PEN[],D$1,0),"ERROR")</f>
        <v>96.6981132075</v>
      </c>
      <c r="E72" s="111">
        <f>IFERROR(VLOOKUP($B72,MMWR_TRAD_AGG_STATE_PEN[],E$1,0),"ERROR")</f>
        <v>70</v>
      </c>
      <c r="F72" s="112">
        <f>IFERROR(VLOOKUP($B72,MMWR_TRAD_AGG_STATE_PEN[],F$1,0),"ERROR")</f>
        <v>18</v>
      </c>
      <c r="G72" s="113">
        <f t="shared" si="8"/>
        <v>0.25714285714285712</v>
      </c>
      <c r="H72" s="111">
        <f>IFERROR(VLOOKUP($B72,MMWR_TRAD_AGG_STATE_PEN[],H$1,0),"ERROR")</f>
        <v>77</v>
      </c>
      <c r="I72" s="112">
        <f>IFERROR(VLOOKUP($B72,MMWR_TRAD_AGG_STATE_PEN[],I$1,0),"ERROR")</f>
        <v>27</v>
      </c>
      <c r="J72" s="114">
        <f t="shared" si="9"/>
        <v>0.35064935064935066</v>
      </c>
      <c r="K72" s="111">
        <f>IFERROR(VLOOKUP($B72,MMWR_TRAD_AGG_STATE_PEN[],K$1,0),"ERROR")</f>
        <v>9</v>
      </c>
      <c r="L72" s="112">
        <f>IFERROR(VLOOKUP($B72,MMWR_TRAD_AGG_STATE_PEN[],L$1,0),"ERROR")</f>
        <v>8</v>
      </c>
      <c r="M72" s="114">
        <f t="shared" si="10"/>
        <v>0.88888888888888884</v>
      </c>
      <c r="N72" s="111">
        <f>IFERROR(VLOOKUP($B72,MMWR_TRAD_AGG_STATE_PEN[],N$1,0),"ERROR")</f>
        <v>30</v>
      </c>
      <c r="O72" s="112">
        <f>IFERROR(VLOOKUP($B72,MMWR_TRAD_AGG_STATE_PEN[],O$1,0),"ERROR")</f>
        <v>6</v>
      </c>
      <c r="P72" s="114">
        <f t="shared" si="11"/>
        <v>0.2</v>
      </c>
      <c r="Q72" s="115">
        <f>IFERROR(VLOOKUP($B72,MMWR_TRAD_AGG_STATE_PEN[],Q$1,0),"ERROR")</f>
        <v>7</v>
      </c>
      <c r="R72" s="115">
        <f>IFERROR(VLOOKUP($B72,MMWR_TRAD_AGG_STATE_PEN[],R$1,0),"ERROR")</f>
        <v>24</v>
      </c>
      <c r="S72" s="115">
        <f>IFERROR(VLOOKUP($B72,MMWR_APP_STATE_PEN[],S$1,0),"ERROR")</f>
        <v>20</v>
      </c>
      <c r="T72" s="28"/>
    </row>
    <row r="73" spans="1:20" s="123" customFormat="1" x14ac:dyDescent="0.2">
      <c r="A73" s="28"/>
      <c r="B73" s="127" t="s">
        <v>424</v>
      </c>
      <c r="C73" s="109">
        <f>IFERROR(VLOOKUP($B73,MMWR_TRAD_AGG_STATE_PEN[],C$1,0),"ERROR")</f>
        <v>38</v>
      </c>
      <c r="D73" s="110">
        <f>IFERROR(VLOOKUP($B73,MMWR_TRAD_AGG_STATE_PEN[],D$1,0),"ERROR")</f>
        <v>96.394736842100002</v>
      </c>
      <c r="E73" s="111">
        <f>IFERROR(VLOOKUP($B73,MMWR_TRAD_AGG_STATE_PEN[],E$1,0),"ERROR")</f>
        <v>53</v>
      </c>
      <c r="F73" s="112">
        <f>IFERROR(VLOOKUP($B73,MMWR_TRAD_AGG_STATE_PEN[],F$1,0),"ERROR")</f>
        <v>7</v>
      </c>
      <c r="G73" s="113">
        <f t="shared" si="8"/>
        <v>0.13207547169811321</v>
      </c>
      <c r="H73" s="111">
        <f>IFERROR(VLOOKUP($B73,MMWR_TRAD_AGG_STATE_PEN[],H$1,0),"ERROR")</f>
        <v>58</v>
      </c>
      <c r="I73" s="112">
        <f>IFERROR(VLOOKUP($B73,MMWR_TRAD_AGG_STATE_PEN[],I$1,0),"ERROR")</f>
        <v>16</v>
      </c>
      <c r="J73" s="114">
        <f t="shared" si="9"/>
        <v>0.27586206896551724</v>
      </c>
      <c r="K73" s="111">
        <f>IFERROR(VLOOKUP($B73,MMWR_TRAD_AGG_STATE_PEN[],K$1,0),"ERROR")</f>
        <v>4</v>
      </c>
      <c r="L73" s="112">
        <f>IFERROR(VLOOKUP($B73,MMWR_TRAD_AGG_STATE_PEN[],L$1,0),"ERROR")</f>
        <v>4</v>
      </c>
      <c r="M73" s="114">
        <f t="shared" si="10"/>
        <v>1</v>
      </c>
      <c r="N73" s="111">
        <f>IFERROR(VLOOKUP($B73,MMWR_TRAD_AGG_STATE_PEN[],N$1,0),"ERROR")</f>
        <v>15</v>
      </c>
      <c r="O73" s="112">
        <f>IFERROR(VLOOKUP($B73,MMWR_TRAD_AGG_STATE_PEN[],O$1,0),"ERROR")</f>
        <v>2</v>
      </c>
      <c r="P73" s="114">
        <f t="shared" si="11"/>
        <v>0.13333333333333333</v>
      </c>
      <c r="Q73" s="115">
        <f>IFERROR(VLOOKUP($B73,MMWR_TRAD_AGG_STATE_PEN[],Q$1,0),"ERROR")</f>
        <v>11</v>
      </c>
      <c r="R73" s="115">
        <f>IFERROR(VLOOKUP($B73,MMWR_TRAD_AGG_STATE_PEN[],R$1,0),"ERROR")</f>
        <v>12</v>
      </c>
      <c r="S73" s="115">
        <f>IFERROR(VLOOKUP($B73,MMWR_APP_STATE_PEN[],S$1,0),"ERROR")</f>
        <v>12</v>
      </c>
      <c r="T73" s="28"/>
    </row>
    <row r="74" spans="1:20" s="123" customFormat="1" x14ac:dyDescent="0.2">
      <c r="A74" s="28"/>
      <c r="B74" s="127" t="s">
        <v>426</v>
      </c>
      <c r="C74" s="109">
        <f>IFERROR(VLOOKUP($B74,MMWR_TRAD_AGG_STATE_PEN[],C$1,0),"ERROR")</f>
        <v>121</v>
      </c>
      <c r="D74" s="110">
        <f>IFERROR(VLOOKUP($B74,MMWR_TRAD_AGG_STATE_PEN[],D$1,0),"ERROR")</f>
        <v>97.520661157000006</v>
      </c>
      <c r="E74" s="111">
        <f>IFERROR(VLOOKUP($B74,MMWR_TRAD_AGG_STATE_PEN[],E$1,0),"ERROR")</f>
        <v>84</v>
      </c>
      <c r="F74" s="112">
        <f>IFERROR(VLOOKUP($B74,MMWR_TRAD_AGG_STATE_PEN[],F$1,0),"ERROR")</f>
        <v>10</v>
      </c>
      <c r="G74" s="113">
        <f t="shared" si="8"/>
        <v>0.11904761904761904</v>
      </c>
      <c r="H74" s="111">
        <f>IFERROR(VLOOKUP($B74,MMWR_TRAD_AGG_STATE_PEN[],H$1,0),"ERROR")</f>
        <v>193</v>
      </c>
      <c r="I74" s="112">
        <f>IFERROR(VLOOKUP($B74,MMWR_TRAD_AGG_STATE_PEN[],I$1,0),"ERROR")</f>
        <v>60</v>
      </c>
      <c r="J74" s="114">
        <f t="shared" si="9"/>
        <v>0.31088082901554404</v>
      </c>
      <c r="K74" s="111">
        <f>IFERROR(VLOOKUP($B74,MMWR_TRAD_AGG_STATE_PEN[],K$1,0),"ERROR")</f>
        <v>4</v>
      </c>
      <c r="L74" s="112">
        <f>IFERROR(VLOOKUP($B74,MMWR_TRAD_AGG_STATE_PEN[],L$1,0),"ERROR")</f>
        <v>3</v>
      </c>
      <c r="M74" s="114">
        <f t="shared" si="10"/>
        <v>0.75</v>
      </c>
      <c r="N74" s="111">
        <f>IFERROR(VLOOKUP($B74,MMWR_TRAD_AGG_STATE_PEN[],N$1,0),"ERROR")</f>
        <v>41</v>
      </c>
      <c r="O74" s="112">
        <f>IFERROR(VLOOKUP($B74,MMWR_TRAD_AGG_STATE_PEN[],O$1,0),"ERROR")</f>
        <v>6</v>
      </c>
      <c r="P74" s="114">
        <f t="shared" si="11"/>
        <v>0.14634146341463414</v>
      </c>
      <c r="Q74" s="115">
        <f>IFERROR(VLOOKUP($B74,MMWR_TRAD_AGG_STATE_PEN[],Q$1,0),"ERROR")</f>
        <v>22</v>
      </c>
      <c r="R74" s="115">
        <f>IFERROR(VLOOKUP($B74,MMWR_TRAD_AGG_STATE_PEN[],R$1,0),"ERROR")</f>
        <v>27</v>
      </c>
      <c r="S74" s="115">
        <f>IFERROR(VLOOKUP($B74,MMWR_APP_STATE_PEN[],S$1,0),"ERROR")</f>
        <v>24</v>
      </c>
      <c r="T74" s="28"/>
    </row>
    <row r="75" spans="1:20" s="123" customFormat="1" x14ac:dyDescent="0.2">
      <c r="A75" s="28"/>
      <c r="B75" s="127" t="s">
        <v>386</v>
      </c>
      <c r="C75" s="109">
        <f>IFERROR(VLOOKUP($B75,MMWR_TRAD_AGG_STATE_PEN[],C$1,0),"ERROR")</f>
        <v>348</v>
      </c>
      <c r="D75" s="110">
        <f>IFERROR(VLOOKUP($B75,MMWR_TRAD_AGG_STATE_PEN[],D$1,0),"ERROR")</f>
        <v>100.2442528736</v>
      </c>
      <c r="E75" s="111">
        <f>IFERROR(VLOOKUP($B75,MMWR_TRAD_AGG_STATE_PEN[],E$1,0),"ERROR")</f>
        <v>430</v>
      </c>
      <c r="F75" s="112">
        <f>IFERROR(VLOOKUP($B75,MMWR_TRAD_AGG_STATE_PEN[],F$1,0),"ERROR")</f>
        <v>106</v>
      </c>
      <c r="G75" s="113">
        <f t="shared" si="8"/>
        <v>0.24651162790697675</v>
      </c>
      <c r="H75" s="111">
        <f>IFERROR(VLOOKUP($B75,MMWR_TRAD_AGG_STATE_PEN[],H$1,0),"ERROR")</f>
        <v>539</v>
      </c>
      <c r="I75" s="112">
        <f>IFERROR(VLOOKUP($B75,MMWR_TRAD_AGG_STATE_PEN[],I$1,0),"ERROR")</f>
        <v>166</v>
      </c>
      <c r="J75" s="114">
        <f t="shared" si="9"/>
        <v>0.3079777365491651</v>
      </c>
      <c r="K75" s="111">
        <f>IFERROR(VLOOKUP($B75,MMWR_TRAD_AGG_STATE_PEN[],K$1,0),"ERROR")</f>
        <v>21</v>
      </c>
      <c r="L75" s="112">
        <f>IFERROR(VLOOKUP($B75,MMWR_TRAD_AGG_STATE_PEN[],L$1,0),"ERROR")</f>
        <v>18</v>
      </c>
      <c r="M75" s="114">
        <f t="shared" si="10"/>
        <v>0.8571428571428571</v>
      </c>
      <c r="N75" s="111">
        <f>IFERROR(VLOOKUP($B75,MMWR_TRAD_AGG_STATE_PEN[],N$1,0),"ERROR")</f>
        <v>128</v>
      </c>
      <c r="O75" s="112">
        <f>IFERROR(VLOOKUP($B75,MMWR_TRAD_AGG_STATE_PEN[],O$1,0),"ERROR")</f>
        <v>28</v>
      </c>
      <c r="P75" s="114">
        <f t="shared" si="11"/>
        <v>0.21875</v>
      </c>
      <c r="Q75" s="115">
        <f>IFERROR(VLOOKUP($B75,MMWR_TRAD_AGG_STATE_PEN[],Q$1,0),"ERROR")</f>
        <v>65</v>
      </c>
      <c r="R75" s="115">
        <f>IFERROR(VLOOKUP($B75,MMWR_TRAD_AGG_STATE_PEN[],R$1,0),"ERROR")</f>
        <v>154</v>
      </c>
      <c r="S75" s="115">
        <f>IFERROR(VLOOKUP($B75,MMWR_APP_STATE_PEN[],S$1,0),"ERROR")</f>
        <v>82</v>
      </c>
      <c r="T75" s="28"/>
    </row>
    <row r="76" spans="1:20" s="123" customFormat="1" x14ac:dyDescent="0.2">
      <c r="A76" s="28"/>
      <c r="B76" s="127" t="s">
        <v>381</v>
      </c>
      <c r="C76" s="109">
        <f>IFERROR(VLOOKUP($B76,MMWR_TRAD_AGG_STATE_PEN[],C$1,0),"ERROR")</f>
        <v>359</v>
      </c>
      <c r="D76" s="110">
        <f>IFERROR(VLOOKUP($B76,MMWR_TRAD_AGG_STATE_PEN[],D$1,0),"ERROR")</f>
        <v>94.0473537604</v>
      </c>
      <c r="E76" s="111">
        <f>IFERROR(VLOOKUP($B76,MMWR_TRAD_AGG_STATE_PEN[],E$1,0),"ERROR")</f>
        <v>423</v>
      </c>
      <c r="F76" s="112">
        <f>IFERROR(VLOOKUP($B76,MMWR_TRAD_AGG_STATE_PEN[],F$1,0),"ERROR")</f>
        <v>96</v>
      </c>
      <c r="G76" s="113">
        <f t="shared" si="8"/>
        <v>0.22695035460992907</v>
      </c>
      <c r="H76" s="111">
        <f>IFERROR(VLOOKUP($B76,MMWR_TRAD_AGG_STATE_PEN[],H$1,0),"ERROR")</f>
        <v>570</v>
      </c>
      <c r="I76" s="112">
        <f>IFERROR(VLOOKUP($B76,MMWR_TRAD_AGG_STATE_PEN[],I$1,0),"ERROR")</f>
        <v>162</v>
      </c>
      <c r="J76" s="114">
        <f t="shared" si="9"/>
        <v>0.28421052631578947</v>
      </c>
      <c r="K76" s="111">
        <f>IFERROR(VLOOKUP($B76,MMWR_TRAD_AGG_STATE_PEN[],K$1,0),"ERROR")</f>
        <v>12</v>
      </c>
      <c r="L76" s="112">
        <f>IFERROR(VLOOKUP($B76,MMWR_TRAD_AGG_STATE_PEN[],L$1,0),"ERROR")</f>
        <v>11</v>
      </c>
      <c r="M76" s="114">
        <f t="shared" si="10"/>
        <v>0.91666666666666663</v>
      </c>
      <c r="N76" s="111">
        <f>IFERROR(VLOOKUP($B76,MMWR_TRAD_AGG_STATE_PEN[],N$1,0),"ERROR")</f>
        <v>126</v>
      </c>
      <c r="O76" s="112">
        <f>IFERROR(VLOOKUP($B76,MMWR_TRAD_AGG_STATE_PEN[],O$1,0),"ERROR")</f>
        <v>22</v>
      </c>
      <c r="P76" s="114">
        <f t="shared" si="11"/>
        <v>0.17460317460317459</v>
      </c>
      <c r="Q76" s="115">
        <f>IFERROR(VLOOKUP($B76,MMWR_TRAD_AGG_STATE_PEN[],Q$1,0),"ERROR")</f>
        <v>44</v>
      </c>
      <c r="R76" s="115">
        <f>IFERROR(VLOOKUP($B76,MMWR_TRAD_AGG_STATE_PEN[],R$1,0),"ERROR")</f>
        <v>140</v>
      </c>
      <c r="S76" s="115">
        <f>IFERROR(VLOOKUP($B76,MMWR_APP_STATE_PEN[],S$1,0),"ERROR")</f>
        <v>120</v>
      </c>
      <c r="T76" s="28"/>
    </row>
    <row r="77" spans="1:20" s="123" customFormat="1" x14ac:dyDescent="0.2">
      <c r="A77" s="28"/>
      <c r="B77" s="127" t="s">
        <v>425</v>
      </c>
      <c r="C77" s="109">
        <f>IFERROR(VLOOKUP($B77,MMWR_TRAD_AGG_STATE_PEN[],C$1,0),"ERROR")</f>
        <v>96</v>
      </c>
      <c r="D77" s="110">
        <f>IFERROR(VLOOKUP($B77,MMWR_TRAD_AGG_STATE_PEN[],D$1,0),"ERROR")</f>
        <v>86.40625</v>
      </c>
      <c r="E77" s="111">
        <f>IFERROR(VLOOKUP($B77,MMWR_TRAD_AGG_STATE_PEN[],E$1,0),"ERROR")</f>
        <v>97</v>
      </c>
      <c r="F77" s="112">
        <f>IFERROR(VLOOKUP($B77,MMWR_TRAD_AGG_STATE_PEN[],F$1,0),"ERROR")</f>
        <v>22</v>
      </c>
      <c r="G77" s="113">
        <f t="shared" si="8"/>
        <v>0.22680412371134021</v>
      </c>
      <c r="H77" s="111">
        <f>IFERROR(VLOOKUP($B77,MMWR_TRAD_AGG_STATE_PEN[],H$1,0),"ERROR")</f>
        <v>146</v>
      </c>
      <c r="I77" s="112">
        <f>IFERROR(VLOOKUP($B77,MMWR_TRAD_AGG_STATE_PEN[],I$1,0),"ERROR")</f>
        <v>31</v>
      </c>
      <c r="J77" s="114">
        <f t="shared" si="9"/>
        <v>0.21232876712328766</v>
      </c>
      <c r="K77" s="111">
        <f>IFERROR(VLOOKUP($B77,MMWR_TRAD_AGG_STATE_PEN[],K$1,0),"ERROR")</f>
        <v>3</v>
      </c>
      <c r="L77" s="112">
        <f>IFERROR(VLOOKUP($B77,MMWR_TRAD_AGG_STATE_PEN[],L$1,0),"ERROR")</f>
        <v>3</v>
      </c>
      <c r="M77" s="114">
        <f t="shared" si="10"/>
        <v>1</v>
      </c>
      <c r="N77" s="111">
        <f>IFERROR(VLOOKUP($B77,MMWR_TRAD_AGG_STATE_PEN[],N$1,0),"ERROR")</f>
        <v>32</v>
      </c>
      <c r="O77" s="112">
        <f>IFERROR(VLOOKUP($B77,MMWR_TRAD_AGG_STATE_PEN[],O$1,0),"ERROR")</f>
        <v>6</v>
      </c>
      <c r="P77" s="114">
        <f t="shared" si="11"/>
        <v>0.1875</v>
      </c>
      <c r="Q77" s="115">
        <f>IFERROR(VLOOKUP($B77,MMWR_TRAD_AGG_STATE_PEN[],Q$1,0),"ERROR")</f>
        <v>9</v>
      </c>
      <c r="R77" s="115">
        <f>IFERROR(VLOOKUP($B77,MMWR_TRAD_AGG_STATE_PEN[],R$1,0),"ERROR")</f>
        <v>28</v>
      </c>
      <c r="S77" s="115">
        <f>IFERROR(VLOOKUP($B77,MMWR_APP_STATE_PEN[],S$1,0),"ERROR")</f>
        <v>20</v>
      </c>
      <c r="T77" s="28"/>
    </row>
    <row r="78" spans="1:20" s="123" customFormat="1" x14ac:dyDescent="0.2">
      <c r="A78" s="28"/>
      <c r="B78" s="127" t="s">
        <v>384</v>
      </c>
      <c r="C78" s="109">
        <f>IFERROR(VLOOKUP($B78,MMWR_TRAD_AGG_STATE_PEN[],C$1,0),"ERROR")</f>
        <v>419</v>
      </c>
      <c r="D78" s="110">
        <f>IFERROR(VLOOKUP($B78,MMWR_TRAD_AGG_STATE_PEN[],D$1,0),"ERROR")</f>
        <v>97.219570405699997</v>
      </c>
      <c r="E78" s="111">
        <f>IFERROR(VLOOKUP($B78,MMWR_TRAD_AGG_STATE_PEN[],E$1,0),"ERROR")</f>
        <v>549</v>
      </c>
      <c r="F78" s="112">
        <f>IFERROR(VLOOKUP($B78,MMWR_TRAD_AGG_STATE_PEN[],F$1,0),"ERROR")</f>
        <v>141</v>
      </c>
      <c r="G78" s="113">
        <f t="shared" si="8"/>
        <v>0.25683060109289618</v>
      </c>
      <c r="H78" s="111">
        <f>IFERROR(VLOOKUP($B78,MMWR_TRAD_AGG_STATE_PEN[],H$1,0),"ERROR")</f>
        <v>646</v>
      </c>
      <c r="I78" s="112">
        <f>IFERROR(VLOOKUP($B78,MMWR_TRAD_AGG_STATE_PEN[],I$1,0),"ERROR")</f>
        <v>192</v>
      </c>
      <c r="J78" s="114">
        <f t="shared" si="9"/>
        <v>0.29721362229102166</v>
      </c>
      <c r="K78" s="111">
        <f>IFERROR(VLOOKUP($B78,MMWR_TRAD_AGG_STATE_PEN[],K$1,0),"ERROR")</f>
        <v>15</v>
      </c>
      <c r="L78" s="112">
        <f>IFERROR(VLOOKUP($B78,MMWR_TRAD_AGG_STATE_PEN[],L$1,0),"ERROR")</f>
        <v>15</v>
      </c>
      <c r="M78" s="114">
        <f t="shared" si="10"/>
        <v>1</v>
      </c>
      <c r="N78" s="111">
        <f>IFERROR(VLOOKUP($B78,MMWR_TRAD_AGG_STATE_PEN[],N$1,0),"ERROR")</f>
        <v>154</v>
      </c>
      <c r="O78" s="112">
        <f>IFERROR(VLOOKUP($B78,MMWR_TRAD_AGG_STATE_PEN[],O$1,0),"ERROR")</f>
        <v>28</v>
      </c>
      <c r="P78" s="114">
        <f t="shared" si="11"/>
        <v>0.18181818181818182</v>
      </c>
      <c r="Q78" s="115">
        <f>IFERROR(VLOOKUP($B78,MMWR_TRAD_AGG_STATE_PEN[],Q$1,0),"ERROR")</f>
        <v>62</v>
      </c>
      <c r="R78" s="115">
        <f>IFERROR(VLOOKUP($B78,MMWR_TRAD_AGG_STATE_PEN[],R$1,0),"ERROR")</f>
        <v>190</v>
      </c>
      <c r="S78" s="115">
        <f>IFERROR(VLOOKUP($B78,MMWR_APP_STATE_PEN[],S$1,0),"ERROR")</f>
        <v>175</v>
      </c>
      <c r="T78" s="28"/>
    </row>
    <row r="79" spans="1:20" s="123" customFormat="1" x14ac:dyDescent="0.2">
      <c r="A79" s="28"/>
      <c r="B79" s="127" t="s">
        <v>63</v>
      </c>
      <c r="C79" s="109">
        <f>IFERROR(VLOOKUP($B79,MMWR_TRAD_AGG_STATE_PEN[],C$1,0),"ERROR")</f>
        <v>1121</v>
      </c>
      <c r="D79" s="110">
        <f>IFERROR(VLOOKUP($B79,MMWR_TRAD_AGG_STATE_PEN[],D$1,0),"ERROR")</f>
        <v>99.747546833200005</v>
      </c>
      <c r="E79" s="111">
        <f>IFERROR(VLOOKUP($B79,MMWR_TRAD_AGG_STATE_PEN[],E$1,0),"ERROR")</f>
        <v>1513</v>
      </c>
      <c r="F79" s="112">
        <f>IFERROR(VLOOKUP($B79,MMWR_TRAD_AGG_STATE_PEN[],F$1,0),"ERROR")</f>
        <v>388</v>
      </c>
      <c r="G79" s="113">
        <f t="shared" si="8"/>
        <v>0.25644415069398546</v>
      </c>
      <c r="H79" s="111">
        <f>IFERROR(VLOOKUP($B79,MMWR_TRAD_AGG_STATE_PEN[],H$1,0),"ERROR")</f>
        <v>1866</v>
      </c>
      <c r="I79" s="112">
        <f>IFERROR(VLOOKUP($B79,MMWR_TRAD_AGG_STATE_PEN[],I$1,0),"ERROR")</f>
        <v>547</v>
      </c>
      <c r="J79" s="114">
        <f t="shared" si="9"/>
        <v>0.29314040728831725</v>
      </c>
      <c r="K79" s="111">
        <f>IFERROR(VLOOKUP($B79,MMWR_TRAD_AGG_STATE_PEN[],K$1,0),"ERROR")</f>
        <v>50</v>
      </c>
      <c r="L79" s="112">
        <f>IFERROR(VLOOKUP($B79,MMWR_TRAD_AGG_STATE_PEN[],L$1,0),"ERROR")</f>
        <v>48</v>
      </c>
      <c r="M79" s="114">
        <f t="shared" si="10"/>
        <v>0.96</v>
      </c>
      <c r="N79" s="111">
        <f>IFERROR(VLOOKUP($B79,MMWR_TRAD_AGG_STATE_PEN[],N$1,0),"ERROR")</f>
        <v>301</v>
      </c>
      <c r="O79" s="112">
        <f>IFERROR(VLOOKUP($B79,MMWR_TRAD_AGG_STATE_PEN[],O$1,0),"ERROR")</f>
        <v>62</v>
      </c>
      <c r="P79" s="114">
        <f t="shared" si="11"/>
        <v>0.20598006644518271</v>
      </c>
      <c r="Q79" s="115">
        <f>IFERROR(VLOOKUP($B79,MMWR_TRAD_AGG_STATE_PEN[],Q$1,0),"ERROR")</f>
        <v>111</v>
      </c>
      <c r="R79" s="115">
        <f>IFERROR(VLOOKUP($B79,MMWR_TRAD_AGG_STATE_PEN[],R$1,0),"ERROR")</f>
        <v>333</v>
      </c>
      <c r="S79" s="115">
        <f>IFERROR(VLOOKUP($B79,MMWR_APP_STATE_PEN[],S$1,0),"ERROR")</f>
        <v>250</v>
      </c>
      <c r="T79" s="28"/>
    </row>
    <row r="80" spans="1:20" s="123" customFormat="1" x14ac:dyDescent="0.2">
      <c r="A80" s="28"/>
      <c r="B80" s="127" t="s">
        <v>392</v>
      </c>
      <c r="C80" s="109">
        <f>IFERROR(VLOOKUP($B80,MMWR_TRAD_AGG_STATE_PEN[],C$1,0),"ERROR")</f>
        <v>1250</v>
      </c>
      <c r="D80" s="110">
        <f>IFERROR(VLOOKUP($B80,MMWR_TRAD_AGG_STATE_PEN[],D$1,0),"ERROR")</f>
        <v>100.64400000000001</v>
      </c>
      <c r="E80" s="111">
        <f>IFERROR(VLOOKUP($B80,MMWR_TRAD_AGG_STATE_PEN[],E$1,0),"ERROR")</f>
        <v>1044</v>
      </c>
      <c r="F80" s="112">
        <f>IFERROR(VLOOKUP($B80,MMWR_TRAD_AGG_STATE_PEN[],F$1,0),"ERROR")</f>
        <v>254</v>
      </c>
      <c r="G80" s="113">
        <f t="shared" si="8"/>
        <v>0.24329501915708812</v>
      </c>
      <c r="H80" s="111">
        <f>IFERROR(VLOOKUP($B80,MMWR_TRAD_AGG_STATE_PEN[],H$1,0),"ERROR")</f>
        <v>2026</v>
      </c>
      <c r="I80" s="112">
        <f>IFERROR(VLOOKUP($B80,MMWR_TRAD_AGG_STATE_PEN[],I$1,0),"ERROR")</f>
        <v>650</v>
      </c>
      <c r="J80" s="114">
        <f t="shared" si="9"/>
        <v>0.32082922013820336</v>
      </c>
      <c r="K80" s="111">
        <f>IFERROR(VLOOKUP($B80,MMWR_TRAD_AGG_STATE_PEN[],K$1,0),"ERROR")</f>
        <v>76</v>
      </c>
      <c r="L80" s="112">
        <f>IFERROR(VLOOKUP($B80,MMWR_TRAD_AGG_STATE_PEN[],L$1,0),"ERROR")</f>
        <v>72</v>
      </c>
      <c r="M80" s="114">
        <f t="shared" si="10"/>
        <v>0.94736842105263153</v>
      </c>
      <c r="N80" s="111">
        <f>IFERROR(VLOOKUP($B80,MMWR_TRAD_AGG_STATE_PEN[],N$1,0),"ERROR")</f>
        <v>374</v>
      </c>
      <c r="O80" s="112">
        <f>IFERROR(VLOOKUP($B80,MMWR_TRAD_AGG_STATE_PEN[],O$1,0),"ERROR")</f>
        <v>80</v>
      </c>
      <c r="P80" s="114">
        <f t="shared" si="11"/>
        <v>0.21390374331550802</v>
      </c>
      <c r="Q80" s="115">
        <f>IFERROR(VLOOKUP($B80,MMWR_TRAD_AGG_STATE_PEN[],Q$1,0),"ERROR")</f>
        <v>203</v>
      </c>
      <c r="R80" s="115">
        <f>IFERROR(VLOOKUP($B80,MMWR_TRAD_AGG_STATE_PEN[],R$1,0),"ERROR")</f>
        <v>363</v>
      </c>
      <c r="S80" s="115">
        <f>IFERROR(VLOOKUP($B80,MMWR_APP_STATE_PEN[],S$1,0),"ERROR")</f>
        <v>230</v>
      </c>
      <c r="T80" s="28"/>
    </row>
    <row r="81" spans="1:20" s="123" customFormat="1" x14ac:dyDescent="0.2">
      <c r="A81" s="28"/>
      <c r="B81" s="127" t="s">
        <v>385</v>
      </c>
      <c r="C81" s="109">
        <f>IFERROR(VLOOKUP($B81,MMWR_TRAD_AGG_STATE_PEN[],C$1,0),"ERROR")</f>
        <v>1479</v>
      </c>
      <c r="D81" s="110">
        <f>IFERROR(VLOOKUP($B81,MMWR_TRAD_AGG_STATE_PEN[],D$1,0),"ERROR")</f>
        <v>95.475321162900002</v>
      </c>
      <c r="E81" s="111">
        <f>IFERROR(VLOOKUP($B81,MMWR_TRAD_AGG_STATE_PEN[],E$1,0),"ERROR")</f>
        <v>1823</v>
      </c>
      <c r="F81" s="112">
        <f>IFERROR(VLOOKUP($B81,MMWR_TRAD_AGG_STATE_PEN[],F$1,0),"ERROR")</f>
        <v>480</v>
      </c>
      <c r="G81" s="113">
        <f t="shared" si="8"/>
        <v>0.2633022490400439</v>
      </c>
      <c r="H81" s="111">
        <f>IFERROR(VLOOKUP($B81,MMWR_TRAD_AGG_STATE_PEN[],H$1,0),"ERROR")</f>
        <v>2383</v>
      </c>
      <c r="I81" s="112">
        <f>IFERROR(VLOOKUP($B81,MMWR_TRAD_AGG_STATE_PEN[],I$1,0),"ERROR")</f>
        <v>659</v>
      </c>
      <c r="J81" s="114">
        <f t="shared" si="9"/>
        <v>0.2765421737305917</v>
      </c>
      <c r="K81" s="111">
        <f>IFERROR(VLOOKUP($B81,MMWR_TRAD_AGG_STATE_PEN[],K$1,0),"ERROR")</f>
        <v>51</v>
      </c>
      <c r="L81" s="112">
        <f>IFERROR(VLOOKUP($B81,MMWR_TRAD_AGG_STATE_PEN[],L$1,0),"ERROR")</f>
        <v>49</v>
      </c>
      <c r="M81" s="114">
        <f t="shared" si="10"/>
        <v>0.96078431372549022</v>
      </c>
      <c r="N81" s="111">
        <f>IFERROR(VLOOKUP($B81,MMWR_TRAD_AGG_STATE_PEN[],N$1,0),"ERROR")</f>
        <v>464</v>
      </c>
      <c r="O81" s="112">
        <f>IFERROR(VLOOKUP($B81,MMWR_TRAD_AGG_STATE_PEN[],O$1,0),"ERROR")</f>
        <v>88</v>
      </c>
      <c r="P81" s="114">
        <f t="shared" si="11"/>
        <v>0.18965517241379309</v>
      </c>
      <c r="Q81" s="115">
        <f>IFERROR(VLOOKUP($B81,MMWR_TRAD_AGG_STATE_PEN[],Q$1,0),"ERROR")</f>
        <v>120</v>
      </c>
      <c r="R81" s="115">
        <f>IFERROR(VLOOKUP($B81,MMWR_TRAD_AGG_STATE_PEN[],R$1,0),"ERROR")</f>
        <v>412</v>
      </c>
      <c r="S81" s="115">
        <f>IFERROR(VLOOKUP($B81,MMWR_APP_STATE_PEN[],S$1,0),"ERROR")</f>
        <v>284</v>
      </c>
      <c r="T81" s="28"/>
    </row>
    <row r="82" spans="1:20" s="123" customFormat="1" x14ac:dyDescent="0.2">
      <c r="A82" s="28"/>
      <c r="B82" s="127" t="s">
        <v>382</v>
      </c>
      <c r="C82" s="109">
        <f>IFERROR(VLOOKUP($B82,MMWR_TRAD_AGG_STATE_PEN[],C$1,0),"ERROR")</f>
        <v>61</v>
      </c>
      <c r="D82" s="110">
        <f>IFERROR(VLOOKUP($B82,MMWR_TRAD_AGG_STATE_PEN[],D$1,0),"ERROR")</f>
        <v>88.196721311499999</v>
      </c>
      <c r="E82" s="111">
        <f>IFERROR(VLOOKUP($B82,MMWR_TRAD_AGG_STATE_PEN[],E$1,0),"ERROR")</f>
        <v>124</v>
      </c>
      <c r="F82" s="112">
        <f>IFERROR(VLOOKUP($B82,MMWR_TRAD_AGG_STATE_PEN[],F$1,0),"ERROR")</f>
        <v>28</v>
      </c>
      <c r="G82" s="113">
        <f t="shared" si="8"/>
        <v>0.22580645161290322</v>
      </c>
      <c r="H82" s="111">
        <f>IFERROR(VLOOKUP($B82,MMWR_TRAD_AGG_STATE_PEN[],H$1,0),"ERROR")</f>
        <v>113</v>
      </c>
      <c r="I82" s="112">
        <f>IFERROR(VLOOKUP($B82,MMWR_TRAD_AGG_STATE_PEN[],I$1,0),"ERROR")</f>
        <v>22</v>
      </c>
      <c r="J82" s="114">
        <f t="shared" si="9"/>
        <v>0.19469026548672566</v>
      </c>
      <c r="K82" s="111">
        <f>IFERROR(VLOOKUP($B82,MMWR_TRAD_AGG_STATE_PEN[],K$1,0),"ERROR")</f>
        <v>6</v>
      </c>
      <c r="L82" s="112">
        <f>IFERROR(VLOOKUP($B82,MMWR_TRAD_AGG_STATE_PEN[],L$1,0),"ERROR")</f>
        <v>6</v>
      </c>
      <c r="M82" s="114">
        <f t="shared" si="10"/>
        <v>1</v>
      </c>
      <c r="N82" s="111">
        <f>IFERROR(VLOOKUP($B82,MMWR_TRAD_AGG_STATE_PEN[],N$1,0),"ERROR")</f>
        <v>28</v>
      </c>
      <c r="O82" s="112">
        <f>IFERROR(VLOOKUP($B82,MMWR_TRAD_AGG_STATE_PEN[],O$1,0),"ERROR")</f>
        <v>6</v>
      </c>
      <c r="P82" s="114">
        <f t="shared" si="11"/>
        <v>0.21428571428571427</v>
      </c>
      <c r="Q82" s="115">
        <f>IFERROR(VLOOKUP($B82,MMWR_TRAD_AGG_STATE_PEN[],Q$1,0),"ERROR")</f>
        <v>15</v>
      </c>
      <c r="R82" s="115">
        <f>IFERROR(VLOOKUP($B82,MMWR_TRAD_AGG_STATE_PEN[],R$1,0),"ERROR")</f>
        <v>27</v>
      </c>
      <c r="S82" s="115">
        <f>IFERROR(VLOOKUP($B82,MMWR_APP_STATE_PEN[],S$1,0),"ERROR")</f>
        <v>24</v>
      </c>
      <c r="T82" s="28"/>
    </row>
    <row r="83" spans="1:20" s="123" customFormat="1" x14ac:dyDescent="0.2">
      <c r="A83" s="28"/>
      <c r="B83" s="127" t="s">
        <v>427</v>
      </c>
      <c r="C83" s="109">
        <f>IFERROR(VLOOKUP($B83,MMWR_TRAD_AGG_STATE_PEN[],C$1,0),"ERROR")</f>
        <v>31</v>
      </c>
      <c r="D83" s="110">
        <f>IFERROR(VLOOKUP($B83,MMWR_TRAD_AGG_STATE_PEN[],D$1,0),"ERROR")</f>
        <v>104.0967741935</v>
      </c>
      <c r="E83" s="111">
        <f>IFERROR(VLOOKUP($B83,MMWR_TRAD_AGG_STATE_PEN[],E$1,0),"ERROR")</f>
        <v>24</v>
      </c>
      <c r="F83" s="112">
        <f>IFERROR(VLOOKUP($B83,MMWR_TRAD_AGG_STATE_PEN[],F$1,0),"ERROR")</f>
        <v>4</v>
      </c>
      <c r="G83" s="113">
        <f t="shared" si="8"/>
        <v>0.16666666666666666</v>
      </c>
      <c r="H83" s="111">
        <f>IFERROR(VLOOKUP($B83,MMWR_TRAD_AGG_STATE_PEN[],H$1,0),"ERROR")</f>
        <v>43</v>
      </c>
      <c r="I83" s="112">
        <f>IFERROR(VLOOKUP($B83,MMWR_TRAD_AGG_STATE_PEN[],I$1,0),"ERROR")</f>
        <v>16</v>
      </c>
      <c r="J83" s="114">
        <f t="shared" si="9"/>
        <v>0.37209302325581395</v>
      </c>
      <c r="K83" s="111">
        <f>IFERROR(VLOOKUP($B83,MMWR_TRAD_AGG_STATE_PEN[],K$1,0),"ERROR")</f>
        <v>2</v>
      </c>
      <c r="L83" s="112">
        <f>IFERROR(VLOOKUP($B83,MMWR_TRAD_AGG_STATE_PEN[],L$1,0),"ERROR")</f>
        <v>2</v>
      </c>
      <c r="M83" s="114">
        <f t="shared" si="10"/>
        <v>1</v>
      </c>
      <c r="N83" s="111">
        <f>IFERROR(VLOOKUP($B83,MMWR_TRAD_AGG_STATE_PEN[],N$1,0),"ERROR")</f>
        <v>10</v>
      </c>
      <c r="O83" s="112">
        <f>IFERROR(VLOOKUP($B83,MMWR_TRAD_AGG_STATE_PEN[],O$1,0),"ERROR")</f>
        <v>1</v>
      </c>
      <c r="P83" s="114">
        <f t="shared" si="11"/>
        <v>0.1</v>
      </c>
      <c r="Q83" s="115">
        <f>IFERROR(VLOOKUP($B83,MMWR_TRAD_AGG_STATE_PEN[],Q$1,0),"ERROR")</f>
        <v>6</v>
      </c>
      <c r="R83" s="115">
        <f>IFERROR(VLOOKUP($B83,MMWR_TRAD_AGG_STATE_PEN[],R$1,0),"ERROR")</f>
        <v>5</v>
      </c>
      <c r="S83" s="115">
        <f>IFERROR(VLOOKUP($B83,MMWR_APP_STATE_PEN[],S$1,0),"ERROR")</f>
        <v>6</v>
      </c>
      <c r="T83" s="28"/>
    </row>
    <row r="84" spans="1:20" s="123" customFormat="1" x14ac:dyDescent="0.2">
      <c r="A84" s="28"/>
      <c r="B84" s="127" t="s">
        <v>388</v>
      </c>
      <c r="C84" s="109">
        <f>IFERROR(VLOOKUP($B84,MMWR_TRAD_AGG_STATE_PEN[],C$1,0),"ERROR")</f>
        <v>731</v>
      </c>
      <c r="D84" s="110">
        <f>IFERROR(VLOOKUP($B84,MMWR_TRAD_AGG_STATE_PEN[],D$1,0),"ERROR")</f>
        <v>102.4213406293</v>
      </c>
      <c r="E84" s="111">
        <f>IFERROR(VLOOKUP($B84,MMWR_TRAD_AGG_STATE_PEN[],E$1,0),"ERROR")</f>
        <v>686</v>
      </c>
      <c r="F84" s="112">
        <f>IFERROR(VLOOKUP($B84,MMWR_TRAD_AGG_STATE_PEN[],F$1,0),"ERROR")</f>
        <v>171</v>
      </c>
      <c r="G84" s="113">
        <f t="shared" si="8"/>
        <v>0.24927113702623907</v>
      </c>
      <c r="H84" s="111">
        <f>IFERROR(VLOOKUP($B84,MMWR_TRAD_AGG_STATE_PEN[],H$1,0),"ERROR")</f>
        <v>1122</v>
      </c>
      <c r="I84" s="112">
        <f>IFERROR(VLOOKUP($B84,MMWR_TRAD_AGG_STATE_PEN[],I$1,0),"ERROR")</f>
        <v>350</v>
      </c>
      <c r="J84" s="114">
        <f t="shared" si="9"/>
        <v>0.31194295900178254</v>
      </c>
      <c r="K84" s="111">
        <f>IFERROR(VLOOKUP($B84,MMWR_TRAD_AGG_STATE_PEN[],K$1,0),"ERROR")</f>
        <v>161</v>
      </c>
      <c r="L84" s="112">
        <f>IFERROR(VLOOKUP($B84,MMWR_TRAD_AGG_STATE_PEN[],L$1,0),"ERROR")</f>
        <v>158</v>
      </c>
      <c r="M84" s="114">
        <f t="shared" si="10"/>
        <v>0.98136645962732916</v>
      </c>
      <c r="N84" s="111">
        <f>IFERROR(VLOOKUP($B84,MMWR_TRAD_AGG_STATE_PEN[],N$1,0),"ERROR")</f>
        <v>201</v>
      </c>
      <c r="O84" s="112">
        <f>IFERROR(VLOOKUP($B84,MMWR_TRAD_AGG_STATE_PEN[],O$1,0),"ERROR")</f>
        <v>43</v>
      </c>
      <c r="P84" s="114">
        <f t="shared" si="11"/>
        <v>0.21393034825870647</v>
      </c>
      <c r="Q84" s="115">
        <f>IFERROR(VLOOKUP($B84,MMWR_TRAD_AGG_STATE_PEN[],Q$1,0),"ERROR")</f>
        <v>105</v>
      </c>
      <c r="R84" s="115">
        <f>IFERROR(VLOOKUP($B84,MMWR_TRAD_AGG_STATE_PEN[],R$1,0),"ERROR")</f>
        <v>276</v>
      </c>
      <c r="S84" s="115">
        <f>IFERROR(VLOOKUP($B84,MMWR_APP_STATE_PEN[],S$1,0),"ERROR")</f>
        <v>170</v>
      </c>
      <c r="T84" s="28"/>
    </row>
    <row r="85" spans="1:20" s="123" customFormat="1" x14ac:dyDescent="0.2">
      <c r="A85" s="28"/>
      <c r="B85" s="127" t="s">
        <v>389</v>
      </c>
      <c r="C85" s="109">
        <f>IFERROR(VLOOKUP($B85,MMWR_TRAD_AGG_STATE_PEN[],C$1,0),"ERROR")</f>
        <v>252</v>
      </c>
      <c r="D85" s="110">
        <f>IFERROR(VLOOKUP($B85,MMWR_TRAD_AGG_STATE_PEN[],D$1,0),"ERROR")</f>
        <v>101.376984127</v>
      </c>
      <c r="E85" s="111">
        <f>IFERROR(VLOOKUP($B85,MMWR_TRAD_AGG_STATE_PEN[],E$1,0),"ERROR")</f>
        <v>198</v>
      </c>
      <c r="F85" s="112">
        <f>IFERROR(VLOOKUP($B85,MMWR_TRAD_AGG_STATE_PEN[],F$1,0),"ERROR")</f>
        <v>40</v>
      </c>
      <c r="G85" s="113">
        <f t="shared" si="8"/>
        <v>0.20202020202020202</v>
      </c>
      <c r="H85" s="111">
        <f>IFERROR(VLOOKUP($B85,MMWR_TRAD_AGG_STATE_PEN[],H$1,0),"ERROR")</f>
        <v>361</v>
      </c>
      <c r="I85" s="112">
        <f>IFERROR(VLOOKUP($B85,MMWR_TRAD_AGG_STATE_PEN[],I$1,0),"ERROR")</f>
        <v>112</v>
      </c>
      <c r="J85" s="114">
        <f t="shared" si="9"/>
        <v>0.31024930747922436</v>
      </c>
      <c r="K85" s="111">
        <f>IFERROR(VLOOKUP($B85,MMWR_TRAD_AGG_STATE_PEN[],K$1,0),"ERROR")</f>
        <v>9</v>
      </c>
      <c r="L85" s="112">
        <f>IFERROR(VLOOKUP($B85,MMWR_TRAD_AGG_STATE_PEN[],L$1,0),"ERROR")</f>
        <v>8</v>
      </c>
      <c r="M85" s="114">
        <f t="shared" si="10"/>
        <v>0.88888888888888884</v>
      </c>
      <c r="N85" s="111">
        <f>IFERROR(VLOOKUP($B85,MMWR_TRAD_AGG_STATE_PEN[],N$1,0),"ERROR")</f>
        <v>77</v>
      </c>
      <c r="O85" s="112">
        <f>IFERROR(VLOOKUP($B85,MMWR_TRAD_AGG_STATE_PEN[],O$1,0),"ERROR")</f>
        <v>13</v>
      </c>
      <c r="P85" s="114">
        <f t="shared" si="11"/>
        <v>0.16883116883116883</v>
      </c>
      <c r="Q85" s="115">
        <f>IFERROR(VLOOKUP($B85,MMWR_TRAD_AGG_STATE_PEN[],Q$1,0),"ERROR")</f>
        <v>45</v>
      </c>
      <c r="R85" s="115">
        <f>IFERROR(VLOOKUP($B85,MMWR_TRAD_AGG_STATE_PEN[],R$1,0),"ERROR")</f>
        <v>70</v>
      </c>
      <c r="S85" s="115">
        <f>IFERROR(VLOOKUP($B85,MMWR_APP_STATE_PEN[],S$1,0),"ERROR")</f>
        <v>46</v>
      </c>
      <c r="T85" s="28"/>
    </row>
    <row r="86" spans="1:20" s="123" customFormat="1" x14ac:dyDescent="0.2">
      <c r="A86" s="28"/>
      <c r="B86" s="126" t="s">
        <v>400</v>
      </c>
      <c r="C86" s="102">
        <f>IFERROR(VLOOKUP($B86,MMWR_TRAD_AGG_ST_DISTRICT_PEN[],C$1,0),"ERROR")</f>
        <v>2280</v>
      </c>
      <c r="D86" s="103">
        <f>IFERROR(VLOOKUP($B86,MMWR_TRAD_AGG_ST_DISTRICT_PEN[],D$1,0),"ERROR")</f>
        <v>61.563157894699998</v>
      </c>
      <c r="E86" s="102">
        <f>IFERROR(VLOOKUP($B86,MMWR_TRAD_AGG_ST_DISTRICT_PEN[],E$1,0),"ERROR")</f>
        <v>5123</v>
      </c>
      <c r="F86" s="102">
        <f>IFERROR(VLOOKUP($B86,MMWR_TRAD_AGG_ST_DISTRICT_PEN[],F$1,0),"ERROR")</f>
        <v>393</v>
      </c>
      <c r="G86" s="104">
        <f t="shared" si="8"/>
        <v>7.6712863556509858E-2</v>
      </c>
      <c r="H86" s="102">
        <f>IFERROR(VLOOKUP($B86,MMWR_TRAD_AGG_ST_DISTRICT_PEN[],H$1,0),"ERROR")</f>
        <v>4158</v>
      </c>
      <c r="I86" s="102">
        <f>IFERROR(VLOOKUP($B86,MMWR_TRAD_AGG_ST_DISTRICT_PEN[],I$1,0),"ERROR")</f>
        <v>388</v>
      </c>
      <c r="J86" s="104">
        <f t="shared" si="9"/>
        <v>9.3314093314093308E-2</v>
      </c>
      <c r="K86" s="102">
        <f>IFERROR(VLOOKUP($B86,MMWR_TRAD_AGG_ST_DISTRICT_PEN[],K$1,0),"ERROR")</f>
        <v>47</v>
      </c>
      <c r="L86" s="102">
        <f>IFERROR(VLOOKUP($B86,MMWR_TRAD_AGG_ST_DISTRICT_PEN[],L$1,0),"ERROR")</f>
        <v>39</v>
      </c>
      <c r="M86" s="104">
        <f t="shared" si="10"/>
        <v>0.82978723404255317</v>
      </c>
      <c r="N86" s="102">
        <f>IFERROR(VLOOKUP($B86,MMWR_TRAD_AGG_ST_DISTRICT_PEN[],N$1,0),"ERROR")</f>
        <v>303</v>
      </c>
      <c r="O86" s="102">
        <f>IFERROR(VLOOKUP($B86,MMWR_TRAD_AGG_ST_DISTRICT_PEN[],O$1,0),"ERROR")</f>
        <v>104</v>
      </c>
      <c r="P86" s="104">
        <f t="shared" si="11"/>
        <v>0.34323432343234322</v>
      </c>
      <c r="Q86" s="102">
        <f>IFERROR(VLOOKUP($B86,MMWR_TRAD_AGG_ST_DISTRICT_PEN[],Q$1,0),"ERROR")</f>
        <v>4083</v>
      </c>
      <c r="R86" s="106">
        <f>IFERROR(VLOOKUP($B86,MMWR_TRAD_AGG_ST_DISTRICT_PEN[],R$1,0),"ERROR")</f>
        <v>448</v>
      </c>
      <c r="S86" s="106">
        <f>IFERROR(VLOOKUP($B86,MMWR_APP_STATE_PEN[],S$1,0),"ERROR")</f>
        <v>1180</v>
      </c>
      <c r="T86" s="28"/>
    </row>
    <row r="87" spans="1:20" s="123" customFormat="1" x14ac:dyDescent="0.2">
      <c r="A87" s="28"/>
      <c r="B87" s="127" t="s">
        <v>404</v>
      </c>
      <c r="C87" s="109">
        <f>IFERROR(VLOOKUP($B87,MMWR_TRAD_AGG_STATE_PEN[],C$1,0),"ERROR")</f>
        <v>295</v>
      </c>
      <c r="D87" s="110">
        <f>IFERROR(VLOOKUP($B87,MMWR_TRAD_AGG_STATE_PEN[],D$1,0),"ERROR")</f>
        <v>64.454237288100003</v>
      </c>
      <c r="E87" s="111">
        <f>IFERROR(VLOOKUP($B87,MMWR_TRAD_AGG_STATE_PEN[],E$1,0),"ERROR")</f>
        <v>729</v>
      </c>
      <c r="F87" s="112">
        <f>IFERROR(VLOOKUP($B87,MMWR_TRAD_AGG_STATE_PEN[],F$1,0),"ERROR")</f>
        <v>65</v>
      </c>
      <c r="G87" s="113">
        <f t="shared" si="8"/>
        <v>8.9163237311385465E-2</v>
      </c>
      <c r="H87" s="111">
        <f>IFERROR(VLOOKUP($B87,MMWR_TRAD_AGG_STATE_PEN[],H$1,0),"ERROR")</f>
        <v>511</v>
      </c>
      <c r="I87" s="112">
        <f>IFERROR(VLOOKUP($B87,MMWR_TRAD_AGG_STATE_PEN[],I$1,0),"ERROR")</f>
        <v>50</v>
      </c>
      <c r="J87" s="114">
        <f t="shared" si="9"/>
        <v>9.7847358121330719E-2</v>
      </c>
      <c r="K87" s="111">
        <f>IFERROR(VLOOKUP($B87,MMWR_TRAD_AGG_STATE_PEN[],K$1,0),"ERROR")</f>
        <v>4</v>
      </c>
      <c r="L87" s="112">
        <f>IFERROR(VLOOKUP($B87,MMWR_TRAD_AGG_STATE_PEN[],L$1,0),"ERROR")</f>
        <v>3</v>
      </c>
      <c r="M87" s="114">
        <f t="shared" si="10"/>
        <v>0.75</v>
      </c>
      <c r="N87" s="111">
        <f>IFERROR(VLOOKUP($B87,MMWR_TRAD_AGG_STATE_PEN[],N$1,0),"ERROR")</f>
        <v>62</v>
      </c>
      <c r="O87" s="112">
        <f>IFERROR(VLOOKUP($B87,MMWR_TRAD_AGG_STATE_PEN[],O$1,0),"ERROR")</f>
        <v>18</v>
      </c>
      <c r="P87" s="114">
        <f t="shared" si="11"/>
        <v>0.29032258064516131</v>
      </c>
      <c r="Q87" s="115">
        <f>IFERROR(VLOOKUP($B87,MMWR_TRAD_AGG_STATE_PEN[],Q$1,0),"ERROR")</f>
        <v>552</v>
      </c>
      <c r="R87" s="115">
        <f>IFERROR(VLOOKUP($B87,MMWR_TRAD_AGG_STATE_PEN[],R$1,0),"ERROR")</f>
        <v>45</v>
      </c>
      <c r="S87" s="115">
        <f>IFERROR(VLOOKUP($B87,MMWR_APP_STATE_PEN[],S$1,0),"ERROR")</f>
        <v>290</v>
      </c>
      <c r="T87" s="28"/>
    </row>
    <row r="88" spans="1:20" s="123" customFormat="1" x14ac:dyDescent="0.2">
      <c r="A88" s="28"/>
      <c r="B88" s="127" t="s">
        <v>402</v>
      </c>
      <c r="C88" s="109">
        <f>IFERROR(VLOOKUP($B88,MMWR_TRAD_AGG_STATE_PEN[],C$1,0),"ERROR")</f>
        <v>221</v>
      </c>
      <c r="D88" s="110">
        <f>IFERROR(VLOOKUP($B88,MMWR_TRAD_AGG_STATE_PEN[],D$1,0),"ERROR")</f>
        <v>62.7375565611</v>
      </c>
      <c r="E88" s="111">
        <f>IFERROR(VLOOKUP($B88,MMWR_TRAD_AGG_STATE_PEN[],E$1,0),"ERROR")</f>
        <v>540</v>
      </c>
      <c r="F88" s="112">
        <f>IFERROR(VLOOKUP($B88,MMWR_TRAD_AGG_STATE_PEN[],F$1,0),"ERROR")</f>
        <v>51</v>
      </c>
      <c r="G88" s="113">
        <f t="shared" si="8"/>
        <v>9.4444444444444442E-2</v>
      </c>
      <c r="H88" s="111">
        <f>IFERROR(VLOOKUP($B88,MMWR_TRAD_AGG_STATE_PEN[],H$1,0),"ERROR")</f>
        <v>436</v>
      </c>
      <c r="I88" s="112">
        <f>IFERROR(VLOOKUP($B88,MMWR_TRAD_AGG_STATE_PEN[],I$1,0),"ERROR")</f>
        <v>46</v>
      </c>
      <c r="J88" s="114">
        <f t="shared" si="9"/>
        <v>0.10550458715596331</v>
      </c>
      <c r="K88" s="111">
        <f>IFERROR(VLOOKUP($B88,MMWR_TRAD_AGG_STATE_PEN[],K$1,0),"ERROR")</f>
        <v>3</v>
      </c>
      <c r="L88" s="112">
        <f>IFERROR(VLOOKUP($B88,MMWR_TRAD_AGG_STATE_PEN[],L$1,0),"ERROR")</f>
        <v>3</v>
      </c>
      <c r="M88" s="114">
        <f t="shared" si="10"/>
        <v>1</v>
      </c>
      <c r="N88" s="111">
        <f>IFERROR(VLOOKUP($B88,MMWR_TRAD_AGG_STATE_PEN[],N$1,0),"ERROR")</f>
        <v>39</v>
      </c>
      <c r="O88" s="112">
        <f>IFERROR(VLOOKUP($B88,MMWR_TRAD_AGG_STATE_PEN[],O$1,0),"ERROR")</f>
        <v>19</v>
      </c>
      <c r="P88" s="114">
        <f t="shared" si="11"/>
        <v>0.48717948717948717</v>
      </c>
      <c r="Q88" s="115">
        <f>IFERROR(VLOOKUP($B88,MMWR_TRAD_AGG_STATE_PEN[],Q$1,0),"ERROR")</f>
        <v>370</v>
      </c>
      <c r="R88" s="115">
        <f>IFERROR(VLOOKUP($B88,MMWR_TRAD_AGG_STATE_PEN[],R$1,0),"ERROR")</f>
        <v>44</v>
      </c>
      <c r="S88" s="115">
        <f>IFERROR(VLOOKUP($B88,MMWR_APP_STATE_PEN[],S$1,0),"ERROR")</f>
        <v>113</v>
      </c>
      <c r="T88" s="28"/>
    </row>
    <row r="89" spans="1:20" s="123" customFormat="1" x14ac:dyDescent="0.2">
      <c r="A89" s="28"/>
      <c r="B89" s="127" t="s">
        <v>409</v>
      </c>
      <c r="C89" s="109">
        <f>IFERROR(VLOOKUP($B89,MMWR_TRAD_AGG_STATE_PEN[],C$1,0),"ERROR")</f>
        <v>82</v>
      </c>
      <c r="D89" s="110">
        <f>IFERROR(VLOOKUP($B89,MMWR_TRAD_AGG_STATE_PEN[],D$1,0),"ERROR")</f>
        <v>37.402439024400003</v>
      </c>
      <c r="E89" s="111">
        <f>IFERROR(VLOOKUP($B89,MMWR_TRAD_AGG_STATE_PEN[],E$1,0),"ERROR")</f>
        <v>293</v>
      </c>
      <c r="F89" s="112">
        <f>IFERROR(VLOOKUP($B89,MMWR_TRAD_AGG_STATE_PEN[],F$1,0),"ERROR")</f>
        <v>8</v>
      </c>
      <c r="G89" s="113">
        <f t="shared" si="8"/>
        <v>2.7303754266211604E-2</v>
      </c>
      <c r="H89" s="111">
        <f>IFERROR(VLOOKUP($B89,MMWR_TRAD_AGG_STATE_PEN[],H$1,0),"ERROR")</f>
        <v>156</v>
      </c>
      <c r="I89" s="112">
        <f>IFERROR(VLOOKUP($B89,MMWR_TRAD_AGG_STATE_PEN[],I$1,0),"ERROR")</f>
        <v>6</v>
      </c>
      <c r="J89" s="114">
        <f t="shared" si="9"/>
        <v>3.8461538461538464E-2</v>
      </c>
      <c r="K89" s="111">
        <f>IFERROR(VLOOKUP($B89,MMWR_TRAD_AGG_STATE_PEN[],K$1,0),"ERROR")</f>
        <v>0</v>
      </c>
      <c r="L89" s="112">
        <f>IFERROR(VLOOKUP($B89,MMWR_TRAD_AGG_STATE_PEN[],L$1,0),"ERROR")</f>
        <v>0</v>
      </c>
      <c r="M89" s="114" t="str">
        <f t="shared" si="10"/>
        <v>0%</v>
      </c>
      <c r="N89" s="111">
        <f>IFERROR(VLOOKUP($B89,MMWR_TRAD_AGG_STATE_PEN[],N$1,0),"ERROR")</f>
        <v>3</v>
      </c>
      <c r="O89" s="112">
        <f>IFERROR(VLOOKUP($B89,MMWR_TRAD_AGG_STATE_PEN[],O$1,0),"ERROR")</f>
        <v>0</v>
      </c>
      <c r="P89" s="114">
        <f t="shared" si="11"/>
        <v>0</v>
      </c>
      <c r="Q89" s="115">
        <f>IFERROR(VLOOKUP($B89,MMWR_TRAD_AGG_STATE_PEN[],Q$1,0),"ERROR")</f>
        <v>188</v>
      </c>
      <c r="R89" s="115">
        <f>IFERROR(VLOOKUP($B89,MMWR_TRAD_AGG_STATE_PEN[],R$1,0),"ERROR")</f>
        <v>32</v>
      </c>
      <c r="S89" s="115">
        <f>IFERROR(VLOOKUP($B89,MMWR_APP_STATE_PEN[],S$1,0),"ERROR")</f>
        <v>27</v>
      </c>
      <c r="T89" s="28"/>
    </row>
    <row r="90" spans="1:20" s="123" customFormat="1" x14ac:dyDescent="0.2">
      <c r="A90" s="28"/>
      <c r="B90" s="127" t="s">
        <v>432</v>
      </c>
      <c r="C90" s="109">
        <f>IFERROR(VLOOKUP($B90,MMWR_TRAD_AGG_STATE_PEN[],C$1,0),"ERROR")</f>
        <v>76</v>
      </c>
      <c r="D90" s="110">
        <f>IFERROR(VLOOKUP($B90,MMWR_TRAD_AGG_STATE_PEN[],D$1,0),"ERROR")</f>
        <v>37.144736842100002</v>
      </c>
      <c r="E90" s="111">
        <f>IFERROR(VLOOKUP($B90,MMWR_TRAD_AGG_STATE_PEN[],E$1,0),"ERROR")</f>
        <v>255</v>
      </c>
      <c r="F90" s="112">
        <f>IFERROR(VLOOKUP($B90,MMWR_TRAD_AGG_STATE_PEN[],F$1,0),"ERROR")</f>
        <v>11</v>
      </c>
      <c r="G90" s="113">
        <f t="shared" si="8"/>
        <v>4.3137254901960784E-2</v>
      </c>
      <c r="H90" s="111">
        <f>IFERROR(VLOOKUP($B90,MMWR_TRAD_AGG_STATE_PEN[],H$1,0),"ERROR")</f>
        <v>143</v>
      </c>
      <c r="I90" s="112">
        <f>IFERROR(VLOOKUP($B90,MMWR_TRAD_AGG_STATE_PEN[],I$1,0),"ERROR")</f>
        <v>8</v>
      </c>
      <c r="J90" s="114">
        <f t="shared" si="9"/>
        <v>5.5944055944055944E-2</v>
      </c>
      <c r="K90" s="111">
        <f>IFERROR(VLOOKUP($B90,MMWR_TRAD_AGG_STATE_PEN[],K$1,0),"ERROR")</f>
        <v>2</v>
      </c>
      <c r="L90" s="112">
        <f>IFERROR(VLOOKUP($B90,MMWR_TRAD_AGG_STATE_PEN[],L$1,0),"ERROR")</f>
        <v>2</v>
      </c>
      <c r="M90" s="114">
        <f t="shared" si="10"/>
        <v>1</v>
      </c>
      <c r="N90" s="111">
        <f>IFERROR(VLOOKUP($B90,MMWR_TRAD_AGG_STATE_PEN[],N$1,0),"ERROR")</f>
        <v>8</v>
      </c>
      <c r="O90" s="112">
        <f>IFERROR(VLOOKUP($B90,MMWR_TRAD_AGG_STATE_PEN[],O$1,0),"ERROR")</f>
        <v>3</v>
      </c>
      <c r="P90" s="114">
        <f t="shared" si="11"/>
        <v>0.375</v>
      </c>
      <c r="Q90" s="115">
        <f>IFERROR(VLOOKUP($B90,MMWR_TRAD_AGG_STATE_PEN[],Q$1,0),"ERROR")</f>
        <v>127</v>
      </c>
      <c r="R90" s="115">
        <f>IFERROR(VLOOKUP($B90,MMWR_TRAD_AGG_STATE_PEN[],R$1,0),"ERROR")</f>
        <v>38</v>
      </c>
      <c r="S90" s="115">
        <f>IFERROR(VLOOKUP($B90,MMWR_APP_STATE_PEN[],S$1,0),"ERROR")</f>
        <v>19</v>
      </c>
      <c r="T90" s="28"/>
    </row>
    <row r="91" spans="1:20" s="123" customFormat="1" x14ac:dyDescent="0.2">
      <c r="A91" s="28"/>
      <c r="B91" s="127" t="s">
        <v>405</v>
      </c>
      <c r="C91" s="109">
        <f>IFERROR(VLOOKUP($B91,MMWR_TRAD_AGG_STATE_PEN[],C$1,0),"ERROR")</f>
        <v>386</v>
      </c>
      <c r="D91" s="110">
        <f>IFERROR(VLOOKUP($B91,MMWR_TRAD_AGG_STATE_PEN[],D$1,0),"ERROR")</f>
        <v>66.095854922300006</v>
      </c>
      <c r="E91" s="111">
        <f>IFERROR(VLOOKUP($B91,MMWR_TRAD_AGG_STATE_PEN[],E$1,0),"ERROR")</f>
        <v>943</v>
      </c>
      <c r="F91" s="112">
        <f>IFERROR(VLOOKUP($B91,MMWR_TRAD_AGG_STATE_PEN[],F$1,0),"ERROR")</f>
        <v>83</v>
      </c>
      <c r="G91" s="113">
        <f t="shared" si="8"/>
        <v>8.8016967126193002E-2</v>
      </c>
      <c r="H91" s="111">
        <f>IFERROR(VLOOKUP($B91,MMWR_TRAD_AGG_STATE_PEN[],H$1,0),"ERROR")</f>
        <v>742</v>
      </c>
      <c r="I91" s="112">
        <f>IFERROR(VLOOKUP($B91,MMWR_TRAD_AGG_STATE_PEN[],I$1,0),"ERROR")</f>
        <v>77</v>
      </c>
      <c r="J91" s="114">
        <f t="shared" si="9"/>
        <v>0.10377358490566038</v>
      </c>
      <c r="K91" s="111">
        <f>IFERROR(VLOOKUP($B91,MMWR_TRAD_AGG_STATE_PEN[],K$1,0),"ERROR")</f>
        <v>5</v>
      </c>
      <c r="L91" s="112">
        <f>IFERROR(VLOOKUP($B91,MMWR_TRAD_AGG_STATE_PEN[],L$1,0),"ERROR")</f>
        <v>5</v>
      </c>
      <c r="M91" s="114">
        <f t="shared" si="10"/>
        <v>1</v>
      </c>
      <c r="N91" s="111">
        <f>IFERROR(VLOOKUP($B91,MMWR_TRAD_AGG_STATE_PEN[],N$1,0),"ERROR")</f>
        <v>57</v>
      </c>
      <c r="O91" s="112">
        <f>IFERROR(VLOOKUP($B91,MMWR_TRAD_AGG_STATE_PEN[],O$1,0),"ERROR")</f>
        <v>18</v>
      </c>
      <c r="P91" s="114">
        <f t="shared" si="11"/>
        <v>0.31578947368421051</v>
      </c>
      <c r="Q91" s="115">
        <f>IFERROR(VLOOKUP($B91,MMWR_TRAD_AGG_STATE_PEN[],Q$1,0),"ERROR")</f>
        <v>654</v>
      </c>
      <c r="R91" s="115">
        <f>IFERROR(VLOOKUP($B91,MMWR_TRAD_AGG_STATE_PEN[],R$1,0),"ERROR")</f>
        <v>79</v>
      </c>
      <c r="S91" s="115">
        <f>IFERROR(VLOOKUP($B91,MMWR_APP_STATE_PEN[],S$1,0),"ERROR")</f>
        <v>206</v>
      </c>
      <c r="T91" s="28"/>
    </row>
    <row r="92" spans="1:20" s="123" customFormat="1" x14ac:dyDescent="0.2">
      <c r="A92" s="28"/>
      <c r="B92" s="127" t="s">
        <v>411</v>
      </c>
      <c r="C92" s="109">
        <f>IFERROR(VLOOKUP($B92,MMWR_TRAD_AGG_STATE_PEN[],C$1,0),"ERROR")</f>
        <v>115</v>
      </c>
      <c r="D92" s="110">
        <f>IFERROR(VLOOKUP($B92,MMWR_TRAD_AGG_STATE_PEN[],D$1,0),"ERROR")</f>
        <v>31.069565217400001</v>
      </c>
      <c r="E92" s="111">
        <f>IFERROR(VLOOKUP($B92,MMWR_TRAD_AGG_STATE_PEN[],E$1,0),"ERROR")</f>
        <v>313</v>
      </c>
      <c r="F92" s="112">
        <f>IFERROR(VLOOKUP($B92,MMWR_TRAD_AGG_STATE_PEN[],F$1,0),"ERROR")</f>
        <v>13</v>
      </c>
      <c r="G92" s="113">
        <f t="shared" si="8"/>
        <v>4.1533546325878593E-2</v>
      </c>
      <c r="H92" s="111">
        <f>IFERROR(VLOOKUP($B92,MMWR_TRAD_AGG_STATE_PEN[],H$1,0),"ERROR")</f>
        <v>179</v>
      </c>
      <c r="I92" s="112">
        <f>IFERROR(VLOOKUP($B92,MMWR_TRAD_AGG_STATE_PEN[],I$1,0),"ERROR")</f>
        <v>3</v>
      </c>
      <c r="J92" s="114">
        <f t="shared" si="9"/>
        <v>1.6759776536312849E-2</v>
      </c>
      <c r="K92" s="111">
        <f>IFERROR(VLOOKUP($B92,MMWR_TRAD_AGG_STATE_PEN[],K$1,0),"ERROR")</f>
        <v>1</v>
      </c>
      <c r="L92" s="112">
        <f>IFERROR(VLOOKUP($B92,MMWR_TRAD_AGG_STATE_PEN[],L$1,0),"ERROR")</f>
        <v>1</v>
      </c>
      <c r="M92" s="114">
        <f t="shared" si="10"/>
        <v>1</v>
      </c>
      <c r="N92" s="111">
        <f>IFERROR(VLOOKUP($B92,MMWR_TRAD_AGG_STATE_PEN[],N$1,0),"ERROR")</f>
        <v>5</v>
      </c>
      <c r="O92" s="112">
        <f>IFERROR(VLOOKUP($B92,MMWR_TRAD_AGG_STATE_PEN[],O$1,0),"ERROR")</f>
        <v>2</v>
      </c>
      <c r="P92" s="114">
        <f t="shared" si="11"/>
        <v>0.4</v>
      </c>
      <c r="Q92" s="115">
        <f>IFERROR(VLOOKUP($B92,MMWR_TRAD_AGG_STATE_PEN[],Q$1,0),"ERROR")</f>
        <v>418</v>
      </c>
      <c r="R92" s="115">
        <f>IFERROR(VLOOKUP($B92,MMWR_TRAD_AGG_STATE_PEN[],R$1,0),"ERROR")</f>
        <v>43</v>
      </c>
      <c r="S92" s="115">
        <f>IFERROR(VLOOKUP($B92,MMWR_APP_STATE_PEN[],S$1,0),"ERROR")</f>
        <v>31</v>
      </c>
      <c r="T92" s="28"/>
    </row>
    <row r="93" spans="1:20" s="123" customFormat="1" x14ac:dyDescent="0.2">
      <c r="A93" s="28"/>
      <c r="B93" s="127" t="s">
        <v>407</v>
      </c>
      <c r="C93" s="109">
        <f>IFERROR(VLOOKUP($B93,MMWR_TRAD_AGG_STATE_PEN[],C$1,0),"ERROR")</f>
        <v>344</v>
      </c>
      <c r="D93" s="110">
        <f>IFERROR(VLOOKUP($B93,MMWR_TRAD_AGG_STATE_PEN[],D$1,0),"ERROR")</f>
        <v>66.8575581395</v>
      </c>
      <c r="E93" s="111">
        <f>IFERROR(VLOOKUP($B93,MMWR_TRAD_AGG_STATE_PEN[],E$1,0),"ERROR")</f>
        <v>548</v>
      </c>
      <c r="F93" s="112">
        <f>IFERROR(VLOOKUP($B93,MMWR_TRAD_AGG_STATE_PEN[],F$1,0),"ERROR")</f>
        <v>40</v>
      </c>
      <c r="G93" s="113">
        <f t="shared" si="8"/>
        <v>7.2992700729927001E-2</v>
      </c>
      <c r="H93" s="111">
        <f>IFERROR(VLOOKUP($B93,MMWR_TRAD_AGG_STATE_PEN[],H$1,0),"ERROR")</f>
        <v>623</v>
      </c>
      <c r="I93" s="112">
        <f>IFERROR(VLOOKUP($B93,MMWR_TRAD_AGG_STATE_PEN[],I$1,0),"ERROR")</f>
        <v>53</v>
      </c>
      <c r="J93" s="114">
        <f t="shared" si="9"/>
        <v>8.5072231139646876E-2</v>
      </c>
      <c r="K93" s="111">
        <f>IFERROR(VLOOKUP($B93,MMWR_TRAD_AGG_STATE_PEN[],K$1,0),"ERROR")</f>
        <v>11</v>
      </c>
      <c r="L93" s="112">
        <f>IFERROR(VLOOKUP($B93,MMWR_TRAD_AGG_STATE_PEN[],L$1,0),"ERROR")</f>
        <v>11</v>
      </c>
      <c r="M93" s="114">
        <f t="shared" si="10"/>
        <v>1</v>
      </c>
      <c r="N93" s="111">
        <f>IFERROR(VLOOKUP($B93,MMWR_TRAD_AGG_STATE_PEN[],N$1,0),"ERROR")</f>
        <v>43</v>
      </c>
      <c r="O93" s="112">
        <f>IFERROR(VLOOKUP($B93,MMWR_TRAD_AGG_STATE_PEN[],O$1,0),"ERROR")</f>
        <v>16</v>
      </c>
      <c r="P93" s="114">
        <f t="shared" si="11"/>
        <v>0.37209302325581395</v>
      </c>
      <c r="Q93" s="115">
        <f>IFERROR(VLOOKUP($B93,MMWR_TRAD_AGG_STATE_PEN[],Q$1,0),"ERROR")</f>
        <v>513</v>
      </c>
      <c r="R93" s="115">
        <f>IFERROR(VLOOKUP($B93,MMWR_TRAD_AGG_STATE_PEN[],R$1,0),"ERROR")</f>
        <v>46</v>
      </c>
      <c r="S93" s="115">
        <f>IFERROR(VLOOKUP($B93,MMWR_APP_STATE_PEN[],S$1,0),"ERROR")</f>
        <v>164</v>
      </c>
      <c r="T93" s="28"/>
    </row>
    <row r="94" spans="1:20" s="123" customFormat="1" x14ac:dyDescent="0.2">
      <c r="A94" s="28"/>
      <c r="B94" s="127" t="s">
        <v>410</v>
      </c>
      <c r="C94" s="109">
        <f>IFERROR(VLOOKUP($B94,MMWR_TRAD_AGG_STATE_PEN[],C$1,0),"ERROR")</f>
        <v>31</v>
      </c>
      <c r="D94" s="110">
        <f>IFERROR(VLOOKUP($B94,MMWR_TRAD_AGG_STATE_PEN[],D$1,0),"ERROR")</f>
        <v>33.709677419400002</v>
      </c>
      <c r="E94" s="111">
        <f>IFERROR(VLOOKUP($B94,MMWR_TRAD_AGG_STATE_PEN[],E$1,0),"ERROR")</f>
        <v>86</v>
      </c>
      <c r="F94" s="112">
        <f>IFERROR(VLOOKUP($B94,MMWR_TRAD_AGG_STATE_PEN[],F$1,0),"ERROR")</f>
        <v>3</v>
      </c>
      <c r="G94" s="113">
        <f t="shared" si="8"/>
        <v>3.4883720930232558E-2</v>
      </c>
      <c r="H94" s="111">
        <f>IFERROR(VLOOKUP($B94,MMWR_TRAD_AGG_STATE_PEN[],H$1,0),"ERROR")</f>
        <v>45</v>
      </c>
      <c r="I94" s="112">
        <f>IFERROR(VLOOKUP($B94,MMWR_TRAD_AGG_STATE_PEN[],I$1,0),"ERROR")</f>
        <v>0</v>
      </c>
      <c r="J94" s="114">
        <f t="shared" si="9"/>
        <v>0</v>
      </c>
      <c r="K94" s="111">
        <f>IFERROR(VLOOKUP($B94,MMWR_TRAD_AGG_STATE_PEN[],K$1,0),"ERROR")</f>
        <v>0</v>
      </c>
      <c r="L94" s="112">
        <f>IFERROR(VLOOKUP($B94,MMWR_TRAD_AGG_STATE_PEN[],L$1,0),"ERROR")</f>
        <v>0</v>
      </c>
      <c r="M94" s="114" t="str">
        <f t="shared" si="10"/>
        <v>0%</v>
      </c>
      <c r="N94" s="111">
        <f>IFERROR(VLOOKUP($B94,MMWR_TRAD_AGG_STATE_PEN[],N$1,0),"ERROR")</f>
        <v>2</v>
      </c>
      <c r="O94" s="112">
        <f>IFERROR(VLOOKUP($B94,MMWR_TRAD_AGG_STATE_PEN[],O$1,0),"ERROR")</f>
        <v>0</v>
      </c>
      <c r="P94" s="114">
        <f t="shared" si="11"/>
        <v>0</v>
      </c>
      <c r="Q94" s="115">
        <f>IFERROR(VLOOKUP($B94,MMWR_TRAD_AGG_STATE_PEN[],Q$1,0),"ERROR")</f>
        <v>154</v>
      </c>
      <c r="R94" s="115">
        <f>IFERROR(VLOOKUP($B94,MMWR_TRAD_AGG_STATE_PEN[],R$1,0),"ERROR")</f>
        <v>17</v>
      </c>
      <c r="S94" s="115">
        <f>IFERROR(VLOOKUP($B94,MMWR_APP_STATE_PEN[],S$1,0),"ERROR")</f>
        <v>25</v>
      </c>
      <c r="T94" s="28"/>
    </row>
    <row r="95" spans="1:20" s="123" customFormat="1" x14ac:dyDescent="0.2">
      <c r="A95" s="28"/>
      <c r="B95" s="127" t="s">
        <v>429</v>
      </c>
      <c r="C95" s="109">
        <f>IFERROR(VLOOKUP($B95,MMWR_TRAD_AGG_STATE_PEN[],C$1,0),"ERROR")</f>
        <v>18</v>
      </c>
      <c r="D95" s="110">
        <f>IFERROR(VLOOKUP($B95,MMWR_TRAD_AGG_STATE_PEN[],D$1,0),"ERROR")</f>
        <v>34.388888888899999</v>
      </c>
      <c r="E95" s="111">
        <f>IFERROR(VLOOKUP($B95,MMWR_TRAD_AGG_STATE_PEN[],E$1,0),"ERROR")</f>
        <v>29</v>
      </c>
      <c r="F95" s="112">
        <f>IFERROR(VLOOKUP($B95,MMWR_TRAD_AGG_STATE_PEN[],F$1,0),"ERROR")</f>
        <v>0</v>
      </c>
      <c r="G95" s="113">
        <f t="shared" si="8"/>
        <v>0</v>
      </c>
      <c r="H95" s="111">
        <f>IFERROR(VLOOKUP($B95,MMWR_TRAD_AGG_STATE_PEN[],H$1,0),"ERROR")</f>
        <v>26</v>
      </c>
      <c r="I95" s="112">
        <f>IFERROR(VLOOKUP($B95,MMWR_TRAD_AGG_STATE_PEN[],I$1,0),"ERROR")</f>
        <v>1</v>
      </c>
      <c r="J95" s="114">
        <f t="shared" si="9"/>
        <v>3.8461538461538464E-2</v>
      </c>
      <c r="K95" s="111">
        <f>IFERROR(VLOOKUP($B95,MMWR_TRAD_AGG_STATE_PEN[],K$1,0),"ERROR")</f>
        <v>0</v>
      </c>
      <c r="L95" s="112">
        <f>IFERROR(VLOOKUP($B95,MMWR_TRAD_AGG_STATE_PEN[],L$1,0),"ERROR")</f>
        <v>0</v>
      </c>
      <c r="M95" s="114" t="str">
        <f t="shared" si="10"/>
        <v>0%</v>
      </c>
      <c r="N95" s="111">
        <f>IFERROR(VLOOKUP($B95,MMWR_TRAD_AGG_STATE_PEN[],N$1,0),"ERROR")</f>
        <v>0</v>
      </c>
      <c r="O95" s="112">
        <f>IFERROR(VLOOKUP($B95,MMWR_TRAD_AGG_STATE_PEN[],O$1,0),"ERROR")</f>
        <v>0</v>
      </c>
      <c r="P95" s="114" t="str">
        <f t="shared" si="11"/>
        <v>0%</v>
      </c>
      <c r="Q95" s="115">
        <f>IFERROR(VLOOKUP($B95,MMWR_TRAD_AGG_STATE_PEN[],Q$1,0),"ERROR")</f>
        <v>39</v>
      </c>
      <c r="R95" s="115">
        <f>IFERROR(VLOOKUP($B95,MMWR_TRAD_AGG_STATE_PEN[],R$1,0),"ERROR")</f>
        <v>8</v>
      </c>
      <c r="S95" s="115">
        <f>IFERROR(VLOOKUP($B95,MMWR_APP_STATE_PEN[],S$1,0),"ERROR")</f>
        <v>5</v>
      </c>
      <c r="T95" s="28"/>
    </row>
    <row r="96" spans="1:20" s="123" customFormat="1" x14ac:dyDescent="0.2">
      <c r="A96" s="28"/>
      <c r="B96" s="127" t="s">
        <v>401</v>
      </c>
      <c r="C96" s="109">
        <f>IFERROR(VLOOKUP($B96,MMWR_TRAD_AGG_STATE_PEN[],C$1,0),"ERROR")</f>
        <v>487</v>
      </c>
      <c r="D96" s="110">
        <f>IFERROR(VLOOKUP($B96,MMWR_TRAD_AGG_STATE_PEN[],D$1,0),"ERROR")</f>
        <v>72.657084188900001</v>
      </c>
      <c r="E96" s="111">
        <f>IFERROR(VLOOKUP($B96,MMWR_TRAD_AGG_STATE_PEN[],E$1,0),"ERROR")</f>
        <v>1006</v>
      </c>
      <c r="F96" s="112">
        <f>IFERROR(VLOOKUP($B96,MMWR_TRAD_AGG_STATE_PEN[],F$1,0),"ERROR")</f>
        <v>101</v>
      </c>
      <c r="G96" s="113">
        <f t="shared" si="8"/>
        <v>0.10039761431411531</v>
      </c>
      <c r="H96" s="111">
        <f>IFERROR(VLOOKUP($B96,MMWR_TRAD_AGG_STATE_PEN[],H$1,0),"ERROR")</f>
        <v>887</v>
      </c>
      <c r="I96" s="112">
        <f>IFERROR(VLOOKUP($B96,MMWR_TRAD_AGG_STATE_PEN[],I$1,0),"ERROR")</f>
        <v>119</v>
      </c>
      <c r="J96" s="114">
        <f t="shared" si="9"/>
        <v>0.13416009019165728</v>
      </c>
      <c r="K96" s="111">
        <f>IFERROR(VLOOKUP($B96,MMWR_TRAD_AGG_STATE_PEN[],K$1,0),"ERROR")</f>
        <v>18</v>
      </c>
      <c r="L96" s="112">
        <f>IFERROR(VLOOKUP($B96,MMWR_TRAD_AGG_STATE_PEN[],L$1,0),"ERROR")</f>
        <v>11</v>
      </c>
      <c r="M96" s="114">
        <f t="shared" si="10"/>
        <v>0.61111111111111116</v>
      </c>
      <c r="N96" s="111">
        <f>IFERROR(VLOOKUP($B96,MMWR_TRAD_AGG_STATE_PEN[],N$1,0),"ERROR")</f>
        <v>62</v>
      </c>
      <c r="O96" s="112">
        <f>IFERROR(VLOOKUP($B96,MMWR_TRAD_AGG_STATE_PEN[],O$1,0),"ERROR")</f>
        <v>22</v>
      </c>
      <c r="P96" s="114">
        <f t="shared" si="11"/>
        <v>0.35483870967741937</v>
      </c>
      <c r="Q96" s="115">
        <f>IFERROR(VLOOKUP($B96,MMWR_TRAD_AGG_STATE_PEN[],Q$1,0),"ERROR")</f>
        <v>612</v>
      </c>
      <c r="R96" s="115">
        <f>IFERROR(VLOOKUP($B96,MMWR_TRAD_AGG_STATE_PEN[],R$1,0),"ERROR")</f>
        <v>64</v>
      </c>
      <c r="S96" s="115">
        <f>IFERROR(VLOOKUP($B96,MMWR_APP_STATE_PEN[],S$1,0),"ERROR")</f>
        <v>213</v>
      </c>
      <c r="T96" s="28"/>
    </row>
    <row r="97" spans="1:20" s="123" customFormat="1" x14ac:dyDescent="0.2">
      <c r="A97" s="28"/>
      <c r="B97" s="127" t="s">
        <v>430</v>
      </c>
      <c r="C97" s="109">
        <f>IFERROR(VLOOKUP($B97,MMWR_TRAD_AGG_STATE_PEN[],C$1,0),"ERROR")</f>
        <v>17</v>
      </c>
      <c r="D97" s="110">
        <f>IFERROR(VLOOKUP($B97,MMWR_TRAD_AGG_STATE_PEN[],D$1,0),"ERROR")</f>
        <v>31.823529411799999</v>
      </c>
      <c r="E97" s="111">
        <f>IFERROR(VLOOKUP($B97,MMWR_TRAD_AGG_STATE_PEN[],E$1,0),"ERROR")</f>
        <v>48</v>
      </c>
      <c r="F97" s="112">
        <f>IFERROR(VLOOKUP($B97,MMWR_TRAD_AGG_STATE_PEN[],F$1,0),"ERROR")</f>
        <v>2</v>
      </c>
      <c r="G97" s="113">
        <f t="shared" si="8"/>
        <v>4.1666666666666664E-2</v>
      </c>
      <c r="H97" s="111">
        <f>IFERROR(VLOOKUP($B97,MMWR_TRAD_AGG_STATE_PEN[],H$1,0),"ERROR")</f>
        <v>31</v>
      </c>
      <c r="I97" s="112">
        <f>IFERROR(VLOOKUP($B97,MMWR_TRAD_AGG_STATE_PEN[],I$1,0),"ERROR")</f>
        <v>1</v>
      </c>
      <c r="J97" s="114">
        <f t="shared" si="9"/>
        <v>3.2258064516129031E-2</v>
      </c>
      <c r="K97" s="111">
        <f>IFERROR(VLOOKUP($B97,MMWR_TRAD_AGG_STATE_PEN[],K$1,0),"ERROR")</f>
        <v>0</v>
      </c>
      <c r="L97" s="112">
        <f>IFERROR(VLOOKUP($B97,MMWR_TRAD_AGG_STATE_PEN[],L$1,0),"ERROR")</f>
        <v>0</v>
      </c>
      <c r="M97" s="114" t="str">
        <f t="shared" si="10"/>
        <v>0%</v>
      </c>
      <c r="N97" s="111">
        <f>IFERROR(VLOOKUP($B97,MMWR_TRAD_AGG_STATE_PEN[],N$1,0),"ERROR")</f>
        <v>1</v>
      </c>
      <c r="O97" s="112">
        <f>IFERROR(VLOOKUP($B97,MMWR_TRAD_AGG_STATE_PEN[],O$1,0),"ERROR")</f>
        <v>1</v>
      </c>
      <c r="P97" s="114">
        <f t="shared" si="11"/>
        <v>1</v>
      </c>
      <c r="Q97" s="115">
        <f>IFERROR(VLOOKUP($B97,MMWR_TRAD_AGG_STATE_PEN[],Q$1,0),"ERROR")</f>
        <v>97</v>
      </c>
      <c r="R97" s="115">
        <f>IFERROR(VLOOKUP($B97,MMWR_TRAD_AGG_STATE_PEN[],R$1,0),"ERROR")</f>
        <v>7</v>
      </c>
      <c r="S97" s="115">
        <f>IFERROR(VLOOKUP($B97,MMWR_APP_STATE_PEN[],S$1,0),"ERROR")</f>
        <v>7</v>
      </c>
      <c r="T97" s="28"/>
    </row>
    <row r="98" spans="1:20" s="123" customFormat="1" x14ac:dyDescent="0.2">
      <c r="A98" s="28"/>
      <c r="B98" s="127" t="s">
        <v>406</v>
      </c>
      <c r="C98" s="109">
        <f>IFERROR(VLOOKUP($B98,MMWR_TRAD_AGG_STATE_PEN[],C$1,0),"ERROR")</f>
        <v>208</v>
      </c>
      <c r="D98" s="110">
        <f>IFERROR(VLOOKUP($B98,MMWR_TRAD_AGG_STATE_PEN[],D$1,0),"ERROR")</f>
        <v>57.3125</v>
      </c>
      <c r="E98" s="111">
        <f>IFERROR(VLOOKUP($B98,MMWR_TRAD_AGG_STATE_PEN[],E$1,0),"ERROR")</f>
        <v>333</v>
      </c>
      <c r="F98" s="112">
        <f>IFERROR(VLOOKUP($B98,MMWR_TRAD_AGG_STATE_PEN[],F$1,0),"ERROR")</f>
        <v>16</v>
      </c>
      <c r="G98" s="113">
        <f t="shared" si="8"/>
        <v>4.8048048048048048E-2</v>
      </c>
      <c r="H98" s="111">
        <f>IFERROR(VLOOKUP($B98,MMWR_TRAD_AGG_STATE_PEN[],H$1,0),"ERROR")</f>
        <v>379</v>
      </c>
      <c r="I98" s="112">
        <f>IFERROR(VLOOKUP($B98,MMWR_TRAD_AGG_STATE_PEN[],I$1,0),"ERROR")</f>
        <v>24</v>
      </c>
      <c r="J98" s="114">
        <f t="shared" si="9"/>
        <v>6.3324538258575203E-2</v>
      </c>
      <c r="K98" s="111">
        <f>IFERROR(VLOOKUP($B98,MMWR_TRAD_AGG_STATE_PEN[],K$1,0),"ERROR")</f>
        <v>3</v>
      </c>
      <c r="L98" s="112">
        <f>IFERROR(VLOOKUP($B98,MMWR_TRAD_AGG_STATE_PEN[],L$1,0),"ERROR")</f>
        <v>3</v>
      </c>
      <c r="M98" s="114">
        <f t="shared" si="10"/>
        <v>1</v>
      </c>
      <c r="N98" s="111">
        <f>IFERROR(VLOOKUP($B98,MMWR_TRAD_AGG_STATE_PEN[],N$1,0),"ERROR")</f>
        <v>21</v>
      </c>
      <c r="O98" s="112">
        <f>IFERROR(VLOOKUP($B98,MMWR_TRAD_AGG_STATE_PEN[],O$1,0),"ERROR")</f>
        <v>5</v>
      </c>
      <c r="P98" s="114">
        <f t="shared" si="11"/>
        <v>0.23809523809523808</v>
      </c>
      <c r="Q98" s="115">
        <f>IFERROR(VLOOKUP($B98,MMWR_TRAD_AGG_STATE_PEN[],Q$1,0),"ERROR")</f>
        <v>359</v>
      </c>
      <c r="R98" s="115">
        <f>IFERROR(VLOOKUP($B98,MMWR_TRAD_AGG_STATE_PEN[],R$1,0),"ERROR")</f>
        <v>25</v>
      </c>
      <c r="S98" s="115">
        <f>IFERROR(VLOOKUP($B98,MMWR_APP_STATE_PEN[],S$1,0),"ERROR")</f>
        <v>80</v>
      </c>
      <c r="T98" s="28"/>
    </row>
    <row r="99" spans="1:20" s="123" customFormat="1" x14ac:dyDescent="0.2">
      <c r="A99" s="28"/>
      <c r="B99" s="126" t="s">
        <v>395</v>
      </c>
      <c r="C99" s="102">
        <f>IFERROR(VLOOKUP($B99,MMWR_TRAD_AGG_ST_DISTRICT_PEN[],C$1,0),"ERROR")</f>
        <v>1279</v>
      </c>
      <c r="D99" s="103">
        <f>IFERROR(VLOOKUP($B99,MMWR_TRAD_AGG_ST_DISTRICT_PEN[],D$1,0),"ERROR")</f>
        <v>55.464425332300003</v>
      </c>
      <c r="E99" s="102">
        <f>IFERROR(VLOOKUP($B99,MMWR_TRAD_AGG_ST_DISTRICT_PEN[],E$1,0),"ERROR")</f>
        <v>2893</v>
      </c>
      <c r="F99" s="102">
        <f>IFERROR(VLOOKUP($B99,MMWR_TRAD_AGG_ST_DISTRICT_PEN[],F$1,0),"ERROR")</f>
        <v>121</v>
      </c>
      <c r="G99" s="104">
        <f t="shared" si="8"/>
        <v>4.1825095057034217E-2</v>
      </c>
      <c r="H99" s="102">
        <f>IFERROR(VLOOKUP($B99,MMWR_TRAD_AGG_ST_DISTRICT_PEN[],H$1,0),"ERROR")</f>
        <v>2449</v>
      </c>
      <c r="I99" s="102">
        <f>IFERROR(VLOOKUP($B99,MMWR_TRAD_AGG_ST_DISTRICT_PEN[],I$1,0),"ERROR")</f>
        <v>247</v>
      </c>
      <c r="J99" s="104">
        <f t="shared" si="9"/>
        <v>0.10085749285422621</v>
      </c>
      <c r="K99" s="102">
        <f>IFERROR(VLOOKUP($B99,MMWR_TRAD_AGG_ST_DISTRICT_PEN[],K$1,0),"ERROR")</f>
        <v>34</v>
      </c>
      <c r="L99" s="102">
        <f>IFERROR(VLOOKUP($B99,MMWR_TRAD_AGG_ST_DISTRICT_PEN[],L$1,0),"ERROR")</f>
        <v>33</v>
      </c>
      <c r="M99" s="104">
        <f t="shared" si="10"/>
        <v>0.97058823529411764</v>
      </c>
      <c r="N99" s="102">
        <f>IFERROR(VLOOKUP($B99,MMWR_TRAD_AGG_ST_DISTRICT_PEN[],N$1,0),"ERROR")</f>
        <v>188</v>
      </c>
      <c r="O99" s="102">
        <f>IFERROR(VLOOKUP($B99,MMWR_TRAD_AGG_ST_DISTRICT_PEN[],O$1,0),"ERROR")</f>
        <v>83</v>
      </c>
      <c r="P99" s="104">
        <f t="shared" si="11"/>
        <v>0.44148936170212766</v>
      </c>
      <c r="Q99" s="102">
        <f>IFERROR(VLOOKUP($B99,MMWR_TRAD_AGG_ST_DISTRICT_PEN[],Q$1,0),"ERROR")</f>
        <v>2600</v>
      </c>
      <c r="R99" s="106">
        <f>IFERROR(VLOOKUP($B99,MMWR_TRAD_AGG_ST_DISTRICT_PEN[],R$1,0),"ERROR")</f>
        <v>493</v>
      </c>
      <c r="S99" s="106">
        <f>IFERROR(VLOOKUP($B99,MMWR_APP_STATE_PEN[],S$1,0),"ERROR")</f>
        <v>802</v>
      </c>
      <c r="T99" s="28"/>
    </row>
    <row r="100" spans="1:20" s="123" customFormat="1" x14ac:dyDescent="0.2">
      <c r="A100" s="28"/>
      <c r="B100" s="127" t="s">
        <v>421</v>
      </c>
      <c r="C100" s="109">
        <f>IFERROR(VLOOKUP($B100,MMWR_TRAD_AGG_STATE_PEN[],C$1,0),"ERROR")</f>
        <v>148</v>
      </c>
      <c r="D100" s="110">
        <f>IFERROR(VLOOKUP($B100,MMWR_TRAD_AGG_STATE_PEN[],D$1,0),"ERROR")</f>
        <v>74.533783783800004</v>
      </c>
      <c r="E100" s="111">
        <f>IFERROR(VLOOKUP($B100,MMWR_TRAD_AGG_STATE_PEN[],E$1,0),"ERROR")</f>
        <v>184</v>
      </c>
      <c r="F100" s="112">
        <f>IFERROR(VLOOKUP($B100,MMWR_TRAD_AGG_STATE_PEN[],F$1,0),"ERROR")</f>
        <v>12</v>
      </c>
      <c r="G100" s="113">
        <f t="shared" si="8"/>
        <v>6.5217391304347824E-2</v>
      </c>
      <c r="H100" s="111">
        <f>IFERROR(VLOOKUP($B100,MMWR_TRAD_AGG_STATE_PEN[],H$1,0),"ERROR")</f>
        <v>264</v>
      </c>
      <c r="I100" s="112">
        <f>IFERROR(VLOOKUP($B100,MMWR_TRAD_AGG_STATE_PEN[],I$1,0),"ERROR")</f>
        <v>35</v>
      </c>
      <c r="J100" s="114">
        <f t="shared" si="9"/>
        <v>0.13257575757575757</v>
      </c>
      <c r="K100" s="111">
        <f>IFERROR(VLOOKUP($B100,MMWR_TRAD_AGG_STATE_PEN[],K$1,0),"ERROR")</f>
        <v>5</v>
      </c>
      <c r="L100" s="112">
        <f>IFERROR(VLOOKUP($B100,MMWR_TRAD_AGG_STATE_PEN[],L$1,0),"ERROR")</f>
        <v>5</v>
      </c>
      <c r="M100" s="114">
        <f t="shared" si="10"/>
        <v>1</v>
      </c>
      <c r="N100" s="111">
        <f>IFERROR(VLOOKUP($B100,MMWR_TRAD_AGG_STATE_PEN[],N$1,0),"ERROR")</f>
        <v>14</v>
      </c>
      <c r="O100" s="112">
        <f>IFERROR(VLOOKUP($B100,MMWR_TRAD_AGG_STATE_PEN[],O$1,0),"ERROR")</f>
        <v>3</v>
      </c>
      <c r="P100" s="114">
        <f t="shared" si="11"/>
        <v>0.21428571428571427</v>
      </c>
      <c r="Q100" s="115">
        <f>IFERROR(VLOOKUP($B100,MMWR_TRAD_AGG_STATE_PEN[],Q$1,0),"ERROR")</f>
        <v>272</v>
      </c>
      <c r="R100" s="115">
        <f>IFERROR(VLOOKUP($B100,MMWR_TRAD_AGG_STATE_PEN[],R$1,0),"ERROR")</f>
        <v>18</v>
      </c>
      <c r="S100" s="115">
        <f>IFERROR(VLOOKUP($B100,MMWR_APP_STATE_PEN[],S$1,0),"ERROR")</f>
        <v>111</v>
      </c>
      <c r="T100" s="28"/>
    </row>
    <row r="101" spans="1:20" s="123" customFormat="1" x14ac:dyDescent="0.2">
      <c r="A101" s="28"/>
      <c r="B101" s="127" t="s">
        <v>413</v>
      </c>
      <c r="C101" s="109">
        <f>IFERROR(VLOOKUP($B101,MMWR_TRAD_AGG_STATE_PEN[],C$1,0),"ERROR")</f>
        <v>76</v>
      </c>
      <c r="D101" s="110">
        <f>IFERROR(VLOOKUP($B101,MMWR_TRAD_AGG_STATE_PEN[],D$1,0),"ERROR")</f>
        <v>39.776315789500003</v>
      </c>
      <c r="E101" s="111">
        <f>IFERROR(VLOOKUP($B101,MMWR_TRAD_AGG_STATE_PEN[],E$1,0),"ERROR")</f>
        <v>228</v>
      </c>
      <c r="F101" s="112">
        <f>IFERROR(VLOOKUP($B101,MMWR_TRAD_AGG_STATE_PEN[],F$1,0),"ERROR")</f>
        <v>7</v>
      </c>
      <c r="G101" s="113">
        <f t="shared" ref="G101:G127" si="12">IFERROR(F101/E101,"0%")</f>
        <v>3.0701754385964911E-2</v>
      </c>
      <c r="H101" s="111">
        <f>IFERROR(VLOOKUP($B101,MMWR_TRAD_AGG_STATE_PEN[],H$1,0),"ERROR")</f>
        <v>171</v>
      </c>
      <c r="I101" s="112">
        <f>IFERROR(VLOOKUP($B101,MMWR_TRAD_AGG_STATE_PEN[],I$1,0),"ERROR")</f>
        <v>16</v>
      </c>
      <c r="J101" s="114">
        <f t="shared" ref="J101:J127" si="13">IFERROR(I101/H101,"0%")</f>
        <v>9.3567251461988299E-2</v>
      </c>
      <c r="K101" s="111">
        <f>IFERROR(VLOOKUP($B101,MMWR_TRAD_AGG_STATE_PEN[],K$1,0),"ERROR")</f>
        <v>3</v>
      </c>
      <c r="L101" s="112">
        <f>IFERROR(VLOOKUP($B101,MMWR_TRAD_AGG_STATE_PEN[],L$1,0),"ERROR")</f>
        <v>3</v>
      </c>
      <c r="M101" s="114">
        <f t="shared" ref="M101:M127" si="14">IFERROR(L101/K101,"0%")</f>
        <v>1</v>
      </c>
      <c r="N101" s="111">
        <f>IFERROR(VLOOKUP($B101,MMWR_TRAD_AGG_STATE_PEN[],N$1,0),"ERROR")</f>
        <v>21</v>
      </c>
      <c r="O101" s="112">
        <f>IFERROR(VLOOKUP($B101,MMWR_TRAD_AGG_STATE_PEN[],O$1,0),"ERROR")</f>
        <v>11</v>
      </c>
      <c r="P101" s="114">
        <f t="shared" ref="P101:P127" si="15">IFERROR(O101/N101,"0%")</f>
        <v>0.52380952380952384</v>
      </c>
      <c r="Q101" s="115">
        <f>IFERROR(VLOOKUP($B101,MMWR_TRAD_AGG_STATE_PEN[],Q$1,0),"ERROR")</f>
        <v>233</v>
      </c>
      <c r="R101" s="115">
        <f>IFERROR(VLOOKUP($B101,MMWR_TRAD_AGG_STATE_PEN[],R$1,0),"ERROR")</f>
        <v>46</v>
      </c>
      <c r="S101" s="115">
        <f>IFERROR(VLOOKUP($B101,MMWR_APP_STATE_PEN[],S$1,0),"ERROR")</f>
        <v>48</v>
      </c>
      <c r="T101" s="28"/>
    </row>
    <row r="102" spans="1:20" s="123" customFormat="1" x14ac:dyDescent="0.2">
      <c r="A102" s="28"/>
      <c r="B102" s="127" t="s">
        <v>397</v>
      </c>
      <c r="C102" s="109">
        <f>IFERROR(VLOOKUP($B102,MMWR_TRAD_AGG_STATE_PEN[],C$1,0),"ERROR")</f>
        <v>277</v>
      </c>
      <c r="D102" s="110">
        <f>IFERROR(VLOOKUP($B102,MMWR_TRAD_AGG_STATE_PEN[],D$1,0),"ERROR")</f>
        <v>66.086642599300006</v>
      </c>
      <c r="E102" s="111">
        <f>IFERROR(VLOOKUP($B102,MMWR_TRAD_AGG_STATE_PEN[],E$1,0),"ERROR")</f>
        <v>355</v>
      </c>
      <c r="F102" s="112">
        <f>IFERROR(VLOOKUP($B102,MMWR_TRAD_AGG_STATE_PEN[],F$1,0),"ERROR")</f>
        <v>25</v>
      </c>
      <c r="G102" s="113">
        <f t="shared" si="12"/>
        <v>7.0422535211267609E-2</v>
      </c>
      <c r="H102" s="111">
        <f>IFERROR(VLOOKUP($B102,MMWR_TRAD_AGG_STATE_PEN[],H$1,0),"ERROR")</f>
        <v>451</v>
      </c>
      <c r="I102" s="112">
        <f>IFERROR(VLOOKUP($B102,MMWR_TRAD_AGG_STATE_PEN[],I$1,0),"ERROR")</f>
        <v>52</v>
      </c>
      <c r="J102" s="114">
        <f t="shared" si="13"/>
        <v>0.11529933481152993</v>
      </c>
      <c r="K102" s="111">
        <f>IFERROR(VLOOKUP($B102,MMWR_TRAD_AGG_STATE_PEN[],K$1,0),"ERROR")</f>
        <v>5</v>
      </c>
      <c r="L102" s="112">
        <f>IFERROR(VLOOKUP($B102,MMWR_TRAD_AGG_STATE_PEN[],L$1,0),"ERROR")</f>
        <v>5</v>
      </c>
      <c r="M102" s="114">
        <f t="shared" si="14"/>
        <v>1</v>
      </c>
      <c r="N102" s="111">
        <f>IFERROR(VLOOKUP($B102,MMWR_TRAD_AGG_STATE_PEN[],N$1,0),"ERROR")</f>
        <v>29</v>
      </c>
      <c r="O102" s="112">
        <f>IFERROR(VLOOKUP($B102,MMWR_TRAD_AGG_STATE_PEN[],O$1,0),"ERROR")</f>
        <v>12</v>
      </c>
      <c r="P102" s="114">
        <f t="shared" si="15"/>
        <v>0.41379310344827586</v>
      </c>
      <c r="Q102" s="115">
        <f>IFERROR(VLOOKUP($B102,MMWR_TRAD_AGG_STATE_PEN[],Q$1,0),"ERROR")</f>
        <v>233</v>
      </c>
      <c r="R102" s="115">
        <f>IFERROR(VLOOKUP($B102,MMWR_TRAD_AGG_STATE_PEN[],R$1,0),"ERROR")</f>
        <v>35</v>
      </c>
      <c r="S102" s="115">
        <f>IFERROR(VLOOKUP($B102,MMWR_APP_STATE_PEN[],S$1,0),"ERROR")</f>
        <v>140</v>
      </c>
      <c r="T102" s="28"/>
    </row>
    <row r="103" spans="1:20" s="123" customFormat="1" x14ac:dyDescent="0.2">
      <c r="A103" s="28"/>
      <c r="B103" s="127" t="s">
        <v>399</v>
      </c>
      <c r="C103" s="109">
        <f>IFERROR(VLOOKUP($B103,MMWR_TRAD_AGG_STATE_PEN[],C$1,0),"ERROR")</f>
        <v>165</v>
      </c>
      <c r="D103" s="110">
        <f>IFERROR(VLOOKUP($B103,MMWR_TRAD_AGG_STATE_PEN[],D$1,0),"ERROR")</f>
        <v>75.593939393900001</v>
      </c>
      <c r="E103" s="111">
        <f>IFERROR(VLOOKUP($B103,MMWR_TRAD_AGG_STATE_PEN[],E$1,0),"ERROR")</f>
        <v>244</v>
      </c>
      <c r="F103" s="112">
        <f>IFERROR(VLOOKUP($B103,MMWR_TRAD_AGG_STATE_PEN[],F$1,0),"ERROR")</f>
        <v>21</v>
      </c>
      <c r="G103" s="113">
        <f t="shared" si="12"/>
        <v>8.6065573770491802E-2</v>
      </c>
      <c r="H103" s="111">
        <f>IFERROR(VLOOKUP($B103,MMWR_TRAD_AGG_STATE_PEN[],H$1,0),"ERROR")</f>
        <v>293</v>
      </c>
      <c r="I103" s="112">
        <f>IFERROR(VLOOKUP($B103,MMWR_TRAD_AGG_STATE_PEN[],I$1,0),"ERROR")</f>
        <v>42</v>
      </c>
      <c r="J103" s="114">
        <f t="shared" si="13"/>
        <v>0.14334470989761092</v>
      </c>
      <c r="K103" s="111">
        <f>IFERROR(VLOOKUP($B103,MMWR_TRAD_AGG_STATE_PEN[],K$1,0),"ERROR")</f>
        <v>7</v>
      </c>
      <c r="L103" s="112">
        <f>IFERROR(VLOOKUP($B103,MMWR_TRAD_AGG_STATE_PEN[],L$1,0),"ERROR")</f>
        <v>7</v>
      </c>
      <c r="M103" s="114">
        <f t="shared" si="14"/>
        <v>1</v>
      </c>
      <c r="N103" s="111">
        <f>IFERROR(VLOOKUP($B103,MMWR_TRAD_AGG_STATE_PEN[],N$1,0),"ERROR")</f>
        <v>40</v>
      </c>
      <c r="O103" s="112">
        <f>IFERROR(VLOOKUP($B103,MMWR_TRAD_AGG_STATE_PEN[],O$1,0),"ERROR")</f>
        <v>13</v>
      </c>
      <c r="P103" s="114">
        <f t="shared" si="15"/>
        <v>0.32500000000000001</v>
      </c>
      <c r="Q103" s="115">
        <f>IFERROR(VLOOKUP($B103,MMWR_TRAD_AGG_STATE_PEN[],Q$1,0),"ERROR")</f>
        <v>296</v>
      </c>
      <c r="R103" s="115">
        <f>IFERROR(VLOOKUP($B103,MMWR_TRAD_AGG_STATE_PEN[],R$1,0),"ERROR")</f>
        <v>27</v>
      </c>
      <c r="S103" s="115">
        <f>IFERROR(VLOOKUP($B103,MMWR_APP_STATE_PEN[],S$1,0),"ERROR")</f>
        <v>109</v>
      </c>
      <c r="T103" s="28"/>
    </row>
    <row r="104" spans="1:20" s="123" customFormat="1" x14ac:dyDescent="0.2">
      <c r="A104" s="28"/>
      <c r="B104" s="127" t="s">
        <v>428</v>
      </c>
      <c r="C104" s="109">
        <f>IFERROR(VLOOKUP($B104,MMWR_TRAD_AGG_STATE_PEN[],C$1,0),"ERROR")</f>
        <v>18</v>
      </c>
      <c r="D104" s="110">
        <f>IFERROR(VLOOKUP($B104,MMWR_TRAD_AGG_STATE_PEN[],D$1,0),"ERROR")</f>
        <v>24.611111111100001</v>
      </c>
      <c r="E104" s="111">
        <f>IFERROR(VLOOKUP($B104,MMWR_TRAD_AGG_STATE_PEN[],E$1,0),"ERROR")</f>
        <v>72</v>
      </c>
      <c r="F104" s="112">
        <f>IFERROR(VLOOKUP($B104,MMWR_TRAD_AGG_STATE_PEN[],F$1,0),"ERROR")</f>
        <v>2</v>
      </c>
      <c r="G104" s="113">
        <f t="shared" si="12"/>
        <v>2.7777777777777776E-2</v>
      </c>
      <c r="H104" s="111">
        <f>IFERROR(VLOOKUP($B104,MMWR_TRAD_AGG_STATE_PEN[],H$1,0),"ERROR")</f>
        <v>40</v>
      </c>
      <c r="I104" s="112">
        <f>IFERROR(VLOOKUP($B104,MMWR_TRAD_AGG_STATE_PEN[],I$1,0),"ERROR")</f>
        <v>2</v>
      </c>
      <c r="J104" s="114">
        <f t="shared" si="13"/>
        <v>0.05</v>
      </c>
      <c r="K104" s="111">
        <f>IFERROR(VLOOKUP($B104,MMWR_TRAD_AGG_STATE_PEN[],K$1,0),"ERROR")</f>
        <v>1</v>
      </c>
      <c r="L104" s="112">
        <f>IFERROR(VLOOKUP($B104,MMWR_TRAD_AGG_STATE_PEN[],L$1,0),"ERROR")</f>
        <v>1</v>
      </c>
      <c r="M104" s="114">
        <f t="shared" si="14"/>
        <v>1</v>
      </c>
      <c r="N104" s="111">
        <f>IFERROR(VLOOKUP($B104,MMWR_TRAD_AGG_STATE_PEN[],N$1,0),"ERROR")</f>
        <v>3</v>
      </c>
      <c r="O104" s="112">
        <f>IFERROR(VLOOKUP($B104,MMWR_TRAD_AGG_STATE_PEN[],O$1,0),"ERROR")</f>
        <v>0</v>
      </c>
      <c r="P104" s="114">
        <f t="shared" si="15"/>
        <v>0</v>
      </c>
      <c r="Q104" s="115">
        <f>IFERROR(VLOOKUP($B104,MMWR_TRAD_AGG_STATE_PEN[],Q$1,0),"ERROR")</f>
        <v>76</v>
      </c>
      <c r="R104" s="115">
        <f>IFERROR(VLOOKUP($B104,MMWR_TRAD_AGG_STATE_PEN[],R$1,0),"ERROR")</f>
        <v>8</v>
      </c>
      <c r="S104" s="115">
        <f>IFERROR(VLOOKUP($B104,MMWR_APP_STATE_PEN[],S$1,0),"ERROR")</f>
        <v>2</v>
      </c>
      <c r="T104" s="28"/>
    </row>
    <row r="105" spans="1:20" s="123" customFormat="1" x14ac:dyDescent="0.2">
      <c r="A105" s="28"/>
      <c r="B105" s="127" t="s">
        <v>422</v>
      </c>
      <c r="C105" s="109">
        <f>IFERROR(VLOOKUP($B105,MMWR_TRAD_AGG_STATE_PEN[],C$1,0),"ERROR")</f>
        <v>97</v>
      </c>
      <c r="D105" s="110">
        <f>IFERROR(VLOOKUP($B105,MMWR_TRAD_AGG_STATE_PEN[],D$1,0),"ERROR")</f>
        <v>39.072164948500003</v>
      </c>
      <c r="E105" s="111">
        <f>IFERROR(VLOOKUP($B105,MMWR_TRAD_AGG_STATE_PEN[],E$1,0),"ERROR")</f>
        <v>234</v>
      </c>
      <c r="F105" s="112">
        <f>IFERROR(VLOOKUP($B105,MMWR_TRAD_AGG_STATE_PEN[],F$1,0),"ERROR")</f>
        <v>9</v>
      </c>
      <c r="G105" s="113">
        <f t="shared" si="12"/>
        <v>3.8461538461538464E-2</v>
      </c>
      <c r="H105" s="111">
        <f>IFERROR(VLOOKUP($B105,MMWR_TRAD_AGG_STATE_PEN[],H$1,0),"ERROR")</f>
        <v>181</v>
      </c>
      <c r="I105" s="112">
        <f>IFERROR(VLOOKUP($B105,MMWR_TRAD_AGG_STATE_PEN[],I$1,0),"ERROR")</f>
        <v>9</v>
      </c>
      <c r="J105" s="114">
        <f t="shared" si="13"/>
        <v>4.9723756906077346E-2</v>
      </c>
      <c r="K105" s="111">
        <f>IFERROR(VLOOKUP($B105,MMWR_TRAD_AGG_STATE_PEN[],K$1,0),"ERROR")</f>
        <v>2</v>
      </c>
      <c r="L105" s="112">
        <f>IFERROR(VLOOKUP($B105,MMWR_TRAD_AGG_STATE_PEN[],L$1,0),"ERROR")</f>
        <v>2</v>
      </c>
      <c r="M105" s="114">
        <f t="shared" si="14"/>
        <v>1</v>
      </c>
      <c r="N105" s="111">
        <f>IFERROR(VLOOKUP($B105,MMWR_TRAD_AGG_STATE_PEN[],N$1,0),"ERROR")</f>
        <v>14</v>
      </c>
      <c r="O105" s="112">
        <f>IFERROR(VLOOKUP($B105,MMWR_TRAD_AGG_STATE_PEN[],O$1,0),"ERROR")</f>
        <v>4</v>
      </c>
      <c r="P105" s="114">
        <f t="shared" si="15"/>
        <v>0.2857142857142857</v>
      </c>
      <c r="Q105" s="115">
        <f>IFERROR(VLOOKUP($B105,MMWR_TRAD_AGG_STATE_PEN[],Q$1,0),"ERROR")</f>
        <v>366</v>
      </c>
      <c r="R105" s="115">
        <f>IFERROR(VLOOKUP($B105,MMWR_TRAD_AGG_STATE_PEN[],R$1,0),"ERROR")</f>
        <v>63</v>
      </c>
      <c r="S105" s="115">
        <f>IFERROR(VLOOKUP($B105,MMWR_APP_STATE_PEN[],S$1,0),"ERROR")</f>
        <v>82</v>
      </c>
      <c r="T105" s="28"/>
    </row>
    <row r="106" spans="1:20" s="123" customFormat="1" x14ac:dyDescent="0.2">
      <c r="A106" s="28"/>
      <c r="B106" s="127" t="s">
        <v>420</v>
      </c>
      <c r="C106" s="109">
        <f>IFERROR(VLOOKUP($B106,MMWR_TRAD_AGG_STATE_PEN[],C$1,0),"ERROR")</f>
        <v>462</v>
      </c>
      <c r="D106" s="110">
        <f>IFERROR(VLOOKUP($B106,MMWR_TRAD_AGG_STATE_PEN[],D$1,0),"ERROR")</f>
        <v>44.471861471899999</v>
      </c>
      <c r="E106" s="111">
        <f>IFERROR(VLOOKUP($B106,MMWR_TRAD_AGG_STATE_PEN[],E$1,0),"ERROR")</f>
        <v>1393</v>
      </c>
      <c r="F106" s="112">
        <f>IFERROR(VLOOKUP($B106,MMWR_TRAD_AGG_STATE_PEN[],F$1,0),"ERROR")</f>
        <v>40</v>
      </c>
      <c r="G106" s="113">
        <f t="shared" si="12"/>
        <v>2.8715003589375447E-2</v>
      </c>
      <c r="H106" s="111">
        <f>IFERROR(VLOOKUP($B106,MMWR_TRAD_AGG_STATE_PEN[],H$1,0),"ERROR")</f>
        <v>963</v>
      </c>
      <c r="I106" s="112">
        <f>IFERROR(VLOOKUP($B106,MMWR_TRAD_AGG_STATE_PEN[],I$1,0),"ERROR")</f>
        <v>85</v>
      </c>
      <c r="J106" s="114">
        <f t="shared" si="13"/>
        <v>8.8265835929387332E-2</v>
      </c>
      <c r="K106" s="111">
        <f>IFERROR(VLOOKUP($B106,MMWR_TRAD_AGG_STATE_PEN[],K$1,0),"ERROR")</f>
        <v>10</v>
      </c>
      <c r="L106" s="112">
        <f>IFERROR(VLOOKUP($B106,MMWR_TRAD_AGG_STATE_PEN[],L$1,0),"ERROR")</f>
        <v>9</v>
      </c>
      <c r="M106" s="114">
        <f t="shared" si="14"/>
        <v>0.9</v>
      </c>
      <c r="N106" s="111">
        <f>IFERROR(VLOOKUP($B106,MMWR_TRAD_AGG_STATE_PEN[],N$1,0),"ERROR")</f>
        <v>62</v>
      </c>
      <c r="O106" s="112">
        <f>IFERROR(VLOOKUP($B106,MMWR_TRAD_AGG_STATE_PEN[],O$1,0),"ERROR")</f>
        <v>35</v>
      </c>
      <c r="P106" s="114">
        <f t="shared" si="15"/>
        <v>0.56451612903225812</v>
      </c>
      <c r="Q106" s="115">
        <f>IFERROR(VLOOKUP($B106,MMWR_TRAD_AGG_STATE_PEN[],Q$1,0),"ERROR")</f>
        <v>982</v>
      </c>
      <c r="R106" s="115">
        <f>IFERROR(VLOOKUP($B106,MMWR_TRAD_AGG_STATE_PEN[],R$1,0),"ERROR")</f>
        <v>276</v>
      </c>
      <c r="S106" s="115">
        <f>IFERROR(VLOOKUP($B106,MMWR_APP_STATE_PEN[],S$1,0),"ERROR")</f>
        <v>291</v>
      </c>
      <c r="T106" s="28"/>
    </row>
    <row r="107" spans="1:20" s="123" customFormat="1" x14ac:dyDescent="0.2">
      <c r="A107" s="28"/>
      <c r="B107" s="127" t="s">
        <v>416</v>
      </c>
      <c r="C107" s="109">
        <f>IFERROR(VLOOKUP($B107,MMWR_TRAD_AGG_STATE_PEN[],C$1,0),"ERROR")</f>
        <v>29</v>
      </c>
      <c r="D107" s="110">
        <f>IFERROR(VLOOKUP($B107,MMWR_TRAD_AGG_STATE_PEN[],D$1,0),"ERROR")</f>
        <v>38</v>
      </c>
      <c r="E107" s="111">
        <f>IFERROR(VLOOKUP($B107,MMWR_TRAD_AGG_STATE_PEN[],E$1,0),"ERROR")</f>
        <v>162</v>
      </c>
      <c r="F107" s="112">
        <f>IFERROR(VLOOKUP($B107,MMWR_TRAD_AGG_STATE_PEN[],F$1,0),"ERROR")</f>
        <v>4</v>
      </c>
      <c r="G107" s="113">
        <f t="shared" si="12"/>
        <v>2.4691358024691357E-2</v>
      </c>
      <c r="H107" s="111">
        <f>IFERROR(VLOOKUP($B107,MMWR_TRAD_AGG_STATE_PEN[],H$1,0),"ERROR")</f>
        <v>65</v>
      </c>
      <c r="I107" s="112">
        <f>IFERROR(VLOOKUP($B107,MMWR_TRAD_AGG_STATE_PEN[],I$1,0),"ERROR")</f>
        <v>3</v>
      </c>
      <c r="J107" s="114">
        <f t="shared" si="13"/>
        <v>4.6153846153846156E-2</v>
      </c>
      <c r="K107" s="111">
        <f>IFERROR(VLOOKUP($B107,MMWR_TRAD_AGG_STATE_PEN[],K$1,0),"ERROR")</f>
        <v>1</v>
      </c>
      <c r="L107" s="112">
        <f>IFERROR(VLOOKUP($B107,MMWR_TRAD_AGG_STATE_PEN[],L$1,0),"ERROR")</f>
        <v>1</v>
      </c>
      <c r="M107" s="114">
        <f t="shared" si="14"/>
        <v>1</v>
      </c>
      <c r="N107" s="111">
        <f>IFERROR(VLOOKUP($B107,MMWR_TRAD_AGG_STATE_PEN[],N$1,0),"ERROR")</f>
        <v>4</v>
      </c>
      <c r="O107" s="112">
        <f>IFERROR(VLOOKUP($B107,MMWR_TRAD_AGG_STATE_PEN[],O$1,0),"ERROR")</f>
        <v>4</v>
      </c>
      <c r="P107" s="114">
        <f t="shared" si="15"/>
        <v>1</v>
      </c>
      <c r="Q107" s="115">
        <f>IFERROR(VLOOKUP($B107,MMWR_TRAD_AGG_STATE_PEN[],Q$1,0),"ERROR")</f>
        <v>97</v>
      </c>
      <c r="R107" s="115">
        <f>IFERROR(VLOOKUP($B107,MMWR_TRAD_AGG_STATE_PEN[],R$1,0),"ERROR")</f>
        <v>16</v>
      </c>
      <c r="S107" s="115">
        <f>IFERROR(VLOOKUP($B107,MMWR_APP_STATE_PEN[],S$1,0),"ERROR")</f>
        <v>15</v>
      </c>
      <c r="T107" s="28"/>
    </row>
    <row r="108" spans="1:20" s="123" customFormat="1" x14ac:dyDescent="0.2">
      <c r="A108" s="28"/>
      <c r="B108" s="127" t="s">
        <v>431</v>
      </c>
      <c r="C108" s="109">
        <f>IFERROR(VLOOKUP($B108,MMWR_TRAD_AGG_STATE_PEN[],C$1,0),"ERROR")</f>
        <v>7</v>
      </c>
      <c r="D108" s="110">
        <f>IFERROR(VLOOKUP($B108,MMWR_TRAD_AGG_STATE_PEN[],D$1,0),"ERROR")</f>
        <v>32.142857142899999</v>
      </c>
      <c r="E108" s="111">
        <f>IFERROR(VLOOKUP($B108,MMWR_TRAD_AGG_STATE_PEN[],E$1,0),"ERROR")</f>
        <v>21</v>
      </c>
      <c r="F108" s="112">
        <f>IFERROR(VLOOKUP($B108,MMWR_TRAD_AGG_STATE_PEN[],F$1,0),"ERROR")</f>
        <v>1</v>
      </c>
      <c r="G108" s="113">
        <f t="shared" si="12"/>
        <v>4.7619047619047616E-2</v>
      </c>
      <c r="H108" s="111">
        <f>IFERROR(VLOOKUP($B108,MMWR_TRAD_AGG_STATE_PEN[],H$1,0),"ERROR")</f>
        <v>21</v>
      </c>
      <c r="I108" s="112">
        <f>IFERROR(VLOOKUP($B108,MMWR_TRAD_AGG_STATE_PEN[],I$1,0),"ERROR")</f>
        <v>3</v>
      </c>
      <c r="J108" s="114">
        <f t="shared" si="13"/>
        <v>0.14285714285714285</v>
      </c>
      <c r="K108" s="111">
        <f>IFERROR(VLOOKUP($B108,MMWR_TRAD_AGG_STATE_PEN[],K$1,0),"ERROR")</f>
        <v>0</v>
      </c>
      <c r="L108" s="112">
        <f>IFERROR(VLOOKUP($B108,MMWR_TRAD_AGG_STATE_PEN[],L$1,0),"ERROR")</f>
        <v>0</v>
      </c>
      <c r="M108" s="114" t="str">
        <f t="shared" si="14"/>
        <v>0%</v>
      </c>
      <c r="N108" s="111">
        <f>IFERROR(VLOOKUP($B108,MMWR_TRAD_AGG_STATE_PEN[],N$1,0),"ERROR")</f>
        <v>1</v>
      </c>
      <c r="O108" s="112">
        <f>IFERROR(VLOOKUP($B108,MMWR_TRAD_AGG_STATE_PEN[],O$1,0),"ERROR")</f>
        <v>1</v>
      </c>
      <c r="P108" s="114">
        <f t="shared" si="15"/>
        <v>1</v>
      </c>
      <c r="Q108" s="115">
        <f>IFERROR(VLOOKUP($B108,MMWR_TRAD_AGG_STATE_PEN[],Q$1,0),"ERROR")</f>
        <v>45</v>
      </c>
      <c r="R108" s="115">
        <f>IFERROR(VLOOKUP($B108,MMWR_TRAD_AGG_STATE_PEN[],R$1,0),"ERROR")</f>
        <v>4</v>
      </c>
      <c r="S108" s="115">
        <f>IFERROR(VLOOKUP($B108,MMWR_APP_STATE_PEN[],S$1,0),"ERROR")</f>
        <v>4</v>
      </c>
      <c r="T108" s="28"/>
    </row>
    <row r="109" spans="1:20" s="123" customFormat="1" x14ac:dyDescent="0.2">
      <c r="A109" s="28"/>
      <c r="B109" s="126" t="s">
        <v>414</v>
      </c>
      <c r="C109" s="102">
        <f>IFERROR(VLOOKUP($B109,MMWR_TRAD_AGG_ST_DISTRICT_PEN[],C$1,0),"ERROR")</f>
        <v>1027</v>
      </c>
      <c r="D109" s="103">
        <f>IFERROR(VLOOKUP($B109,MMWR_TRAD_AGG_ST_DISTRICT_PEN[],D$1,0),"ERROR")</f>
        <v>39.216163583300002</v>
      </c>
      <c r="E109" s="102">
        <f>IFERROR(VLOOKUP($B109,MMWR_TRAD_AGG_ST_DISTRICT_PEN[],E$1,0),"ERROR")</f>
        <v>3888</v>
      </c>
      <c r="F109" s="102">
        <f>IFERROR(VLOOKUP($B109,MMWR_TRAD_AGG_ST_DISTRICT_PEN[],F$1,0),"ERROR")</f>
        <v>139</v>
      </c>
      <c r="G109" s="104">
        <f t="shared" si="12"/>
        <v>3.5751028806584359E-2</v>
      </c>
      <c r="H109" s="102">
        <f>IFERROR(VLOOKUP($B109,MMWR_TRAD_AGG_ST_DISTRICT_PEN[],H$1,0),"ERROR")</f>
        <v>1915</v>
      </c>
      <c r="I109" s="102">
        <f>IFERROR(VLOOKUP($B109,MMWR_TRAD_AGG_ST_DISTRICT_PEN[],I$1,0),"ERROR")</f>
        <v>141</v>
      </c>
      <c r="J109" s="104">
        <f t="shared" si="13"/>
        <v>7.3629242819843344E-2</v>
      </c>
      <c r="K109" s="102">
        <f>IFERROR(VLOOKUP($B109,MMWR_TRAD_AGG_ST_DISTRICT_PEN[],K$1,0),"ERROR")</f>
        <v>21</v>
      </c>
      <c r="L109" s="102">
        <f>IFERROR(VLOOKUP($B109,MMWR_TRAD_AGG_ST_DISTRICT_PEN[],L$1,0),"ERROR")</f>
        <v>19</v>
      </c>
      <c r="M109" s="104">
        <f t="shared" si="14"/>
        <v>0.90476190476190477</v>
      </c>
      <c r="N109" s="102">
        <f>IFERROR(VLOOKUP($B109,MMWR_TRAD_AGG_ST_DISTRICT_PEN[],N$1,0),"ERROR")</f>
        <v>133</v>
      </c>
      <c r="O109" s="102">
        <f>IFERROR(VLOOKUP($B109,MMWR_TRAD_AGG_ST_DISTRICT_PEN[],O$1,0),"ERROR")</f>
        <v>68</v>
      </c>
      <c r="P109" s="104">
        <f t="shared" si="15"/>
        <v>0.51127819548872178</v>
      </c>
      <c r="Q109" s="102">
        <f>IFERROR(VLOOKUP($B109,MMWR_TRAD_AGG_ST_DISTRICT_PEN[],Q$1,0),"ERROR")</f>
        <v>2100</v>
      </c>
      <c r="R109" s="106">
        <f>IFERROR(VLOOKUP($B109,MMWR_TRAD_AGG_ST_DISTRICT_PEN[],R$1,0),"ERROR")</f>
        <v>548</v>
      </c>
      <c r="S109" s="106">
        <f>IFERROR(VLOOKUP($B109,MMWR_APP_STATE_PEN[],S$1,0),"ERROR")</f>
        <v>508</v>
      </c>
      <c r="T109" s="28"/>
    </row>
    <row r="110" spans="1:20" s="123" customFormat="1" x14ac:dyDescent="0.2">
      <c r="A110" s="28"/>
      <c r="B110" s="127" t="s">
        <v>434</v>
      </c>
      <c r="C110" s="109">
        <f>IFERROR(VLOOKUP($B110,MMWR_TRAD_AGG_STATE_PEN[],C$1,0),"ERROR")</f>
        <v>6</v>
      </c>
      <c r="D110" s="110">
        <f>IFERROR(VLOOKUP($B110,MMWR_TRAD_AGG_STATE_PEN[],D$1,0),"ERROR")</f>
        <v>20.5</v>
      </c>
      <c r="E110" s="111">
        <f>IFERROR(VLOOKUP($B110,MMWR_TRAD_AGG_STATE_PEN[],E$1,0),"ERROR")</f>
        <v>10</v>
      </c>
      <c r="F110" s="112">
        <f>IFERROR(VLOOKUP($B110,MMWR_TRAD_AGG_STATE_PEN[],F$1,0),"ERROR")</f>
        <v>0</v>
      </c>
      <c r="G110" s="113">
        <f t="shared" si="12"/>
        <v>0</v>
      </c>
      <c r="H110" s="111">
        <f>IFERROR(VLOOKUP($B110,MMWR_TRAD_AGG_STATE_PEN[],H$1,0),"ERROR")</f>
        <v>16</v>
      </c>
      <c r="I110" s="112">
        <f>IFERROR(VLOOKUP($B110,MMWR_TRAD_AGG_STATE_PEN[],I$1,0),"ERROR")</f>
        <v>1</v>
      </c>
      <c r="J110" s="114">
        <f t="shared" si="13"/>
        <v>6.25E-2</v>
      </c>
      <c r="K110" s="111">
        <f>IFERROR(VLOOKUP($B110,MMWR_TRAD_AGG_STATE_PEN[],K$1,0),"ERROR")</f>
        <v>0</v>
      </c>
      <c r="L110" s="112">
        <f>IFERROR(VLOOKUP($B110,MMWR_TRAD_AGG_STATE_PEN[],L$1,0),"ERROR")</f>
        <v>0</v>
      </c>
      <c r="M110" s="114" t="str">
        <f t="shared" si="14"/>
        <v>0%</v>
      </c>
      <c r="N110" s="111">
        <f>IFERROR(VLOOKUP($B110,MMWR_TRAD_AGG_STATE_PEN[],N$1,0),"ERROR")</f>
        <v>0</v>
      </c>
      <c r="O110" s="112">
        <f>IFERROR(VLOOKUP($B110,MMWR_TRAD_AGG_STATE_PEN[],O$1,0),"ERROR")</f>
        <v>0</v>
      </c>
      <c r="P110" s="114" t="str">
        <f t="shared" si="15"/>
        <v>0%</v>
      </c>
      <c r="Q110" s="115">
        <f>IFERROR(VLOOKUP($B110,MMWR_TRAD_AGG_STATE_PEN[],Q$1,0),"ERROR")</f>
        <v>26</v>
      </c>
      <c r="R110" s="115">
        <f>IFERROR(VLOOKUP($B110,MMWR_TRAD_AGG_STATE_PEN[],R$1,0),"ERROR")</f>
        <v>7</v>
      </c>
      <c r="S110" s="115">
        <f>IFERROR(VLOOKUP($B110,MMWR_APP_STATE_PEN[],S$1,0),"ERROR")</f>
        <v>5</v>
      </c>
      <c r="T110" s="28"/>
    </row>
    <row r="111" spans="1:20" s="123" customFormat="1" x14ac:dyDescent="0.2">
      <c r="A111" s="28"/>
      <c r="B111" s="127" t="s">
        <v>436</v>
      </c>
      <c r="C111" s="109">
        <f>IFERROR(VLOOKUP($B111,MMWR_TRAD_AGG_STATE_PEN[],C$1,0),"ERROR")</f>
        <v>120</v>
      </c>
      <c r="D111" s="110">
        <f>IFERROR(VLOOKUP($B111,MMWR_TRAD_AGG_STATE_PEN[],D$1,0),"ERROR")</f>
        <v>38.941666666700002</v>
      </c>
      <c r="E111" s="111">
        <f>IFERROR(VLOOKUP($B111,MMWR_TRAD_AGG_STATE_PEN[],E$1,0),"ERROR")</f>
        <v>498</v>
      </c>
      <c r="F111" s="112">
        <f>IFERROR(VLOOKUP($B111,MMWR_TRAD_AGG_STATE_PEN[],F$1,0),"ERROR")</f>
        <v>20</v>
      </c>
      <c r="G111" s="113">
        <f t="shared" si="12"/>
        <v>4.0160642570281124E-2</v>
      </c>
      <c r="H111" s="111">
        <f>IFERROR(VLOOKUP($B111,MMWR_TRAD_AGG_STATE_PEN[],H$1,0),"ERROR")</f>
        <v>210</v>
      </c>
      <c r="I111" s="112">
        <f>IFERROR(VLOOKUP($B111,MMWR_TRAD_AGG_STATE_PEN[],I$1,0),"ERROR")</f>
        <v>15</v>
      </c>
      <c r="J111" s="114">
        <f t="shared" si="13"/>
        <v>7.1428571428571425E-2</v>
      </c>
      <c r="K111" s="111">
        <f>IFERROR(VLOOKUP($B111,MMWR_TRAD_AGG_STATE_PEN[],K$1,0),"ERROR")</f>
        <v>4</v>
      </c>
      <c r="L111" s="112">
        <f>IFERROR(VLOOKUP($B111,MMWR_TRAD_AGG_STATE_PEN[],L$1,0),"ERROR")</f>
        <v>4</v>
      </c>
      <c r="M111" s="114">
        <f t="shared" si="14"/>
        <v>1</v>
      </c>
      <c r="N111" s="111">
        <f>IFERROR(VLOOKUP($B111,MMWR_TRAD_AGG_STATE_PEN[],N$1,0),"ERROR")</f>
        <v>14</v>
      </c>
      <c r="O111" s="112">
        <f>IFERROR(VLOOKUP($B111,MMWR_TRAD_AGG_STATE_PEN[],O$1,0),"ERROR")</f>
        <v>4</v>
      </c>
      <c r="P111" s="114">
        <f t="shared" si="15"/>
        <v>0.2857142857142857</v>
      </c>
      <c r="Q111" s="115">
        <f>IFERROR(VLOOKUP($B111,MMWR_TRAD_AGG_STATE_PEN[],Q$1,0),"ERROR")</f>
        <v>263</v>
      </c>
      <c r="R111" s="115">
        <f>IFERROR(VLOOKUP($B111,MMWR_TRAD_AGG_STATE_PEN[],R$1,0),"ERROR")</f>
        <v>68</v>
      </c>
      <c r="S111" s="115">
        <f>IFERROR(VLOOKUP($B111,MMWR_APP_STATE_PEN[],S$1,0),"ERROR")</f>
        <v>53</v>
      </c>
      <c r="T111" s="28"/>
    </row>
    <row r="112" spans="1:20" s="123" customFormat="1" x14ac:dyDescent="0.2">
      <c r="A112" s="28"/>
      <c r="B112" s="127" t="s">
        <v>417</v>
      </c>
      <c r="C112" s="109">
        <f>IFERROR(VLOOKUP($B112,MMWR_TRAD_AGG_STATE_PEN[],C$1,0),"ERROR")</f>
        <v>536</v>
      </c>
      <c r="D112" s="110">
        <f>IFERROR(VLOOKUP($B112,MMWR_TRAD_AGG_STATE_PEN[],D$1,0),"ERROR")</f>
        <v>36.878731343299997</v>
      </c>
      <c r="E112" s="111">
        <f>IFERROR(VLOOKUP($B112,MMWR_TRAD_AGG_STATE_PEN[],E$1,0),"ERROR")</f>
        <v>2178</v>
      </c>
      <c r="F112" s="112">
        <f>IFERROR(VLOOKUP($B112,MMWR_TRAD_AGG_STATE_PEN[],F$1,0),"ERROR")</f>
        <v>70</v>
      </c>
      <c r="G112" s="113">
        <f t="shared" si="12"/>
        <v>3.2139577594123052E-2</v>
      </c>
      <c r="H112" s="111">
        <f>IFERROR(VLOOKUP($B112,MMWR_TRAD_AGG_STATE_PEN[],H$1,0),"ERROR")</f>
        <v>972</v>
      </c>
      <c r="I112" s="112">
        <f>IFERROR(VLOOKUP($B112,MMWR_TRAD_AGG_STATE_PEN[],I$1,0),"ERROR")</f>
        <v>59</v>
      </c>
      <c r="J112" s="114">
        <f t="shared" si="13"/>
        <v>6.0699588477366256E-2</v>
      </c>
      <c r="K112" s="111">
        <f>IFERROR(VLOOKUP($B112,MMWR_TRAD_AGG_STATE_PEN[],K$1,0),"ERROR")</f>
        <v>11</v>
      </c>
      <c r="L112" s="112">
        <f>IFERROR(VLOOKUP($B112,MMWR_TRAD_AGG_STATE_PEN[],L$1,0),"ERROR")</f>
        <v>10</v>
      </c>
      <c r="M112" s="114">
        <f t="shared" si="14"/>
        <v>0.90909090909090906</v>
      </c>
      <c r="N112" s="111">
        <f>IFERROR(VLOOKUP($B112,MMWR_TRAD_AGG_STATE_PEN[],N$1,0),"ERROR")</f>
        <v>73</v>
      </c>
      <c r="O112" s="112">
        <f>IFERROR(VLOOKUP($B112,MMWR_TRAD_AGG_STATE_PEN[],O$1,0),"ERROR")</f>
        <v>40</v>
      </c>
      <c r="P112" s="114">
        <f t="shared" si="15"/>
        <v>0.54794520547945202</v>
      </c>
      <c r="Q112" s="115">
        <f>IFERROR(VLOOKUP($B112,MMWR_TRAD_AGG_STATE_PEN[],Q$1,0),"ERROR")</f>
        <v>920</v>
      </c>
      <c r="R112" s="115">
        <f>IFERROR(VLOOKUP($B112,MMWR_TRAD_AGG_STATE_PEN[],R$1,0),"ERROR")</f>
        <v>297</v>
      </c>
      <c r="S112" s="115">
        <f>IFERROR(VLOOKUP($B112,MMWR_APP_STATE_PEN[],S$1,0),"ERROR")</f>
        <v>259</v>
      </c>
      <c r="T112" s="28"/>
    </row>
    <row r="113" spans="1:20" s="123" customFormat="1" x14ac:dyDescent="0.2">
      <c r="A113" s="28"/>
      <c r="B113" s="127" t="s">
        <v>438</v>
      </c>
      <c r="C113" s="109">
        <f>IFERROR(VLOOKUP($B113,MMWR_TRAD_AGG_STATE_PEN[],C$1,0),"ERROR")</f>
        <v>16</v>
      </c>
      <c r="D113" s="110">
        <f>IFERROR(VLOOKUP($B113,MMWR_TRAD_AGG_STATE_PEN[],D$1,0),"ERROR")</f>
        <v>47.375</v>
      </c>
      <c r="E113" s="111">
        <f>IFERROR(VLOOKUP($B113,MMWR_TRAD_AGG_STATE_PEN[],E$1,0),"ERROR")</f>
        <v>34</v>
      </c>
      <c r="F113" s="112">
        <f>IFERROR(VLOOKUP($B113,MMWR_TRAD_AGG_STATE_PEN[],F$1,0),"ERROR")</f>
        <v>2</v>
      </c>
      <c r="G113" s="113">
        <f t="shared" si="12"/>
        <v>5.8823529411764705E-2</v>
      </c>
      <c r="H113" s="111">
        <f>IFERROR(VLOOKUP($B113,MMWR_TRAD_AGG_STATE_PEN[],H$1,0),"ERROR")</f>
        <v>27</v>
      </c>
      <c r="I113" s="112">
        <f>IFERROR(VLOOKUP($B113,MMWR_TRAD_AGG_STATE_PEN[],I$1,0),"ERROR")</f>
        <v>3</v>
      </c>
      <c r="J113" s="114">
        <f t="shared" si="13"/>
        <v>0.1111111111111111</v>
      </c>
      <c r="K113" s="111">
        <f>IFERROR(VLOOKUP($B113,MMWR_TRAD_AGG_STATE_PEN[],K$1,0),"ERROR")</f>
        <v>3</v>
      </c>
      <c r="L113" s="112">
        <f>IFERROR(VLOOKUP($B113,MMWR_TRAD_AGG_STATE_PEN[],L$1,0),"ERROR")</f>
        <v>2</v>
      </c>
      <c r="M113" s="114">
        <f t="shared" si="14"/>
        <v>0.66666666666666663</v>
      </c>
      <c r="N113" s="111">
        <f>IFERROR(VLOOKUP($B113,MMWR_TRAD_AGG_STATE_PEN[],N$1,0),"ERROR")</f>
        <v>2</v>
      </c>
      <c r="O113" s="112">
        <f>IFERROR(VLOOKUP($B113,MMWR_TRAD_AGG_STATE_PEN[],O$1,0),"ERROR")</f>
        <v>0</v>
      </c>
      <c r="P113" s="114">
        <f t="shared" si="15"/>
        <v>0</v>
      </c>
      <c r="Q113" s="115">
        <f>IFERROR(VLOOKUP($B113,MMWR_TRAD_AGG_STATE_PEN[],Q$1,0),"ERROR")</f>
        <v>44</v>
      </c>
      <c r="R113" s="115">
        <f>IFERROR(VLOOKUP($B113,MMWR_TRAD_AGG_STATE_PEN[],R$1,0),"ERROR")</f>
        <v>6</v>
      </c>
      <c r="S113" s="115">
        <f>IFERROR(VLOOKUP($B113,MMWR_APP_STATE_PEN[],S$1,0),"ERROR")</f>
        <v>13</v>
      </c>
      <c r="T113" s="28"/>
    </row>
    <row r="114" spans="1:20" s="123" customFormat="1" x14ac:dyDescent="0.2">
      <c r="A114" s="28"/>
      <c r="B114" s="127" t="s">
        <v>418</v>
      </c>
      <c r="C114" s="109">
        <f>IFERROR(VLOOKUP($B114,MMWR_TRAD_AGG_STATE_PEN[],C$1,0),"ERROR")</f>
        <v>35</v>
      </c>
      <c r="D114" s="110">
        <f>IFERROR(VLOOKUP($B114,MMWR_TRAD_AGG_STATE_PEN[],D$1,0),"ERROR")</f>
        <v>26.6</v>
      </c>
      <c r="E114" s="111">
        <f>IFERROR(VLOOKUP($B114,MMWR_TRAD_AGG_STATE_PEN[],E$1,0),"ERROR")</f>
        <v>78</v>
      </c>
      <c r="F114" s="112">
        <f>IFERROR(VLOOKUP($B114,MMWR_TRAD_AGG_STATE_PEN[],F$1,0),"ERROR")</f>
        <v>5</v>
      </c>
      <c r="G114" s="113">
        <f t="shared" si="12"/>
        <v>6.4102564102564097E-2</v>
      </c>
      <c r="H114" s="111">
        <f>IFERROR(VLOOKUP($B114,MMWR_TRAD_AGG_STATE_PEN[],H$1,0),"ERROR")</f>
        <v>56</v>
      </c>
      <c r="I114" s="112">
        <f>IFERROR(VLOOKUP($B114,MMWR_TRAD_AGG_STATE_PEN[],I$1,0),"ERROR")</f>
        <v>0</v>
      </c>
      <c r="J114" s="114">
        <f t="shared" si="13"/>
        <v>0</v>
      </c>
      <c r="K114" s="111">
        <f>IFERROR(VLOOKUP($B114,MMWR_TRAD_AGG_STATE_PEN[],K$1,0),"ERROR")</f>
        <v>1</v>
      </c>
      <c r="L114" s="112">
        <f>IFERROR(VLOOKUP($B114,MMWR_TRAD_AGG_STATE_PEN[],L$1,0),"ERROR")</f>
        <v>1</v>
      </c>
      <c r="M114" s="114">
        <f t="shared" si="14"/>
        <v>1</v>
      </c>
      <c r="N114" s="111">
        <f>IFERROR(VLOOKUP($B114,MMWR_TRAD_AGG_STATE_PEN[],N$1,0),"ERROR")</f>
        <v>0</v>
      </c>
      <c r="O114" s="112">
        <f>IFERROR(VLOOKUP($B114,MMWR_TRAD_AGG_STATE_PEN[],O$1,0),"ERROR")</f>
        <v>0</v>
      </c>
      <c r="P114" s="114" t="str">
        <f t="shared" si="15"/>
        <v>0%</v>
      </c>
      <c r="Q114" s="115">
        <f>IFERROR(VLOOKUP($B114,MMWR_TRAD_AGG_STATE_PEN[],Q$1,0),"ERROR")</f>
        <v>73</v>
      </c>
      <c r="R114" s="115">
        <f>IFERROR(VLOOKUP($B114,MMWR_TRAD_AGG_STATE_PEN[],R$1,0),"ERROR")</f>
        <v>9</v>
      </c>
      <c r="S114" s="115">
        <f>IFERROR(VLOOKUP($B114,MMWR_APP_STATE_PEN[],S$1,0),"ERROR")</f>
        <v>7</v>
      </c>
      <c r="T114" s="28"/>
    </row>
    <row r="115" spans="1:20" s="123" customFormat="1" x14ac:dyDescent="0.2">
      <c r="A115" s="28"/>
      <c r="B115" s="127" t="s">
        <v>423</v>
      </c>
      <c r="C115" s="109">
        <f>IFERROR(VLOOKUP($B115,MMWR_TRAD_AGG_STATE_PEN[],C$1,0),"ERROR")</f>
        <v>66</v>
      </c>
      <c r="D115" s="110">
        <f>IFERROR(VLOOKUP($B115,MMWR_TRAD_AGG_STATE_PEN[],D$1,0),"ERROR")</f>
        <v>59.9545454545</v>
      </c>
      <c r="E115" s="111">
        <f>IFERROR(VLOOKUP($B115,MMWR_TRAD_AGG_STATE_PEN[],E$1,0),"ERROR")</f>
        <v>193</v>
      </c>
      <c r="F115" s="112">
        <f>IFERROR(VLOOKUP($B115,MMWR_TRAD_AGG_STATE_PEN[],F$1,0),"ERROR")</f>
        <v>8</v>
      </c>
      <c r="G115" s="113">
        <f t="shared" si="12"/>
        <v>4.145077720207254E-2</v>
      </c>
      <c r="H115" s="111">
        <f>IFERROR(VLOOKUP($B115,MMWR_TRAD_AGG_STATE_PEN[],H$1,0),"ERROR")</f>
        <v>123</v>
      </c>
      <c r="I115" s="112">
        <f>IFERROR(VLOOKUP($B115,MMWR_TRAD_AGG_STATE_PEN[],I$1,0),"ERROR")</f>
        <v>14</v>
      </c>
      <c r="J115" s="114">
        <f t="shared" si="13"/>
        <v>0.11382113821138211</v>
      </c>
      <c r="K115" s="111">
        <f>IFERROR(VLOOKUP($B115,MMWR_TRAD_AGG_STATE_PEN[],K$1,0),"ERROR")</f>
        <v>0</v>
      </c>
      <c r="L115" s="112">
        <f>IFERROR(VLOOKUP($B115,MMWR_TRAD_AGG_STATE_PEN[],L$1,0),"ERROR")</f>
        <v>0</v>
      </c>
      <c r="M115" s="114" t="str">
        <f t="shared" si="14"/>
        <v>0%</v>
      </c>
      <c r="N115" s="111">
        <f>IFERROR(VLOOKUP($B115,MMWR_TRAD_AGG_STATE_PEN[],N$1,0),"ERROR")</f>
        <v>10</v>
      </c>
      <c r="O115" s="112">
        <f>IFERROR(VLOOKUP($B115,MMWR_TRAD_AGG_STATE_PEN[],O$1,0),"ERROR")</f>
        <v>7</v>
      </c>
      <c r="P115" s="114">
        <f t="shared" si="15"/>
        <v>0.7</v>
      </c>
      <c r="Q115" s="115">
        <f>IFERROR(VLOOKUP($B115,MMWR_TRAD_AGG_STATE_PEN[],Q$1,0),"ERROR")</f>
        <v>102</v>
      </c>
      <c r="R115" s="115">
        <f>IFERROR(VLOOKUP($B115,MMWR_TRAD_AGG_STATE_PEN[],R$1,0),"ERROR")</f>
        <v>35</v>
      </c>
      <c r="S115" s="115">
        <f>IFERROR(VLOOKUP($B115,MMWR_APP_STATE_PEN[],S$1,0),"ERROR")</f>
        <v>38</v>
      </c>
      <c r="T115" s="28"/>
    </row>
    <row r="116" spans="1:20" s="123" customFormat="1" x14ac:dyDescent="0.2">
      <c r="A116" s="28"/>
      <c r="B116" s="127" t="s">
        <v>415</v>
      </c>
      <c r="C116" s="109">
        <f>IFERROR(VLOOKUP($B116,MMWR_TRAD_AGG_STATE_PEN[],C$1,0),"ERROR")</f>
        <v>36</v>
      </c>
      <c r="D116" s="110">
        <f>IFERROR(VLOOKUP($B116,MMWR_TRAD_AGG_STATE_PEN[],D$1,0),"ERROR")</f>
        <v>39.833333333299997</v>
      </c>
      <c r="E116" s="111">
        <f>IFERROR(VLOOKUP($B116,MMWR_TRAD_AGG_STATE_PEN[],E$1,0),"ERROR")</f>
        <v>149</v>
      </c>
      <c r="F116" s="112">
        <f>IFERROR(VLOOKUP($B116,MMWR_TRAD_AGG_STATE_PEN[],F$1,0),"ERROR")</f>
        <v>2</v>
      </c>
      <c r="G116" s="113">
        <f t="shared" si="12"/>
        <v>1.3422818791946308E-2</v>
      </c>
      <c r="H116" s="111">
        <f>IFERROR(VLOOKUP($B116,MMWR_TRAD_AGG_STATE_PEN[],H$1,0),"ERROR")</f>
        <v>63</v>
      </c>
      <c r="I116" s="112">
        <f>IFERROR(VLOOKUP($B116,MMWR_TRAD_AGG_STATE_PEN[],I$1,0),"ERROR")</f>
        <v>7</v>
      </c>
      <c r="J116" s="114">
        <f t="shared" si="13"/>
        <v>0.1111111111111111</v>
      </c>
      <c r="K116" s="111">
        <f>IFERROR(VLOOKUP($B116,MMWR_TRAD_AGG_STATE_PEN[],K$1,0),"ERROR")</f>
        <v>0</v>
      </c>
      <c r="L116" s="112">
        <f>IFERROR(VLOOKUP($B116,MMWR_TRAD_AGG_STATE_PEN[],L$1,0),"ERROR")</f>
        <v>0</v>
      </c>
      <c r="M116" s="114" t="str">
        <f t="shared" si="14"/>
        <v>0%</v>
      </c>
      <c r="N116" s="111">
        <f>IFERROR(VLOOKUP($B116,MMWR_TRAD_AGG_STATE_PEN[],N$1,0),"ERROR")</f>
        <v>7</v>
      </c>
      <c r="O116" s="112">
        <f>IFERROR(VLOOKUP($B116,MMWR_TRAD_AGG_STATE_PEN[],O$1,0),"ERROR")</f>
        <v>3</v>
      </c>
      <c r="P116" s="114">
        <f t="shared" si="15"/>
        <v>0.42857142857142855</v>
      </c>
      <c r="Q116" s="115">
        <f>IFERROR(VLOOKUP($B116,MMWR_TRAD_AGG_STATE_PEN[],Q$1,0),"ERROR")</f>
        <v>174</v>
      </c>
      <c r="R116" s="115">
        <f>IFERROR(VLOOKUP($B116,MMWR_TRAD_AGG_STATE_PEN[],R$1,0),"ERROR")</f>
        <v>22</v>
      </c>
      <c r="S116" s="115">
        <f>IFERROR(VLOOKUP($B116,MMWR_APP_STATE_PEN[],S$1,0),"ERROR")</f>
        <v>22</v>
      </c>
      <c r="T116" s="28"/>
    </row>
    <row r="117" spans="1:20" s="123" customFormat="1" x14ac:dyDescent="0.2">
      <c r="A117" s="28"/>
      <c r="B117" s="127" t="s">
        <v>419</v>
      </c>
      <c r="C117" s="109">
        <f>IFERROR(VLOOKUP($B117,MMWR_TRAD_AGG_STATE_PEN[],C$1,0),"ERROR")</f>
        <v>81</v>
      </c>
      <c r="D117" s="110">
        <f>IFERROR(VLOOKUP($B117,MMWR_TRAD_AGG_STATE_PEN[],D$1,0),"ERROR")</f>
        <v>38.370370370400003</v>
      </c>
      <c r="E117" s="111">
        <f>IFERROR(VLOOKUP($B117,MMWR_TRAD_AGG_STATE_PEN[],E$1,0),"ERROR")</f>
        <v>267</v>
      </c>
      <c r="F117" s="112">
        <f>IFERROR(VLOOKUP($B117,MMWR_TRAD_AGG_STATE_PEN[],F$1,0),"ERROR")</f>
        <v>11</v>
      </c>
      <c r="G117" s="113">
        <f t="shared" si="12"/>
        <v>4.1198501872659173E-2</v>
      </c>
      <c r="H117" s="111">
        <f>IFERROR(VLOOKUP($B117,MMWR_TRAD_AGG_STATE_PEN[],H$1,0),"ERROR")</f>
        <v>146</v>
      </c>
      <c r="I117" s="112">
        <f>IFERROR(VLOOKUP($B117,MMWR_TRAD_AGG_STATE_PEN[],I$1,0),"ERROR")</f>
        <v>10</v>
      </c>
      <c r="J117" s="114">
        <f t="shared" si="13"/>
        <v>6.8493150684931503E-2</v>
      </c>
      <c r="K117" s="111">
        <f>IFERROR(VLOOKUP($B117,MMWR_TRAD_AGG_STATE_PEN[],K$1,0),"ERROR")</f>
        <v>1</v>
      </c>
      <c r="L117" s="112">
        <f>IFERROR(VLOOKUP($B117,MMWR_TRAD_AGG_STATE_PEN[],L$1,0),"ERROR")</f>
        <v>1</v>
      </c>
      <c r="M117" s="114">
        <f t="shared" si="14"/>
        <v>1</v>
      </c>
      <c r="N117" s="111">
        <f>IFERROR(VLOOKUP($B117,MMWR_TRAD_AGG_STATE_PEN[],N$1,0),"ERROR")</f>
        <v>10</v>
      </c>
      <c r="O117" s="112">
        <f>IFERROR(VLOOKUP($B117,MMWR_TRAD_AGG_STATE_PEN[],O$1,0),"ERROR")</f>
        <v>7</v>
      </c>
      <c r="P117" s="114">
        <f t="shared" si="15"/>
        <v>0.7</v>
      </c>
      <c r="Q117" s="115">
        <f>IFERROR(VLOOKUP($B117,MMWR_TRAD_AGG_STATE_PEN[],Q$1,0),"ERROR")</f>
        <v>230</v>
      </c>
      <c r="R117" s="115">
        <f>IFERROR(VLOOKUP($B117,MMWR_TRAD_AGG_STATE_PEN[],R$1,0),"ERROR")</f>
        <v>41</v>
      </c>
      <c r="S117" s="115">
        <f>IFERROR(VLOOKUP($B117,MMWR_APP_STATE_PEN[],S$1,0),"ERROR")</f>
        <v>39</v>
      </c>
      <c r="T117" s="28"/>
    </row>
    <row r="118" spans="1:20" s="123" customFormat="1" x14ac:dyDescent="0.2">
      <c r="A118" s="28"/>
      <c r="B118" s="127" t="s">
        <v>83</v>
      </c>
      <c r="C118" s="109">
        <f>IFERROR(VLOOKUP($B118,MMWR_TRAD_AGG_STATE_PEN[],C$1,0),"ERROR")</f>
        <v>131</v>
      </c>
      <c r="D118" s="110">
        <f>IFERROR(VLOOKUP($B118,MMWR_TRAD_AGG_STATE_PEN[],D$1,0),"ERROR")</f>
        <v>42.1679389313</v>
      </c>
      <c r="E118" s="111">
        <f>IFERROR(VLOOKUP($B118,MMWR_TRAD_AGG_STATE_PEN[],E$1,0),"ERROR")</f>
        <v>481</v>
      </c>
      <c r="F118" s="112">
        <f>IFERROR(VLOOKUP($B118,MMWR_TRAD_AGG_STATE_PEN[],F$1,0),"ERROR")</f>
        <v>21</v>
      </c>
      <c r="G118" s="113">
        <f t="shared" si="12"/>
        <v>4.3659043659043661E-2</v>
      </c>
      <c r="H118" s="111">
        <f>IFERROR(VLOOKUP($B118,MMWR_TRAD_AGG_STATE_PEN[],H$1,0),"ERROR")</f>
        <v>302</v>
      </c>
      <c r="I118" s="112">
        <f>IFERROR(VLOOKUP($B118,MMWR_TRAD_AGG_STATE_PEN[],I$1,0),"ERROR")</f>
        <v>32</v>
      </c>
      <c r="J118" s="114">
        <f t="shared" si="13"/>
        <v>0.10596026490066225</v>
      </c>
      <c r="K118" s="111">
        <f>IFERROR(VLOOKUP($B118,MMWR_TRAD_AGG_STATE_PEN[],K$1,0),"ERROR")</f>
        <v>1</v>
      </c>
      <c r="L118" s="112">
        <f>IFERROR(VLOOKUP($B118,MMWR_TRAD_AGG_STATE_PEN[],L$1,0),"ERROR")</f>
        <v>1</v>
      </c>
      <c r="M118" s="114">
        <f t="shared" si="14"/>
        <v>1</v>
      </c>
      <c r="N118" s="111">
        <f>IFERROR(VLOOKUP($B118,MMWR_TRAD_AGG_STATE_PEN[],N$1,0),"ERROR")</f>
        <v>17</v>
      </c>
      <c r="O118" s="112">
        <f>IFERROR(VLOOKUP($B118,MMWR_TRAD_AGG_STATE_PEN[],O$1,0),"ERROR")</f>
        <v>7</v>
      </c>
      <c r="P118" s="114">
        <f t="shared" si="15"/>
        <v>0.41176470588235292</v>
      </c>
      <c r="Q118" s="115">
        <f>IFERROR(VLOOKUP($B118,MMWR_TRAD_AGG_STATE_PEN[],Q$1,0),"ERROR")</f>
        <v>268</v>
      </c>
      <c r="R118" s="115">
        <f>IFERROR(VLOOKUP($B118,MMWR_TRAD_AGG_STATE_PEN[],R$1,0),"ERROR")</f>
        <v>63</v>
      </c>
      <c r="S118" s="115">
        <f>IFERROR(VLOOKUP($B118,MMWR_APP_STATE_PEN[],S$1,0),"ERROR")</f>
        <v>72</v>
      </c>
      <c r="T118" s="28"/>
    </row>
    <row r="119" spans="1:20" s="123" customFormat="1" x14ac:dyDescent="0.2">
      <c r="A119" s="28"/>
      <c r="B119" s="126" t="s">
        <v>390</v>
      </c>
      <c r="C119" s="102">
        <f>IFERROR(VLOOKUP($B119,MMWR_TRAD_AGG_ST_DISTRICT_PEN[],C$1,0),"ERROR")</f>
        <v>6447</v>
      </c>
      <c r="D119" s="103">
        <f>IFERROR(VLOOKUP($B119,MMWR_TRAD_AGG_ST_DISTRICT_PEN[],D$1,0),"ERROR")</f>
        <v>96.154490460700003</v>
      </c>
      <c r="E119" s="102">
        <f>IFERROR(VLOOKUP($B119,MMWR_TRAD_AGG_ST_DISTRICT_PEN[],E$1,0),"ERROR")</f>
        <v>6327</v>
      </c>
      <c r="F119" s="102">
        <f>IFERROR(VLOOKUP($B119,MMWR_TRAD_AGG_ST_DISTRICT_PEN[],F$1,0),"ERROR")</f>
        <v>1201</v>
      </c>
      <c r="G119" s="104">
        <f t="shared" si="12"/>
        <v>0.18982140034771613</v>
      </c>
      <c r="H119" s="102">
        <f>IFERROR(VLOOKUP($B119,MMWR_TRAD_AGG_ST_DISTRICT_PEN[],H$1,0),"ERROR")</f>
        <v>10636</v>
      </c>
      <c r="I119" s="102">
        <f>IFERROR(VLOOKUP($B119,MMWR_TRAD_AGG_ST_DISTRICT_PEN[],I$1,0),"ERROR")</f>
        <v>2808</v>
      </c>
      <c r="J119" s="104">
        <f t="shared" si="13"/>
        <v>0.26400902594960513</v>
      </c>
      <c r="K119" s="102">
        <f>IFERROR(VLOOKUP($B119,MMWR_TRAD_AGG_ST_DISTRICT_PEN[],K$1,0),"ERROR")</f>
        <v>252</v>
      </c>
      <c r="L119" s="102">
        <f>IFERROR(VLOOKUP($B119,MMWR_TRAD_AGG_ST_DISTRICT_PEN[],L$1,0),"ERROR")</f>
        <v>230</v>
      </c>
      <c r="M119" s="104">
        <f t="shared" si="14"/>
        <v>0.91269841269841268</v>
      </c>
      <c r="N119" s="102">
        <f>IFERROR(VLOOKUP($B119,MMWR_TRAD_AGG_ST_DISTRICT_PEN[],N$1,0),"ERROR")</f>
        <v>1451</v>
      </c>
      <c r="O119" s="102">
        <f>IFERROR(VLOOKUP($B119,MMWR_TRAD_AGG_ST_DISTRICT_PEN[],O$1,0),"ERROR")</f>
        <v>298</v>
      </c>
      <c r="P119" s="104">
        <f t="shared" si="15"/>
        <v>0.20537560303239144</v>
      </c>
      <c r="Q119" s="102">
        <f>IFERROR(VLOOKUP($B119,MMWR_TRAD_AGG_ST_DISTRICT_PEN[],Q$1,0),"ERROR")</f>
        <v>1844</v>
      </c>
      <c r="R119" s="106">
        <f>IFERROR(VLOOKUP($B119,MMWR_TRAD_AGG_ST_DISTRICT_PEN[],R$1,0),"ERROR")</f>
        <v>1575</v>
      </c>
      <c r="S119" s="106">
        <f>IFERROR(VLOOKUP($B119,MMWR_APP_STATE_PEN[],S$1,0),"ERROR")</f>
        <v>1625</v>
      </c>
      <c r="T119" s="28"/>
    </row>
    <row r="120" spans="1:20" s="123" customFormat="1" x14ac:dyDescent="0.2">
      <c r="A120" s="28"/>
      <c r="B120" s="127" t="s">
        <v>398</v>
      </c>
      <c r="C120" s="109">
        <f>IFERROR(VLOOKUP($B120,MMWR_TRAD_AGG_STATE_PEN[],C$1,0),"ERROR")</f>
        <v>429</v>
      </c>
      <c r="D120" s="110">
        <f>IFERROR(VLOOKUP($B120,MMWR_TRAD_AGG_STATE_PEN[],D$1,0),"ERROR")</f>
        <v>68.540792540799998</v>
      </c>
      <c r="E120" s="111">
        <f>IFERROR(VLOOKUP($B120,MMWR_TRAD_AGG_STATE_PEN[],E$1,0),"ERROR")</f>
        <v>668</v>
      </c>
      <c r="F120" s="112">
        <f>IFERROR(VLOOKUP($B120,MMWR_TRAD_AGG_STATE_PEN[],F$1,0),"ERROR")</f>
        <v>37</v>
      </c>
      <c r="G120" s="113">
        <f t="shared" si="12"/>
        <v>5.5389221556886227E-2</v>
      </c>
      <c r="H120" s="111">
        <f>IFERROR(VLOOKUP($B120,MMWR_TRAD_AGG_STATE_PEN[],H$1,0),"ERROR")</f>
        <v>862</v>
      </c>
      <c r="I120" s="112">
        <f>IFERROR(VLOOKUP($B120,MMWR_TRAD_AGG_STATE_PEN[],I$1,0),"ERROR")</f>
        <v>79</v>
      </c>
      <c r="J120" s="114">
        <f t="shared" si="13"/>
        <v>9.1647331786542927E-2</v>
      </c>
      <c r="K120" s="111">
        <f>IFERROR(VLOOKUP($B120,MMWR_TRAD_AGG_STATE_PEN[],K$1,0),"ERROR")</f>
        <v>12</v>
      </c>
      <c r="L120" s="112">
        <f>IFERROR(VLOOKUP($B120,MMWR_TRAD_AGG_STATE_PEN[],L$1,0),"ERROR")</f>
        <v>10</v>
      </c>
      <c r="M120" s="114">
        <f t="shared" si="14"/>
        <v>0.83333333333333337</v>
      </c>
      <c r="N120" s="111">
        <f>IFERROR(VLOOKUP($B120,MMWR_TRAD_AGG_STATE_PEN[],N$1,0),"ERROR")</f>
        <v>61</v>
      </c>
      <c r="O120" s="112">
        <f>IFERROR(VLOOKUP($B120,MMWR_TRAD_AGG_STATE_PEN[],O$1,0),"ERROR")</f>
        <v>18</v>
      </c>
      <c r="P120" s="114">
        <f t="shared" si="15"/>
        <v>0.29508196721311475</v>
      </c>
      <c r="Q120" s="115">
        <f>IFERROR(VLOOKUP($B120,MMWR_TRAD_AGG_STATE_PEN[],Q$1,0),"ERROR")</f>
        <v>423</v>
      </c>
      <c r="R120" s="115">
        <f>IFERROR(VLOOKUP($B120,MMWR_TRAD_AGG_STATE_PEN[],R$1,0),"ERROR")</f>
        <v>56</v>
      </c>
      <c r="S120" s="115">
        <f>IFERROR(VLOOKUP($B120,MMWR_APP_STATE_PEN[],S$1,0),"ERROR")</f>
        <v>177</v>
      </c>
      <c r="T120" s="28"/>
    </row>
    <row r="121" spans="1:20" s="123" customFormat="1" x14ac:dyDescent="0.2">
      <c r="A121" s="28"/>
      <c r="B121" s="127" t="s">
        <v>435</v>
      </c>
      <c r="C121" s="109">
        <f>IFERROR(VLOOKUP($B121,MMWR_TRAD_AGG_STATE_PEN[],C$1,0),"ERROR")</f>
        <v>2337</v>
      </c>
      <c r="D121" s="110">
        <f>IFERROR(VLOOKUP($B121,MMWR_TRAD_AGG_STATE_PEN[],D$1,0),"ERROR")</f>
        <v>97.828412494700004</v>
      </c>
      <c r="E121" s="111">
        <f>IFERROR(VLOOKUP($B121,MMWR_TRAD_AGG_STATE_PEN[],E$1,0),"ERROR")</f>
        <v>2495</v>
      </c>
      <c r="F121" s="112">
        <f>IFERROR(VLOOKUP($B121,MMWR_TRAD_AGG_STATE_PEN[],F$1,0),"ERROR")</f>
        <v>585</v>
      </c>
      <c r="G121" s="113">
        <f t="shared" si="12"/>
        <v>0.23446893787575152</v>
      </c>
      <c r="H121" s="111">
        <f>IFERROR(VLOOKUP($B121,MMWR_TRAD_AGG_STATE_PEN[],H$1,0),"ERROR")</f>
        <v>3691</v>
      </c>
      <c r="I121" s="112">
        <f>IFERROR(VLOOKUP($B121,MMWR_TRAD_AGG_STATE_PEN[],I$1,0),"ERROR")</f>
        <v>1029</v>
      </c>
      <c r="J121" s="114">
        <f t="shared" si="13"/>
        <v>0.27878623679219722</v>
      </c>
      <c r="K121" s="111">
        <f>IFERROR(VLOOKUP($B121,MMWR_TRAD_AGG_STATE_PEN[],K$1,0),"ERROR")</f>
        <v>106</v>
      </c>
      <c r="L121" s="112">
        <f>IFERROR(VLOOKUP($B121,MMWR_TRAD_AGG_STATE_PEN[],L$1,0),"ERROR")</f>
        <v>102</v>
      </c>
      <c r="M121" s="114">
        <f t="shared" si="14"/>
        <v>0.96226415094339623</v>
      </c>
      <c r="N121" s="111">
        <f>IFERROR(VLOOKUP($B121,MMWR_TRAD_AGG_STATE_PEN[],N$1,0),"ERROR")</f>
        <v>598</v>
      </c>
      <c r="O121" s="112">
        <f>IFERROR(VLOOKUP($B121,MMWR_TRAD_AGG_STATE_PEN[],O$1,0),"ERROR")</f>
        <v>106</v>
      </c>
      <c r="P121" s="114">
        <f t="shared" si="15"/>
        <v>0.17725752508361203</v>
      </c>
      <c r="Q121" s="115">
        <f>IFERROR(VLOOKUP($B121,MMWR_TRAD_AGG_STATE_PEN[],Q$1,0),"ERROR")</f>
        <v>288</v>
      </c>
      <c r="R121" s="115">
        <f>IFERROR(VLOOKUP($B121,MMWR_TRAD_AGG_STATE_PEN[],R$1,0),"ERROR")</f>
        <v>652</v>
      </c>
      <c r="S121" s="115">
        <f>IFERROR(VLOOKUP($B121,MMWR_APP_STATE_PEN[],S$1,0),"ERROR")</f>
        <v>519</v>
      </c>
      <c r="T121" s="28"/>
    </row>
    <row r="122" spans="1:20" s="123" customFormat="1" x14ac:dyDescent="0.2">
      <c r="A122" s="28"/>
      <c r="B122" s="127" t="s">
        <v>391</v>
      </c>
      <c r="C122" s="109">
        <f>IFERROR(VLOOKUP($B122,MMWR_TRAD_AGG_STATE_PEN[],C$1,0),"ERROR")</f>
        <v>1142</v>
      </c>
      <c r="D122" s="110">
        <f>IFERROR(VLOOKUP($B122,MMWR_TRAD_AGG_STATE_PEN[],D$1,0),"ERROR")</f>
        <v>102.52189141860001</v>
      </c>
      <c r="E122" s="111">
        <f>IFERROR(VLOOKUP($B122,MMWR_TRAD_AGG_STATE_PEN[],E$1,0),"ERROR")</f>
        <v>1103</v>
      </c>
      <c r="F122" s="112">
        <f>IFERROR(VLOOKUP($B122,MMWR_TRAD_AGG_STATE_PEN[],F$1,0),"ERROR")</f>
        <v>252</v>
      </c>
      <c r="G122" s="113">
        <f t="shared" si="12"/>
        <v>0.22846781504986402</v>
      </c>
      <c r="H122" s="111">
        <f>IFERROR(VLOOKUP($B122,MMWR_TRAD_AGG_STATE_PEN[],H$1,0),"ERROR")</f>
        <v>1796</v>
      </c>
      <c r="I122" s="112">
        <f>IFERROR(VLOOKUP($B122,MMWR_TRAD_AGG_STATE_PEN[],I$1,0),"ERROR")</f>
        <v>541</v>
      </c>
      <c r="J122" s="114">
        <f t="shared" si="13"/>
        <v>0.30122494432071267</v>
      </c>
      <c r="K122" s="111">
        <f>IFERROR(VLOOKUP($B122,MMWR_TRAD_AGG_STATE_PEN[],K$1,0),"ERROR")</f>
        <v>64</v>
      </c>
      <c r="L122" s="112">
        <f>IFERROR(VLOOKUP($B122,MMWR_TRAD_AGG_STATE_PEN[],L$1,0),"ERROR")</f>
        <v>61</v>
      </c>
      <c r="M122" s="114">
        <f t="shared" si="14"/>
        <v>0.953125</v>
      </c>
      <c r="N122" s="111">
        <f>IFERROR(VLOOKUP($B122,MMWR_TRAD_AGG_STATE_PEN[],N$1,0),"ERROR")</f>
        <v>350</v>
      </c>
      <c r="O122" s="112">
        <f>IFERROR(VLOOKUP($B122,MMWR_TRAD_AGG_STATE_PEN[],O$1,0),"ERROR")</f>
        <v>80</v>
      </c>
      <c r="P122" s="114">
        <f t="shared" si="15"/>
        <v>0.22857142857142856</v>
      </c>
      <c r="Q122" s="115">
        <f>IFERROR(VLOOKUP($B122,MMWR_TRAD_AGG_STATE_PEN[],Q$1,0),"ERROR")</f>
        <v>152</v>
      </c>
      <c r="R122" s="115">
        <f>IFERROR(VLOOKUP($B122,MMWR_TRAD_AGG_STATE_PEN[],R$1,0),"ERROR")</f>
        <v>410</v>
      </c>
      <c r="S122" s="115">
        <f>IFERROR(VLOOKUP($B122,MMWR_APP_STATE_PEN[],S$1,0),"ERROR")</f>
        <v>330</v>
      </c>
      <c r="T122" s="28"/>
    </row>
    <row r="123" spans="1:20" s="123" customFormat="1" x14ac:dyDescent="0.2">
      <c r="A123" s="28"/>
      <c r="B123" s="127" t="s">
        <v>403</v>
      </c>
      <c r="C123" s="109">
        <f>IFERROR(VLOOKUP($B123,MMWR_TRAD_AGG_STATE_PEN[],C$1,0),"ERROR")</f>
        <v>185</v>
      </c>
      <c r="D123" s="110">
        <f>IFERROR(VLOOKUP($B123,MMWR_TRAD_AGG_STATE_PEN[],D$1,0),"ERROR")</f>
        <v>75.994594594600002</v>
      </c>
      <c r="E123" s="111">
        <f>IFERROR(VLOOKUP($B123,MMWR_TRAD_AGG_STATE_PEN[],E$1,0),"ERROR")</f>
        <v>341</v>
      </c>
      <c r="F123" s="112">
        <f>IFERROR(VLOOKUP($B123,MMWR_TRAD_AGG_STATE_PEN[],F$1,0),"ERROR")</f>
        <v>27</v>
      </c>
      <c r="G123" s="113">
        <f t="shared" si="12"/>
        <v>7.9178885630498533E-2</v>
      </c>
      <c r="H123" s="111">
        <f>IFERROR(VLOOKUP($B123,MMWR_TRAD_AGG_STATE_PEN[],H$1,0),"ERROR")</f>
        <v>364</v>
      </c>
      <c r="I123" s="112">
        <f>IFERROR(VLOOKUP($B123,MMWR_TRAD_AGG_STATE_PEN[],I$1,0),"ERROR")</f>
        <v>46</v>
      </c>
      <c r="J123" s="114">
        <f t="shared" si="13"/>
        <v>0.12637362637362637</v>
      </c>
      <c r="K123" s="111">
        <f>IFERROR(VLOOKUP($B123,MMWR_TRAD_AGG_STATE_PEN[],K$1,0),"ERROR")</f>
        <v>6</v>
      </c>
      <c r="L123" s="112">
        <f>IFERROR(VLOOKUP($B123,MMWR_TRAD_AGG_STATE_PEN[],L$1,0),"ERROR")</f>
        <v>6</v>
      </c>
      <c r="M123" s="114">
        <f t="shared" si="14"/>
        <v>1</v>
      </c>
      <c r="N123" s="111">
        <f>IFERROR(VLOOKUP($B123,MMWR_TRAD_AGG_STATE_PEN[],N$1,0),"ERROR")</f>
        <v>47</v>
      </c>
      <c r="O123" s="112">
        <f>IFERROR(VLOOKUP($B123,MMWR_TRAD_AGG_STATE_PEN[],O$1,0),"ERROR")</f>
        <v>9</v>
      </c>
      <c r="P123" s="114">
        <f t="shared" si="15"/>
        <v>0.19148936170212766</v>
      </c>
      <c r="Q123" s="115">
        <f>IFERROR(VLOOKUP($B123,MMWR_TRAD_AGG_STATE_PEN[],Q$1,0),"ERROR")</f>
        <v>345</v>
      </c>
      <c r="R123" s="115">
        <f>IFERROR(VLOOKUP($B123,MMWR_TRAD_AGG_STATE_PEN[],R$1,0),"ERROR")</f>
        <v>34</v>
      </c>
      <c r="S123" s="115">
        <f>IFERROR(VLOOKUP($B123,MMWR_APP_STATE_PEN[],S$1,0),"ERROR")</f>
        <v>106</v>
      </c>
      <c r="T123" s="28"/>
    </row>
    <row r="124" spans="1:20" s="123" customFormat="1" x14ac:dyDescent="0.2">
      <c r="A124" s="28"/>
      <c r="B124" s="127" t="s">
        <v>437</v>
      </c>
      <c r="C124" s="109">
        <f>IFERROR(VLOOKUP($B124,MMWR_TRAD_AGG_STATE_PEN[],C$1,0),"ERROR")</f>
        <v>1174</v>
      </c>
      <c r="D124" s="110">
        <f>IFERROR(VLOOKUP($B124,MMWR_TRAD_AGG_STATE_PEN[],D$1,0),"ERROR")</f>
        <v>109.9310051107</v>
      </c>
      <c r="E124" s="111">
        <f>IFERROR(VLOOKUP($B124,MMWR_TRAD_AGG_STATE_PEN[],E$1,0),"ERROR")</f>
        <v>457</v>
      </c>
      <c r="F124" s="112">
        <f>IFERROR(VLOOKUP($B124,MMWR_TRAD_AGG_STATE_PEN[],F$1,0),"ERROR")</f>
        <v>111</v>
      </c>
      <c r="G124" s="113">
        <f t="shared" si="12"/>
        <v>0.24288840262582057</v>
      </c>
      <c r="H124" s="111">
        <f>IFERROR(VLOOKUP($B124,MMWR_TRAD_AGG_STATE_PEN[],H$1,0),"ERROR")</f>
        <v>1969</v>
      </c>
      <c r="I124" s="112">
        <f>IFERROR(VLOOKUP($B124,MMWR_TRAD_AGG_STATE_PEN[],I$1,0),"ERROR")</f>
        <v>668</v>
      </c>
      <c r="J124" s="114">
        <f t="shared" si="13"/>
        <v>0.33925850685627224</v>
      </c>
      <c r="K124" s="111">
        <f>IFERROR(VLOOKUP($B124,MMWR_TRAD_AGG_STATE_PEN[],K$1,0),"ERROR")</f>
        <v>34</v>
      </c>
      <c r="L124" s="112">
        <f>IFERROR(VLOOKUP($B124,MMWR_TRAD_AGG_STATE_PEN[],L$1,0),"ERROR")</f>
        <v>25</v>
      </c>
      <c r="M124" s="114">
        <f t="shared" si="14"/>
        <v>0.73529411764705888</v>
      </c>
      <c r="N124" s="111">
        <f>IFERROR(VLOOKUP($B124,MMWR_TRAD_AGG_STATE_PEN[],N$1,0),"ERROR")</f>
        <v>116</v>
      </c>
      <c r="O124" s="112">
        <f>IFERROR(VLOOKUP($B124,MMWR_TRAD_AGG_STATE_PEN[],O$1,0),"ERROR")</f>
        <v>33</v>
      </c>
      <c r="P124" s="114">
        <f t="shared" si="15"/>
        <v>0.28448275862068967</v>
      </c>
      <c r="Q124" s="115">
        <f>IFERROR(VLOOKUP($B124,MMWR_TRAD_AGG_STATE_PEN[],Q$1,0),"ERROR")</f>
        <v>68</v>
      </c>
      <c r="R124" s="115">
        <f>IFERROR(VLOOKUP($B124,MMWR_TRAD_AGG_STATE_PEN[],R$1,0),"ERROR")</f>
        <v>105</v>
      </c>
      <c r="S124" s="115">
        <f>IFERROR(VLOOKUP($B124,MMWR_APP_STATE_PEN[],S$1,0),"ERROR")</f>
        <v>125</v>
      </c>
      <c r="T124" s="28"/>
    </row>
    <row r="125" spans="1:20" s="123" customFormat="1" x14ac:dyDescent="0.2">
      <c r="A125" s="28"/>
      <c r="B125" s="127" t="s">
        <v>393</v>
      </c>
      <c r="C125" s="109">
        <f>IFERROR(VLOOKUP($B125,MMWR_TRAD_AGG_STATE_PEN[],C$1,0),"ERROR")</f>
        <v>820</v>
      </c>
      <c r="D125" s="110">
        <f>IFERROR(VLOOKUP($B125,MMWR_TRAD_AGG_STATE_PEN[],D$1,0),"ERROR")</f>
        <v>95.220731707300004</v>
      </c>
      <c r="E125" s="111">
        <f>IFERROR(VLOOKUP($B125,MMWR_TRAD_AGG_STATE_PEN[],E$1,0),"ERROR")</f>
        <v>719</v>
      </c>
      <c r="F125" s="112">
        <f>IFERROR(VLOOKUP($B125,MMWR_TRAD_AGG_STATE_PEN[],F$1,0),"ERROR")</f>
        <v>162</v>
      </c>
      <c r="G125" s="113">
        <f t="shared" si="12"/>
        <v>0.22531293463143254</v>
      </c>
      <c r="H125" s="111">
        <f>IFERROR(VLOOKUP($B125,MMWR_TRAD_AGG_STATE_PEN[],H$1,0),"ERROR")</f>
        <v>1300</v>
      </c>
      <c r="I125" s="112">
        <f>IFERROR(VLOOKUP($B125,MMWR_TRAD_AGG_STATE_PEN[],I$1,0),"ERROR")</f>
        <v>384</v>
      </c>
      <c r="J125" s="114">
        <f t="shared" si="13"/>
        <v>0.29538461538461541</v>
      </c>
      <c r="K125" s="111">
        <f>IFERROR(VLOOKUP($B125,MMWR_TRAD_AGG_STATE_PEN[],K$1,0),"ERROR")</f>
        <v>19</v>
      </c>
      <c r="L125" s="112">
        <f>IFERROR(VLOOKUP($B125,MMWR_TRAD_AGG_STATE_PEN[],L$1,0),"ERROR")</f>
        <v>15</v>
      </c>
      <c r="M125" s="114">
        <f t="shared" si="14"/>
        <v>0.78947368421052633</v>
      </c>
      <c r="N125" s="111">
        <f>IFERROR(VLOOKUP($B125,MMWR_TRAD_AGG_STATE_PEN[],N$1,0),"ERROR")</f>
        <v>219</v>
      </c>
      <c r="O125" s="112">
        <f>IFERROR(VLOOKUP($B125,MMWR_TRAD_AGG_STATE_PEN[],O$1,0),"ERROR")</f>
        <v>36</v>
      </c>
      <c r="P125" s="114">
        <f t="shared" si="15"/>
        <v>0.16438356164383561</v>
      </c>
      <c r="Q125" s="115">
        <f>IFERROR(VLOOKUP($B125,MMWR_TRAD_AGG_STATE_PEN[],Q$1,0),"ERROR")</f>
        <v>99</v>
      </c>
      <c r="R125" s="115">
        <f>IFERROR(VLOOKUP($B125,MMWR_TRAD_AGG_STATE_PEN[],R$1,0),"ERROR")</f>
        <v>252</v>
      </c>
      <c r="S125" s="115">
        <f>IFERROR(VLOOKUP($B125,MMWR_APP_STATE_PEN[],S$1,0),"ERROR")</f>
        <v>153</v>
      </c>
      <c r="T125" s="28"/>
    </row>
    <row r="126" spans="1:20" s="123" customFormat="1" x14ac:dyDescent="0.2">
      <c r="A126" s="28"/>
      <c r="B126" s="127" t="s">
        <v>394</v>
      </c>
      <c r="C126" s="109">
        <f>IFERROR(VLOOKUP($B126,MMWR_TRAD_AGG_STATE_PEN[],C$1,0),"ERROR")</f>
        <v>360</v>
      </c>
      <c r="D126" s="110">
        <f>IFERROR(VLOOKUP($B126,MMWR_TRAD_AGG_STATE_PEN[],D$1,0),"ERROR")</f>
        <v>65.555555555599994</v>
      </c>
      <c r="E126" s="111">
        <f>IFERROR(VLOOKUP($B126,MMWR_TRAD_AGG_STATE_PEN[],E$1,0),"ERROR")</f>
        <v>544</v>
      </c>
      <c r="F126" s="112">
        <f>IFERROR(VLOOKUP($B126,MMWR_TRAD_AGG_STATE_PEN[],F$1,0),"ERROR")</f>
        <v>27</v>
      </c>
      <c r="G126" s="113">
        <f t="shared" si="12"/>
        <v>4.9632352941176468E-2</v>
      </c>
      <c r="H126" s="111">
        <f>IFERROR(VLOOKUP($B126,MMWR_TRAD_AGG_STATE_PEN[],H$1,0),"ERROR")</f>
        <v>654</v>
      </c>
      <c r="I126" s="112">
        <f>IFERROR(VLOOKUP($B126,MMWR_TRAD_AGG_STATE_PEN[],I$1,0),"ERROR")</f>
        <v>61</v>
      </c>
      <c r="J126" s="114">
        <f t="shared" si="13"/>
        <v>9.3272171253822631E-2</v>
      </c>
      <c r="K126" s="111">
        <f>IFERROR(VLOOKUP($B126,MMWR_TRAD_AGG_STATE_PEN[],K$1,0),"ERROR")</f>
        <v>11</v>
      </c>
      <c r="L126" s="112">
        <f>IFERROR(VLOOKUP($B126,MMWR_TRAD_AGG_STATE_PEN[],L$1,0),"ERROR")</f>
        <v>11</v>
      </c>
      <c r="M126" s="114">
        <f t="shared" si="14"/>
        <v>1</v>
      </c>
      <c r="N126" s="111">
        <f>IFERROR(VLOOKUP($B126,MMWR_TRAD_AGG_STATE_PEN[],N$1,0),"ERROR")</f>
        <v>60</v>
      </c>
      <c r="O126" s="112">
        <f>IFERROR(VLOOKUP($B126,MMWR_TRAD_AGG_STATE_PEN[],O$1,0),"ERROR")</f>
        <v>16</v>
      </c>
      <c r="P126" s="114">
        <f t="shared" si="15"/>
        <v>0.26666666666666666</v>
      </c>
      <c r="Q126" s="115">
        <f>IFERROR(VLOOKUP($B126,MMWR_TRAD_AGG_STATE_PEN[],Q$1,0),"ERROR")</f>
        <v>469</v>
      </c>
      <c r="R126" s="115">
        <f>IFERROR(VLOOKUP($B126,MMWR_TRAD_AGG_STATE_PEN[],R$1,0),"ERROR")</f>
        <v>66</v>
      </c>
      <c r="S126" s="115">
        <f>IFERROR(VLOOKUP($B126,MMWR_APP_STATE_PEN[],S$1,0),"ERROR")</f>
        <v>215</v>
      </c>
      <c r="T126" s="28"/>
    </row>
    <row r="127" spans="1:20" s="123" customFormat="1" x14ac:dyDescent="0.2">
      <c r="A127" s="28"/>
      <c r="B127" s="128" t="s">
        <v>8</v>
      </c>
      <c r="C127" s="102">
        <f>IFERROR(VLOOKUP($B127,MMWR_TRAD_AGG_ST_DISTRICT_PEN[],C$1,0),"ERROR")</f>
        <v>215</v>
      </c>
      <c r="D127" s="103">
        <f>IFERROR(VLOOKUP($B127,MMWR_TRAD_AGG_ST_DISTRICT_PEN[],D$1,0),"ERROR")</f>
        <v>93.218604651199996</v>
      </c>
      <c r="E127" s="102">
        <f>IFERROR(VLOOKUP($B127,MMWR_TRAD_AGG_ST_DISTRICT_PEN[],E$1,0),"ERROR")</f>
        <v>177</v>
      </c>
      <c r="F127" s="102">
        <f>IFERROR(VLOOKUP($B127,MMWR_TRAD_AGG_ST_DISTRICT_PEN[],F$1,0),"ERROR")</f>
        <v>75</v>
      </c>
      <c r="G127" s="104">
        <f t="shared" si="12"/>
        <v>0.42372881355932202</v>
      </c>
      <c r="H127" s="102">
        <f>IFERROR(VLOOKUP($B127,MMWR_TRAD_AGG_ST_DISTRICT_PEN[],H$1,0),"ERROR")</f>
        <v>472</v>
      </c>
      <c r="I127" s="102">
        <f>IFERROR(VLOOKUP($B127,MMWR_TRAD_AGG_ST_DISTRICT_PEN[],I$1,0),"ERROR")</f>
        <v>201</v>
      </c>
      <c r="J127" s="104">
        <f t="shared" si="13"/>
        <v>0.42584745762711862</v>
      </c>
      <c r="K127" s="102">
        <f>IFERROR(VLOOKUP($B127,MMWR_TRAD_AGG_ST_DISTRICT_PEN[],K$1,0),"ERROR")</f>
        <v>31</v>
      </c>
      <c r="L127" s="102">
        <f>IFERROR(VLOOKUP($B127,MMWR_TRAD_AGG_ST_DISTRICT_PEN[],L$1,0),"ERROR")</f>
        <v>28</v>
      </c>
      <c r="M127" s="104">
        <f t="shared" si="14"/>
        <v>0.90322580645161288</v>
      </c>
      <c r="N127" s="102">
        <f>IFERROR(VLOOKUP($B127,MMWR_TRAD_AGG_ST_DISTRICT_PEN[],N$1,0),"ERROR")</f>
        <v>109</v>
      </c>
      <c r="O127" s="102">
        <f>IFERROR(VLOOKUP($B127,MMWR_TRAD_AGG_ST_DISTRICT_PEN[],O$1,0),"ERROR")</f>
        <v>35</v>
      </c>
      <c r="P127" s="104">
        <f t="shared" si="15"/>
        <v>0.32110091743119268</v>
      </c>
      <c r="Q127" s="102">
        <f>IFERROR(VLOOKUP($B127,MMWR_TRAD_AGG_ST_DISTRICT_PEN[],Q$1,0),"ERROR")</f>
        <v>59</v>
      </c>
      <c r="R127" s="106">
        <f>IFERROR(VLOOKUP($B127,MMWR_TRAD_AGG_ST_DISTRICT_PEN[],R$1,0),"ERROR")</f>
        <v>19</v>
      </c>
      <c r="S127" s="106">
        <f>IFERROR(VLOOKUP($B127,MMWR_APP_STATE_PEN[],S$1,0),"ERROR")</f>
        <v>6</v>
      </c>
      <c r="T127" s="28"/>
    </row>
    <row r="128" spans="1:20" x14ac:dyDescent="0.2">
      <c r="B128" s="26"/>
      <c r="C128" s="26"/>
      <c r="D128" s="26"/>
      <c r="E128" s="75"/>
      <c r="F128" s="75"/>
      <c r="G128" s="75"/>
      <c r="H128" s="75"/>
      <c r="I128" s="75"/>
      <c r="J128" s="75"/>
      <c r="K128" s="75"/>
      <c r="L128" s="75"/>
      <c r="M128" s="75"/>
      <c r="N128" s="75"/>
      <c r="O128" s="75"/>
      <c r="P128" s="75"/>
      <c r="Q128" s="75"/>
      <c r="R128" s="75"/>
      <c r="S128" s="75"/>
    </row>
  </sheetData>
  <sheetProtection autoFilter="0"/>
  <mergeCells count="13">
    <mergeCell ref="C66:S66"/>
    <mergeCell ref="C67:D67"/>
    <mergeCell ref="E67:G67"/>
    <mergeCell ref="H67:J67"/>
    <mergeCell ref="K67:M67"/>
    <mergeCell ref="N67:P67"/>
    <mergeCell ref="C5:S5"/>
    <mergeCell ref="C2:S2"/>
    <mergeCell ref="C3:D3"/>
    <mergeCell ref="E3:G3"/>
    <mergeCell ref="H3:J3"/>
    <mergeCell ref="K3:M3"/>
    <mergeCell ref="N3:P3"/>
  </mergeCells>
  <conditionalFormatting sqref="A1:T128">
    <cfRule type="expression" dxfId="19" priority="1">
      <formula>IF(A1="ERROR",TRUE,FALSE)</formula>
    </cfRule>
    <cfRule type="expression" dxfId="18" priority="2">
      <formula>ISERROR(A1)</formula>
    </cfRule>
  </conditionalFormatting>
  <printOptions horizontalCentered="1" verticalCentered="1"/>
  <pageMargins left="0.25" right="0.25" top="0.75" bottom="0.75" header="0.3" footer="0.3"/>
  <pageSetup scale="54"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65" max="16383" man="1"/>
  </rowBreaks>
  <ignoredErrors>
    <ignoredError sqref="D7:E7 J6:J23 M6:M23 P6:P23 G8:G23 C23:F23 H23:I23 K23:L23 N23:O23 Q23:S23 G24:G36 J24:J36 M24:M36 P24:P36 C36:F36 H36:I36 K36:L36 N36:O36 Q36:S36 G37:G46 J37:J46 M37:M46 P37:P46 C46:F46 H46:I46 K46:L46 N46:O46 Q46:S46 G47:G56 J47:J56 M47:M56 P47:P56 C56:F56 H56:I56 K56:L56 N56:O56 Q56:S56 G57:G64 J57:J64 M57:M64 P57:P64 G69:G127 J69:J127 M69:M127 P69:P127 C86:F86 H86:I86 K86:L86 N86:O86 Q86:R86 C99:F99 H99:I99 K99:L99 N99:O99 Q99:R99 C109:F109 H109:I109 K109:L109 N109:O109 Q109:R109 C119:F119 H119:I119 K119:L119 N119:O119 Q119:R119 G6" formula="1"/>
  </ignoredError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0000"/>
  </sheetPr>
  <dimension ref="B2:DQ81"/>
  <sheetViews>
    <sheetView zoomScale="55" zoomScaleNormal="55" workbookViewId="0"/>
  </sheetViews>
  <sheetFormatPr defaultRowHeight="12.75" x14ac:dyDescent="0.2"/>
  <cols>
    <col min="2" max="2" width="36.28515625" customWidth="1"/>
    <col min="3" max="3" width="7.42578125" customWidth="1"/>
    <col min="4" max="4" width="10.85546875" customWidth="1"/>
    <col min="6" max="6" width="36" customWidth="1"/>
    <col min="7" max="7" width="10.5703125" customWidth="1"/>
    <col min="8" max="8" width="12.5703125" customWidth="1"/>
    <col min="9" max="9" width="8.42578125" customWidth="1"/>
    <col min="10" max="10" width="12.140625" customWidth="1"/>
    <col min="11" max="11" width="7.140625" customWidth="1"/>
    <col min="12" max="12" width="10.85546875" customWidth="1"/>
    <col min="13" max="13" width="13.140625" customWidth="1"/>
    <col min="14" max="14" width="17" customWidth="1"/>
    <col min="15" max="15" width="6.5703125" customWidth="1"/>
    <col min="16" max="16" width="10.28515625" customWidth="1"/>
    <col min="17" max="18" width="6.85546875" customWidth="1"/>
    <col min="20" max="20" width="33.85546875" customWidth="1"/>
    <col min="21" max="21" width="10.5703125" customWidth="1"/>
    <col min="22" max="22" width="12.5703125" customWidth="1"/>
    <col min="23" max="23" width="8.42578125" customWidth="1"/>
    <col min="24" max="24" width="10" customWidth="1"/>
    <col min="25" max="25" width="7.140625" customWidth="1"/>
    <col min="26" max="26" width="10.85546875" customWidth="1"/>
    <col min="27" max="27" width="13.140625" customWidth="1"/>
    <col min="28" max="28" width="12.140625" customWidth="1"/>
    <col min="29" max="29" width="6.5703125" customWidth="1"/>
    <col min="30" max="30" width="10.28515625" customWidth="1"/>
    <col min="31" max="32" width="6.85546875" customWidth="1"/>
    <col min="34" max="34" width="40.140625" customWidth="1"/>
    <col min="35" max="35" width="10.5703125" customWidth="1"/>
    <col min="36" max="36" width="12.5703125" customWidth="1"/>
    <col min="37" max="37" width="8.42578125" customWidth="1"/>
    <col min="38" max="38" width="12.140625" customWidth="1"/>
    <col min="39" max="39" width="7.140625" customWidth="1"/>
    <col min="40" max="40" width="10.85546875" customWidth="1"/>
    <col min="41" max="41" width="13.140625" customWidth="1"/>
    <col min="42" max="42" width="17" customWidth="1"/>
    <col min="43" max="43" width="6.5703125" customWidth="1"/>
    <col min="44" max="44" width="10.28515625" customWidth="1"/>
    <col min="45" max="46" width="6.85546875" customWidth="1"/>
    <col min="48" max="48" width="38" customWidth="1"/>
    <col min="49" max="49" width="10.5703125" customWidth="1"/>
    <col min="50" max="50" width="12.5703125" customWidth="1"/>
    <col min="51" max="51" width="8.42578125" customWidth="1"/>
    <col min="52" max="52" width="10" customWidth="1"/>
    <col min="53" max="53" width="7.140625" customWidth="1"/>
    <col min="54" max="54" width="10.85546875" customWidth="1"/>
    <col min="55" max="55" width="13.140625" customWidth="1"/>
    <col min="56" max="56" width="12.140625" customWidth="1"/>
    <col min="57" max="57" width="6.5703125" customWidth="1"/>
    <col min="58" max="58" width="10.28515625" customWidth="1"/>
    <col min="59" max="60" width="6.85546875" customWidth="1"/>
    <col min="62" max="62" width="34.7109375" bestFit="1" customWidth="1"/>
    <col min="63" max="63" width="14.7109375" bestFit="1" customWidth="1"/>
    <col min="64" max="64" width="20.85546875" bestFit="1" customWidth="1"/>
    <col min="65" max="65" width="25.28515625" bestFit="1" customWidth="1"/>
    <col min="66" max="66" width="12.85546875" bestFit="1" customWidth="1"/>
    <col min="67" max="67" width="30.5703125" bestFit="1" customWidth="1"/>
    <col min="68" max="68" width="29.7109375" bestFit="1" customWidth="1"/>
    <col min="69" max="69" width="20.140625" bestFit="1" customWidth="1"/>
    <col min="70" max="70" width="19.42578125" bestFit="1" customWidth="1"/>
    <col min="71" max="71" width="20.7109375" bestFit="1" customWidth="1"/>
    <col min="72" max="72" width="25.140625" bestFit="1" customWidth="1"/>
    <col min="73" max="73" width="12.5703125" bestFit="1" customWidth="1"/>
    <col min="74" max="74" width="30.28515625" bestFit="1" customWidth="1"/>
    <col min="75" max="75" width="29.42578125" bestFit="1" customWidth="1"/>
    <col min="76" max="76" width="19.85546875" bestFit="1" customWidth="1"/>
    <col min="77" max="77" width="19.140625" bestFit="1" customWidth="1"/>
    <col min="78" max="78" width="8" customWidth="1"/>
    <col min="79" max="79" width="44.85546875" customWidth="1"/>
    <col min="80" max="80" width="26.42578125" customWidth="1"/>
    <col min="81" max="81" width="22.7109375" customWidth="1"/>
    <col min="82" max="82" width="23.5703125" customWidth="1"/>
    <col min="83" max="83" width="28" customWidth="1"/>
    <col min="84" max="84" width="15.42578125" customWidth="1"/>
    <col min="85" max="85" width="33.140625" customWidth="1"/>
    <col min="86" max="86" width="32.28515625" customWidth="1"/>
    <col min="87" max="87" width="22.42578125" customWidth="1"/>
    <col min="88" max="88" width="21.7109375" customWidth="1"/>
    <col min="89" max="89" width="6.28515625" customWidth="1"/>
    <col min="90" max="90" width="45.5703125" customWidth="1"/>
    <col min="91" max="91" width="26.42578125" customWidth="1"/>
    <col min="92" max="92" width="23.28515625" customWidth="1"/>
    <col min="93" max="93" width="23.5703125" customWidth="1"/>
    <col min="94" max="94" width="28" customWidth="1"/>
    <col min="95" max="95" width="15.42578125" customWidth="1"/>
    <col min="96" max="96" width="33.140625" customWidth="1"/>
    <col min="97" max="97" width="32.28515625" customWidth="1"/>
    <col min="98" max="98" width="22.42578125" customWidth="1"/>
    <col min="99" max="99" width="21.7109375" customWidth="1"/>
    <col min="100" max="100" width="10.28515625" customWidth="1"/>
    <col min="101" max="101" width="44.85546875" customWidth="1"/>
    <col min="102" max="102" width="26.42578125" customWidth="1"/>
    <col min="103" max="103" width="22.7109375" customWidth="1"/>
    <col min="104" max="104" width="23.5703125" customWidth="1"/>
    <col min="105" max="105" width="28" customWidth="1"/>
    <col min="106" max="106" width="15.42578125" customWidth="1"/>
    <col min="107" max="107" width="33.140625" customWidth="1"/>
    <col min="108" max="108" width="32.28515625" customWidth="1"/>
    <col min="109" max="109" width="22.42578125" customWidth="1"/>
    <col min="110" max="110" width="21.7109375" customWidth="1"/>
    <col min="111" max="111" width="7.140625" customWidth="1"/>
    <col min="112" max="112" width="45.140625" customWidth="1"/>
    <col min="113" max="113" width="26.42578125" customWidth="1"/>
    <col min="114" max="114" width="23" customWidth="1"/>
    <col min="115" max="115" width="23.5703125" customWidth="1"/>
    <col min="116" max="116" width="28" customWidth="1"/>
    <col min="117" max="117" width="15.42578125" customWidth="1"/>
    <col min="118" max="118" width="33.140625" customWidth="1"/>
    <col min="119" max="119" width="32.28515625" customWidth="1"/>
    <col min="120" max="120" width="22.42578125" customWidth="1"/>
    <col min="121" max="121" width="21.7109375" customWidth="1"/>
    <col min="122" max="122" width="7.42578125" customWidth="1"/>
    <col min="123" max="123" width="10.42578125" customWidth="1"/>
    <col min="124" max="124" width="7.140625" customWidth="1"/>
    <col min="125" max="125" width="7.7109375" customWidth="1"/>
  </cols>
  <sheetData>
    <row r="2" spans="2:121" x14ac:dyDescent="0.2">
      <c r="B2" t="s">
        <v>663</v>
      </c>
      <c r="C2" t="s">
        <v>466</v>
      </c>
      <c r="D2" t="s">
        <v>468</v>
      </c>
      <c r="F2" t="s">
        <v>662</v>
      </c>
      <c r="G2" t="s">
        <v>315</v>
      </c>
      <c r="H2" t="s">
        <v>139</v>
      </c>
      <c r="I2" t="s">
        <v>222</v>
      </c>
      <c r="J2" t="s">
        <v>223</v>
      </c>
      <c r="K2" t="s">
        <v>224</v>
      </c>
      <c r="L2" t="s">
        <v>225</v>
      </c>
      <c r="M2" t="s">
        <v>226</v>
      </c>
      <c r="N2" t="s">
        <v>227</v>
      </c>
      <c r="O2" t="s">
        <v>228</v>
      </c>
      <c r="P2" t="s">
        <v>229</v>
      </c>
      <c r="Q2" t="s">
        <v>230</v>
      </c>
      <c r="R2" t="s">
        <v>231</v>
      </c>
      <c r="T2" t="s">
        <v>661</v>
      </c>
      <c r="U2" t="s">
        <v>315</v>
      </c>
      <c r="V2" t="s">
        <v>139</v>
      </c>
      <c r="W2" t="s">
        <v>222</v>
      </c>
      <c r="X2" t="s">
        <v>469</v>
      </c>
      <c r="Y2" t="s">
        <v>224</v>
      </c>
      <c r="Z2" t="s">
        <v>225</v>
      </c>
      <c r="AA2" t="s">
        <v>226</v>
      </c>
      <c r="AB2" t="s">
        <v>470</v>
      </c>
      <c r="AC2" t="s">
        <v>228</v>
      </c>
      <c r="AD2" t="s">
        <v>229</v>
      </c>
      <c r="AE2" t="s">
        <v>230</v>
      </c>
      <c r="AF2" t="s">
        <v>231</v>
      </c>
      <c r="AH2" t="s">
        <v>660</v>
      </c>
      <c r="AI2" t="s">
        <v>315</v>
      </c>
      <c r="AJ2" t="s">
        <v>139</v>
      </c>
      <c r="AK2" t="s">
        <v>222</v>
      </c>
      <c r="AL2" t="s">
        <v>223</v>
      </c>
      <c r="AM2" t="s">
        <v>224</v>
      </c>
      <c r="AN2" t="s">
        <v>225</v>
      </c>
      <c r="AO2" t="s">
        <v>226</v>
      </c>
      <c r="AP2" t="s">
        <v>227</v>
      </c>
      <c r="AQ2" t="s">
        <v>228</v>
      </c>
      <c r="AR2" t="s">
        <v>229</v>
      </c>
      <c r="AS2" t="s">
        <v>230</v>
      </c>
      <c r="AT2" t="s">
        <v>231</v>
      </c>
      <c r="AV2" t="s">
        <v>659</v>
      </c>
      <c r="AW2" t="s">
        <v>315</v>
      </c>
      <c r="AX2" t="s">
        <v>139</v>
      </c>
      <c r="AY2" t="s">
        <v>222</v>
      </c>
      <c r="AZ2" t="s">
        <v>469</v>
      </c>
      <c r="BA2" t="s">
        <v>224</v>
      </c>
      <c r="BB2" t="s">
        <v>225</v>
      </c>
      <c r="BC2" t="s">
        <v>226</v>
      </c>
      <c r="BD2" t="s">
        <v>470</v>
      </c>
      <c r="BE2" t="s">
        <v>228</v>
      </c>
      <c r="BF2" t="s">
        <v>229</v>
      </c>
      <c r="BG2" t="s">
        <v>230</v>
      </c>
      <c r="BH2" t="s">
        <v>231</v>
      </c>
      <c r="BJ2" t="s">
        <v>721</v>
      </c>
      <c r="BK2" t="s">
        <v>740</v>
      </c>
      <c r="BL2" t="s">
        <v>709</v>
      </c>
      <c r="BM2" t="s">
        <v>710</v>
      </c>
      <c r="BN2" t="s">
        <v>711</v>
      </c>
      <c r="BO2" t="s">
        <v>712</v>
      </c>
      <c r="BP2" t="s">
        <v>713</v>
      </c>
      <c r="BQ2" t="s">
        <v>722</v>
      </c>
      <c r="BR2" t="s">
        <v>723</v>
      </c>
      <c r="BS2" t="s">
        <v>714</v>
      </c>
      <c r="BT2" t="s">
        <v>715</v>
      </c>
      <c r="BU2" t="s">
        <v>716</v>
      </c>
      <c r="BV2" t="s">
        <v>717</v>
      </c>
      <c r="BW2" t="s">
        <v>718</v>
      </c>
      <c r="BX2" t="s">
        <v>719</v>
      </c>
      <c r="BY2" t="s">
        <v>720</v>
      </c>
      <c r="CA2" t="s">
        <v>1043</v>
      </c>
      <c r="CB2" t="s">
        <v>745</v>
      </c>
      <c r="CC2" t="s">
        <v>746</v>
      </c>
      <c r="CD2" t="s">
        <v>724</v>
      </c>
      <c r="CE2" t="s">
        <v>725</v>
      </c>
      <c r="CF2" t="s">
        <v>726</v>
      </c>
      <c r="CG2" t="s">
        <v>727</v>
      </c>
      <c r="CH2" t="s">
        <v>728</v>
      </c>
      <c r="CI2" t="s">
        <v>729</v>
      </c>
      <c r="CJ2" t="s">
        <v>730</v>
      </c>
      <c r="CL2" t="s">
        <v>1044</v>
      </c>
      <c r="CM2" t="s">
        <v>745</v>
      </c>
      <c r="CN2" t="s">
        <v>746</v>
      </c>
      <c r="CO2" t="s">
        <v>724</v>
      </c>
      <c r="CP2" t="s">
        <v>725</v>
      </c>
      <c r="CQ2" t="s">
        <v>726</v>
      </c>
      <c r="CR2" t="s">
        <v>727</v>
      </c>
      <c r="CS2" t="s">
        <v>728</v>
      </c>
      <c r="CT2" t="s">
        <v>729</v>
      </c>
      <c r="CU2" t="s">
        <v>730</v>
      </c>
      <c r="CW2" t="s">
        <v>1045</v>
      </c>
      <c r="CX2" t="s">
        <v>745</v>
      </c>
      <c r="CY2" t="s">
        <v>746</v>
      </c>
      <c r="CZ2" t="s">
        <v>724</v>
      </c>
      <c r="DA2" t="s">
        <v>725</v>
      </c>
      <c r="DB2" t="s">
        <v>726</v>
      </c>
      <c r="DC2" t="s">
        <v>727</v>
      </c>
      <c r="DD2" t="s">
        <v>728</v>
      </c>
      <c r="DE2" t="s">
        <v>729</v>
      </c>
      <c r="DF2" t="s">
        <v>730</v>
      </c>
      <c r="DH2" t="s">
        <v>1046</v>
      </c>
      <c r="DI2" t="s">
        <v>745</v>
      </c>
      <c r="DJ2" t="s">
        <v>746</v>
      </c>
      <c r="DK2" t="s">
        <v>724</v>
      </c>
      <c r="DL2" t="s">
        <v>725</v>
      </c>
      <c r="DM2" t="s">
        <v>726</v>
      </c>
      <c r="DN2" t="s">
        <v>727</v>
      </c>
      <c r="DO2" t="s">
        <v>728</v>
      </c>
      <c r="DP2" t="s">
        <v>729</v>
      </c>
      <c r="DQ2" t="s">
        <v>730</v>
      </c>
    </row>
    <row r="3" spans="2:121" x14ac:dyDescent="0.2">
      <c r="C3">
        <v>339552</v>
      </c>
      <c r="D3">
        <v>261437</v>
      </c>
      <c r="F3" t="s">
        <v>34</v>
      </c>
      <c r="G3">
        <v>1335</v>
      </c>
      <c r="H3">
        <v>120.9670411985</v>
      </c>
      <c r="I3">
        <v>2827</v>
      </c>
      <c r="J3">
        <v>820</v>
      </c>
      <c r="K3">
        <v>1880</v>
      </c>
      <c r="L3">
        <v>458</v>
      </c>
      <c r="M3">
        <v>201</v>
      </c>
      <c r="N3">
        <v>108</v>
      </c>
      <c r="O3">
        <v>289</v>
      </c>
      <c r="P3">
        <v>149</v>
      </c>
      <c r="Q3">
        <v>0</v>
      </c>
      <c r="R3">
        <v>19</v>
      </c>
      <c r="T3" t="s">
        <v>217</v>
      </c>
      <c r="U3">
        <v>3395</v>
      </c>
      <c r="V3">
        <v>65.747569955800003</v>
      </c>
      <c r="W3">
        <v>6380</v>
      </c>
      <c r="X3">
        <v>505</v>
      </c>
      <c r="Y3">
        <v>6301</v>
      </c>
      <c r="Z3">
        <v>459</v>
      </c>
      <c r="AA3">
        <v>55</v>
      </c>
      <c r="AB3">
        <v>53</v>
      </c>
      <c r="AC3">
        <v>449</v>
      </c>
      <c r="AD3">
        <v>108</v>
      </c>
      <c r="AE3">
        <v>5102</v>
      </c>
      <c r="AF3">
        <v>487</v>
      </c>
      <c r="AH3" t="s">
        <v>398</v>
      </c>
      <c r="AI3">
        <v>14322</v>
      </c>
      <c r="AJ3">
        <v>366.52248289350001</v>
      </c>
      <c r="AK3">
        <v>8061</v>
      </c>
      <c r="AL3">
        <v>1656</v>
      </c>
      <c r="AM3">
        <v>16856</v>
      </c>
      <c r="AN3">
        <v>11846</v>
      </c>
      <c r="AO3">
        <v>4354</v>
      </c>
      <c r="AP3">
        <v>3948</v>
      </c>
      <c r="AQ3">
        <v>3275</v>
      </c>
      <c r="AR3">
        <v>2005</v>
      </c>
      <c r="AS3">
        <v>15</v>
      </c>
      <c r="AT3">
        <v>364</v>
      </c>
      <c r="AV3" t="s">
        <v>423</v>
      </c>
      <c r="AW3">
        <v>66</v>
      </c>
      <c r="AX3">
        <v>59.9545454545</v>
      </c>
      <c r="AY3">
        <v>193</v>
      </c>
      <c r="AZ3">
        <v>8</v>
      </c>
      <c r="BA3">
        <v>123</v>
      </c>
      <c r="BB3">
        <v>14</v>
      </c>
      <c r="BC3">
        <v>0</v>
      </c>
      <c r="BE3">
        <v>10</v>
      </c>
      <c r="BF3">
        <v>7</v>
      </c>
      <c r="BG3">
        <v>102</v>
      </c>
      <c r="BH3">
        <v>35</v>
      </c>
      <c r="BJ3" t="s">
        <v>738</v>
      </c>
      <c r="BK3" t="s">
        <v>741</v>
      </c>
      <c r="BL3">
        <v>327199</v>
      </c>
      <c r="BM3">
        <v>87414</v>
      </c>
      <c r="BN3">
        <v>104.34102488089999</v>
      </c>
      <c r="BO3">
        <v>1106067</v>
      </c>
      <c r="BP3">
        <v>13294</v>
      </c>
      <c r="BQ3">
        <v>186.02905701009999</v>
      </c>
      <c r="BR3">
        <v>157.22295772530001</v>
      </c>
      <c r="BS3">
        <v>327199</v>
      </c>
      <c r="BT3">
        <v>87414</v>
      </c>
      <c r="BU3">
        <v>104.34102488089999</v>
      </c>
      <c r="BV3">
        <v>1106066</v>
      </c>
      <c r="BW3">
        <v>13294</v>
      </c>
      <c r="BX3">
        <v>186.02883553059999</v>
      </c>
      <c r="BY3">
        <v>157.22295772530001</v>
      </c>
      <c r="CA3" t="s">
        <v>1049</v>
      </c>
      <c r="CB3" t="s">
        <v>741</v>
      </c>
      <c r="CC3" t="s">
        <v>927</v>
      </c>
      <c r="CD3">
        <v>10607</v>
      </c>
      <c r="CE3">
        <v>1270</v>
      </c>
      <c r="CF3">
        <v>60.803337418700004</v>
      </c>
      <c r="CG3">
        <v>23860</v>
      </c>
      <c r="CH3">
        <v>244</v>
      </c>
      <c r="CI3">
        <v>150.68985750210001</v>
      </c>
      <c r="CJ3">
        <v>134.78688524590001</v>
      </c>
      <c r="CL3" t="s">
        <v>1049</v>
      </c>
      <c r="CM3" t="s">
        <v>741</v>
      </c>
      <c r="CN3" t="s">
        <v>927</v>
      </c>
      <c r="CO3">
        <v>10607</v>
      </c>
      <c r="CP3">
        <v>1270</v>
      </c>
      <c r="CQ3">
        <v>60.803337418700004</v>
      </c>
      <c r="CR3">
        <v>23860</v>
      </c>
      <c r="CS3">
        <v>244</v>
      </c>
      <c r="CT3">
        <v>150.68985750210001</v>
      </c>
      <c r="CU3">
        <v>134.78688524590001</v>
      </c>
      <c r="CW3" t="s">
        <v>1049</v>
      </c>
      <c r="CX3" t="s">
        <v>741</v>
      </c>
      <c r="CY3" t="s">
        <v>927</v>
      </c>
      <c r="CZ3">
        <v>10607</v>
      </c>
      <c r="DA3">
        <v>1270</v>
      </c>
      <c r="DB3">
        <v>60.803337418700004</v>
      </c>
      <c r="DC3">
        <v>23860</v>
      </c>
      <c r="DD3">
        <v>244</v>
      </c>
      <c r="DE3">
        <v>150.68985750210001</v>
      </c>
      <c r="DF3">
        <v>134.78688524590001</v>
      </c>
      <c r="DH3" t="s">
        <v>1049</v>
      </c>
      <c r="DI3" t="s">
        <v>741</v>
      </c>
      <c r="DJ3" t="s">
        <v>927</v>
      </c>
      <c r="DK3">
        <v>10607</v>
      </c>
      <c r="DL3">
        <v>1270</v>
      </c>
      <c r="DM3">
        <v>60.803337418700004</v>
      </c>
      <c r="DN3">
        <v>23860</v>
      </c>
      <c r="DO3">
        <v>244</v>
      </c>
      <c r="DP3">
        <v>150.68985750210001</v>
      </c>
      <c r="DQ3">
        <v>134.78688524590001</v>
      </c>
    </row>
    <row r="4" spans="2:121" x14ac:dyDescent="0.2">
      <c r="B4" t="s">
        <v>113</v>
      </c>
      <c r="C4">
        <v>110841</v>
      </c>
      <c r="D4">
        <v>71825</v>
      </c>
      <c r="F4" t="s">
        <v>80</v>
      </c>
      <c r="G4">
        <v>14973</v>
      </c>
      <c r="H4">
        <v>298.91912108460002</v>
      </c>
      <c r="I4">
        <v>21890</v>
      </c>
      <c r="J4">
        <v>6960</v>
      </c>
      <c r="K4">
        <v>18608</v>
      </c>
      <c r="L4">
        <v>10884</v>
      </c>
      <c r="M4">
        <v>2445</v>
      </c>
      <c r="N4">
        <v>1671</v>
      </c>
      <c r="O4">
        <v>10763</v>
      </c>
      <c r="P4">
        <v>6554</v>
      </c>
      <c r="Q4">
        <v>9</v>
      </c>
      <c r="R4">
        <v>245</v>
      </c>
      <c r="T4" t="s">
        <v>232</v>
      </c>
      <c r="U4">
        <v>0</v>
      </c>
      <c r="W4">
        <v>235</v>
      </c>
      <c r="X4">
        <v>91</v>
      </c>
      <c r="Y4">
        <v>878</v>
      </c>
      <c r="Z4">
        <v>717</v>
      </c>
      <c r="AA4">
        <v>279</v>
      </c>
      <c r="AB4">
        <v>269</v>
      </c>
      <c r="AC4">
        <v>307</v>
      </c>
      <c r="AD4">
        <v>252</v>
      </c>
      <c r="AE4">
        <v>114</v>
      </c>
      <c r="AF4">
        <v>0</v>
      </c>
      <c r="AH4" t="s">
        <v>434</v>
      </c>
      <c r="AI4">
        <v>2147</v>
      </c>
      <c r="AJ4">
        <v>464.41266884020001</v>
      </c>
      <c r="AK4">
        <v>952</v>
      </c>
      <c r="AL4">
        <v>124</v>
      </c>
      <c r="AM4">
        <v>2932</v>
      </c>
      <c r="AN4">
        <v>1983</v>
      </c>
      <c r="AO4">
        <v>1573</v>
      </c>
      <c r="AP4">
        <v>1451</v>
      </c>
      <c r="AQ4">
        <v>339</v>
      </c>
      <c r="AR4">
        <v>190</v>
      </c>
      <c r="AS4">
        <v>0</v>
      </c>
      <c r="AT4">
        <v>3</v>
      </c>
      <c r="AV4" t="s">
        <v>437</v>
      </c>
      <c r="AW4">
        <v>1174</v>
      </c>
      <c r="AX4">
        <v>109.9310051107</v>
      </c>
      <c r="AY4">
        <v>457</v>
      </c>
      <c r="AZ4">
        <v>111</v>
      </c>
      <c r="BA4">
        <v>1969</v>
      </c>
      <c r="BB4">
        <v>668</v>
      </c>
      <c r="BC4">
        <v>34</v>
      </c>
      <c r="BD4">
        <v>25</v>
      </c>
      <c r="BE4">
        <v>116</v>
      </c>
      <c r="BF4">
        <v>33</v>
      </c>
      <c r="BG4">
        <v>68</v>
      </c>
      <c r="BH4">
        <v>105</v>
      </c>
      <c r="BJ4" t="s">
        <v>647</v>
      </c>
      <c r="BK4" t="s">
        <v>395</v>
      </c>
      <c r="BL4">
        <v>886</v>
      </c>
      <c r="BM4">
        <v>173</v>
      </c>
      <c r="BN4">
        <v>83.873589164799995</v>
      </c>
      <c r="BO4">
        <v>2784</v>
      </c>
      <c r="BP4">
        <v>35</v>
      </c>
      <c r="BQ4">
        <v>135.05818965520001</v>
      </c>
      <c r="BR4">
        <v>145.6</v>
      </c>
      <c r="BS4">
        <v>968</v>
      </c>
      <c r="BT4">
        <v>251</v>
      </c>
      <c r="BU4">
        <v>93.832644628099999</v>
      </c>
      <c r="BV4">
        <v>3270</v>
      </c>
      <c r="BW4">
        <v>42</v>
      </c>
      <c r="BX4">
        <v>152.01131498469999</v>
      </c>
      <c r="BY4">
        <v>146.6428571429</v>
      </c>
      <c r="CA4" t="s">
        <v>1048</v>
      </c>
      <c r="CB4" t="s">
        <v>741</v>
      </c>
      <c r="CC4" t="s">
        <v>927</v>
      </c>
      <c r="CD4">
        <v>327199</v>
      </c>
      <c r="CE4">
        <v>87414</v>
      </c>
      <c r="CF4">
        <v>104.34102488089999</v>
      </c>
      <c r="CG4">
        <v>1106066</v>
      </c>
      <c r="CH4">
        <v>13294</v>
      </c>
      <c r="CI4">
        <v>186.02883553059999</v>
      </c>
      <c r="CJ4">
        <v>157.22295772530001</v>
      </c>
      <c r="CL4" t="s">
        <v>1048</v>
      </c>
      <c r="CM4" t="s">
        <v>741</v>
      </c>
      <c r="CN4" t="s">
        <v>927</v>
      </c>
      <c r="CO4">
        <v>327199</v>
      </c>
      <c r="CP4">
        <v>87414</v>
      </c>
      <c r="CQ4">
        <v>104.34102488089999</v>
      </c>
      <c r="CR4">
        <v>1106066</v>
      </c>
      <c r="CS4">
        <v>13294</v>
      </c>
      <c r="CT4">
        <v>186.02883553059999</v>
      </c>
      <c r="CU4">
        <v>157.22295772530001</v>
      </c>
      <c r="CW4" t="s">
        <v>1048</v>
      </c>
      <c r="CX4" t="s">
        <v>741</v>
      </c>
      <c r="CY4" t="s">
        <v>927</v>
      </c>
      <c r="CZ4">
        <v>327199</v>
      </c>
      <c r="DA4">
        <v>87414</v>
      </c>
      <c r="DB4">
        <v>104.34102488089999</v>
      </c>
      <c r="DC4">
        <v>1106066</v>
      </c>
      <c r="DD4">
        <v>13294</v>
      </c>
      <c r="DE4">
        <v>186.02883553059999</v>
      </c>
      <c r="DF4">
        <v>157.22295772530001</v>
      </c>
      <c r="DH4" t="s">
        <v>1048</v>
      </c>
      <c r="DI4" t="s">
        <v>741</v>
      </c>
      <c r="DJ4" t="s">
        <v>927</v>
      </c>
      <c r="DK4">
        <v>327199</v>
      </c>
      <c r="DL4">
        <v>87414</v>
      </c>
      <c r="DM4">
        <v>104.34102488089999</v>
      </c>
      <c r="DN4">
        <v>1106066</v>
      </c>
      <c r="DO4">
        <v>13294</v>
      </c>
      <c r="DP4">
        <v>186.02883553059999</v>
      </c>
      <c r="DQ4">
        <v>157.22295772530001</v>
      </c>
    </row>
    <row r="5" spans="2:121" x14ac:dyDescent="0.2">
      <c r="B5" t="s">
        <v>101</v>
      </c>
      <c r="C5">
        <v>127245</v>
      </c>
      <c r="D5">
        <v>87351</v>
      </c>
      <c r="F5" t="s">
        <v>54</v>
      </c>
      <c r="G5">
        <v>4678</v>
      </c>
      <c r="H5">
        <v>331.0273621206</v>
      </c>
      <c r="I5">
        <v>3499</v>
      </c>
      <c r="J5">
        <v>606</v>
      </c>
      <c r="K5">
        <v>8285</v>
      </c>
      <c r="L5">
        <v>3749</v>
      </c>
      <c r="M5">
        <v>3795</v>
      </c>
      <c r="N5">
        <v>2198</v>
      </c>
      <c r="O5">
        <v>5452</v>
      </c>
      <c r="P5">
        <v>4733</v>
      </c>
      <c r="Q5">
        <v>1</v>
      </c>
      <c r="R5">
        <v>158</v>
      </c>
      <c r="T5" t="s">
        <v>218</v>
      </c>
      <c r="U5">
        <v>12469</v>
      </c>
      <c r="V5">
        <v>99.834309086499999</v>
      </c>
      <c r="W5">
        <v>12166</v>
      </c>
      <c r="X5">
        <v>2936</v>
      </c>
      <c r="Y5">
        <v>19397</v>
      </c>
      <c r="Z5">
        <v>5653</v>
      </c>
      <c r="AA5">
        <v>461</v>
      </c>
      <c r="AB5">
        <v>434</v>
      </c>
      <c r="AC5">
        <v>3363</v>
      </c>
      <c r="AD5">
        <v>597</v>
      </c>
      <c r="AE5">
        <v>1371</v>
      </c>
      <c r="AF5">
        <v>3626</v>
      </c>
      <c r="AH5" t="s">
        <v>436</v>
      </c>
      <c r="AI5">
        <v>7344</v>
      </c>
      <c r="AJ5">
        <v>300.104711329</v>
      </c>
      <c r="AK5">
        <v>6285</v>
      </c>
      <c r="AL5">
        <v>1505</v>
      </c>
      <c r="AM5">
        <v>9660</v>
      </c>
      <c r="AN5">
        <v>5512</v>
      </c>
      <c r="AO5">
        <v>678</v>
      </c>
      <c r="AP5">
        <v>493</v>
      </c>
      <c r="AQ5">
        <v>3188</v>
      </c>
      <c r="AR5">
        <v>2303</v>
      </c>
      <c r="AS5">
        <v>4</v>
      </c>
      <c r="AT5">
        <v>79</v>
      </c>
      <c r="AV5" t="s">
        <v>410</v>
      </c>
      <c r="AW5">
        <v>31</v>
      </c>
      <c r="AX5">
        <v>33.709677419400002</v>
      </c>
      <c r="AY5">
        <v>86</v>
      </c>
      <c r="AZ5">
        <v>3</v>
      </c>
      <c r="BA5">
        <v>45</v>
      </c>
      <c r="BC5">
        <v>0</v>
      </c>
      <c r="BE5">
        <v>2</v>
      </c>
      <c r="BG5">
        <v>154</v>
      </c>
      <c r="BH5">
        <v>17</v>
      </c>
      <c r="BJ5" t="s">
        <v>395</v>
      </c>
      <c r="BK5" t="s">
        <v>395</v>
      </c>
      <c r="BL5">
        <v>66274</v>
      </c>
      <c r="BM5">
        <v>17572</v>
      </c>
      <c r="BN5">
        <v>106.74975103360001</v>
      </c>
      <c r="BO5">
        <v>199627</v>
      </c>
      <c r="BP5">
        <v>2335</v>
      </c>
      <c r="BQ5">
        <v>191.78163775440001</v>
      </c>
      <c r="BR5">
        <v>169.89336188440001</v>
      </c>
      <c r="BS5">
        <v>65785</v>
      </c>
      <c r="BT5">
        <v>17698</v>
      </c>
      <c r="BU5">
        <v>106.30709128220001</v>
      </c>
      <c r="BV5">
        <v>201979</v>
      </c>
      <c r="BW5">
        <v>2316</v>
      </c>
      <c r="BX5">
        <v>192.06464533440001</v>
      </c>
      <c r="BY5">
        <v>166.84024179619999</v>
      </c>
      <c r="CA5" t="s">
        <v>1050</v>
      </c>
      <c r="CB5" t="s">
        <v>741</v>
      </c>
      <c r="CC5" t="s">
        <v>927</v>
      </c>
      <c r="CD5">
        <v>20052</v>
      </c>
      <c r="CE5">
        <v>1873</v>
      </c>
      <c r="CF5">
        <v>59.125124675800002</v>
      </c>
      <c r="CG5">
        <v>142916</v>
      </c>
      <c r="CH5">
        <v>2246</v>
      </c>
      <c r="CI5">
        <v>64.488097903699995</v>
      </c>
      <c r="CJ5">
        <v>63.504007123800001</v>
      </c>
      <c r="CL5" t="s">
        <v>1050</v>
      </c>
      <c r="CM5" t="s">
        <v>741</v>
      </c>
      <c r="CN5" t="s">
        <v>927</v>
      </c>
      <c r="CO5">
        <v>20052</v>
      </c>
      <c r="CP5">
        <v>1873</v>
      </c>
      <c r="CQ5">
        <v>59.125124675800002</v>
      </c>
      <c r="CR5">
        <v>142916</v>
      </c>
      <c r="CS5">
        <v>2246</v>
      </c>
      <c r="CT5">
        <v>64.488097903699995</v>
      </c>
      <c r="CU5">
        <v>63.504007123800001</v>
      </c>
      <c r="CW5" t="s">
        <v>1050</v>
      </c>
      <c r="CX5" t="s">
        <v>741</v>
      </c>
      <c r="CY5" t="s">
        <v>927</v>
      </c>
      <c r="CZ5">
        <v>20052</v>
      </c>
      <c r="DA5">
        <v>1873</v>
      </c>
      <c r="DB5">
        <v>59.125124675800002</v>
      </c>
      <c r="DC5">
        <v>142916</v>
      </c>
      <c r="DD5">
        <v>2246</v>
      </c>
      <c r="DE5">
        <v>64.488097903699995</v>
      </c>
      <c r="DF5">
        <v>63.504007123800001</v>
      </c>
      <c r="DH5" t="s">
        <v>1050</v>
      </c>
      <c r="DI5" t="s">
        <v>741</v>
      </c>
      <c r="DJ5" t="s">
        <v>927</v>
      </c>
      <c r="DK5">
        <v>20052</v>
      </c>
      <c r="DL5">
        <v>1873</v>
      </c>
      <c r="DM5">
        <v>59.125124675800002</v>
      </c>
      <c r="DN5">
        <v>142916</v>
      </c>
      <c r="DO5">
        <v>2246</v>
      </c>
      <c r="DP5">
        <v>64.488097903699995</v>
      </c>
      <c r="DQ5">
        <v>63.504007123800001</v>
      </c>
    </row>
    <row r="6" spans="2:121" x14ac:dyDescent="0.2">
      <c r="B6" t="s">
        <v>93</v>
      </c>
      <c r="C6">
        <v>6643</v>
      </c>
      <c r="D6">
        <v>1062</v>
      </c>
      <c r="F6" t="s">
        <v>187</v>
      </c>
      <c r="G6">
        <v>756</v>
      </c>
      <c r="H6">
        <v>188.7314814815</v>
      </c>
      <c r="I6">
        <v>845</v>
      </c>
      <c r="J6">
        <v>76</v>
      </c>
      <c r="K6">
        <v>1229</v>
      </c>
      <c r="L6">
        <v>380</v>
      </c>
      <c r="M6">
        <v>338</v>
      </c>
      <c r="N6">
        <v>171</v>
      </c>
      <c r="O6">
        <v>88</v>
      </c>
      <c r="P6">
        <v>30</v>
      </c>
      <c r="Q6">
        <v>0</v>
      </c>
      <c r="R6">
        <v>2</v>
      </c>
      <c r="T6" t="s">
        <v>220</v>
      </c>
      <c r="U6">
        <v>1909</v>
      </c>
      <c r="V6">
        <v>33.253012048199999</v>
      </c>
      <c r="W6">
        <v>6993</v>
      </c>
      <c r="X6">
        <v>225</v>
      </c>
      <c r="Y6">
        <v>3445</v>
      </c>
      <c r="Z6">
        <v>23</v>
      </c>
      <c r="AA6">
        <v>18</v>
      </c>
      <c r="AB6">
        <v>3</v>
      </c>
      <c r="AC6">
        <v>113</v>
      </c>
      <c r="AD6">
        <v>36</v>
      </c>
      <c r="AE6">
        <v>4942</v>
      </c>
      <c r="AF6">
        <v>1100</v>
      </c>
      <c r="AH6" t="s">
        <v>421</v>
      </c>
      <c r="AI6">
        <v>5387</v>
      </c>
      <c r="AJ6">
        <v>343.10506775570002</v>
      </c>
      <c r="AK6">
        <v>3730</v>
      </c>
      <c r="AL6">
        <v>651</v>
      </c>
      <c r="AM6">
        <v>7589</v>
      </c>
      <c r="AN6">
        <v>4339</v>
      </c>
      <c r="AO6">
        <v>2256</v>
      </c>
      <c r="AP6">
        <v>1520</v>
      </c>
      <c r="AQ6">
        <v>3793</v>
      </c>
      <c r="AR6">
        <v>2824</v>
      </c>
      <c r="AS6">
        <v>7</v>
      </c>
      <c r="AT6">
        <v>154</v>
      </c>
      <c r="AV6" t="s">
        <v>430</v>
      </c>
      <c r="AW6">
        <v>17</v>
      </c>
      <c r="AX6">
        <v>31.823529411799999</v>
      </c>
      <c r="AY6">
        <v>48</v>
      </c>
      <c r="AZ6">
        <v>2</v>
      </c>
      <c r="BA6">
        <v>31</v>
      </c>
      <c r="BB6">
        <v>1</v>
      </c>
      <c r="BC6">
        <v>0</v>
      </c>
      <c r="BE6">
        <v>1</v>
      </c>
      <c r="BF6">
        <v>1</v>
      </c>
      <c r="BG6">
        <v>97</v>
      </c>
      <c r="BH6">
        <v>7</v>
      </c>
      <c r="BJ6" t="s">
        <v>594</v>
      </c>
      <c r="BK6" t="s">
        <v>395</v>
      </c>
      <c r="BL6">
        <v>6688</v>
      </c>
      <c r="BM6">
        <v>2230</v>
      </c>
      <c r="BN6">
        <v>119.2205442584</v>
      </c>
      <c r="BO6">
        <v>19921</v>
      </c>
      <c r="BP6">
        <v>270</v>
      </c>
      <c r="BQ6">
        <v>200.93755333569999</v>
      </c>
      <c r="BR6">
        <v>158.09629629630001</v>
      </c>
      <c r="BS6">
        <v>6602</v>
      </c>
      <c r="BT6">
        <v>2143</v>
      </c>
      <c r="BU6">
        <v>113.41532868829999</v>
      </c>
      <c r="BV6">
        <v>19275</v>
      </c>
      <c r="BW6">
        <v>252</v>
      </c>
      <c r="BX6">
        <v>199.14604409859999</v>
      </c>
      <c r="BY6">
        <v>151.37301587300001</v>
      </c>
      <c r="CA6" t="s">
        <v>1051</v>
      </c>
      <c r="CB6" t="s">
        <v>741</v>
      </c>
      <c r="CC6" t="s">
        <v>927</v>
      </c>
      <c r="CD6">
        <v>8845</v>
      </c>
      <c r="CE6">
        <v>1207</v>
      </c>
      <c r="CF6">
        <v>65.520293951400006</v>
      </c>
      <c r="CG6">
        <v>24004</v>
      </c>
      <c r="CH6">
        <v>268</v>
      </c>
      <c r="CI6">
        <v>132.96525579070001</v>
      </c>
      <c r="CJ6">
        <v>127.921641791</v>
      </c>
      <c r="CL6" t="s">
        <v>1051</v>
      </c>
      <c r="CM6" t="s">
        <v>741</v>
      </c>
      <c r="CN6" t="s">
        <v>927</v>
      </c>
      <c r="CO6">
        <v>8845</v>
      </c>
      <c r="CP6">
        <v>1207</v>
      </c>
      <c r="CQ6">
        <v>65.520293951400006</v>
      </c>
      <c r="CR6">
        <v>24004</v>
      </c>
      <c r="CS6">
        <v>268</v>
      </c>
      <c r="CT6">
        <v>132.96525579070001</v>
      </c>
      <c r="CU6">
        <v>127.921641791</v>
      </c>
      <c r="CW6" t="s">
        <v>1051</v>
      </c>
      <c r="CX6" t="s">
        <v>741</v>
      </c>
      <c r="CY6" t="s">
        <v>927</v>
      </c>
      <c r="CZ6">
        <v>8845</v>
      </c>
      <c r="DA6">
        <v>1207</v>
      </c>
      <c r="DB6">
        <v>65.520293951400006</v>
      </c>
      <c r="DC6">
        <v>24004</v>
      </c>
      <c r="DD6">
        <v>268</v>
      </c>
      <c r="DE6">
        <v>132.96525579070001</v>
      </c>
      <c r="DF6">
        <v>127.921641791</v>
      </c>
      <c r="DH6" t="s">
        <v>1051</v>
      </c>
      <c r="DI6" t="s">
        <v>741</v>
      </c>
      <c r="DJ6" t="s">
        <v>927</v>
      </c>
      <c r="DK6">
        <v>8845</v>
      </c>
      <c r="DL6">
        <v>1207</v>
      </c>
      <c r="DM6">
        <v>65.520293951400006</v>
      </c>
      <c r="DN6">
        <v>24004</v>
      </c>
      <c r="DO6">
        <v>268</v>
      </c>
      <c r="DP6">
        <v>132.96525579070001</v>
      </c>
      <c r="DQ6">
        <v>127.921641791</v>
      </c>
    </row>
    <row r="7" spans="2:121" x14ac:dyDescent="0.2">
      <c r="B7" t="s">
        <v>94</v>
      </c>
      <c r="C7">
        <v>241</v>
      </c>
      <c r="D7">
        <v>36</v>
      </c>
      <c r="F7" t="s">
        <v>61</v>
      </c>
      <c r="G7">
        <v>5347</v>
      </c>
      <c r="H7">
        <v>218.29811109030001</v>
      </c>
      <c r="I7">
        <v>9065</v>
      </c>
      <c r="J7">
        <v>2131</v>
      </c>
      <c r="K7">
        <v>8664</v>
      </c>
      <c r="L7">
        <v>4061</v>
      </c>
      <c r="M7">
        <v>1821</v>
      </c>
      <c r="N7">
        <v>1480</v>
      </c>
      <c r="O7">
        <v>1657</v>
      </c>
      <c r="P7">
        <v>1294</v>
      </c>
      <c r="Q7">
        <v>5</v>
      </c>
      <c r="R7">
        <v>222</v>
      </c>
      <c r="T7" t="s">
        <v>472</v>
      </c>
      <c r="U7">
        <v>17773</v>
      </c>
      <c r="V7">
        <v>86.171552354699998</v>
      </c>
      <c r="W7">
        <v>25774</v>
      </c>
      <c r="X7">
        <v>3757</v>
      </c>
      <c r="Y7">
        <v>30021</v>
      </c>
      <c r="Z7">
        <v>6852</v>
      </c>
      <c r="AA7">
        <v>813</v>
      </c>
      <c r="AB7">
        <v>759</v>
      </c>
      <c r="AC7">
        <v>4232</v>
      </c>
      <c r="AD7">
        <v>993</v>
      </c>
      <c r="AE7">
        <v>11529</v>
      </c>
      <c r="AF7">
        <v>5213</v>
      </c>
      <c r="AH7" t="s">
        <v>417</v>
      </c>
      <c r="AI7">
        <v>31879</v>
      </c>
      <c r="AJ7">
        <v>358.58640484329999</v>
      </c>
      <c r="AK7">
        <v>32126</v>
      </c>
      <c r="AL7">
        <v>8071</v>
      </c>
      <c r="AM7">
        <v>45578</v>
      </c>
      <c r="AN7">
        <v>28046</v>
      </c>
      <c r="AO7">
        <v>7579</v>
      </c>
      <c r="AP7">
        <v>5707</v>
      </c>
      <c r="AQ7">
        <v>11689</v>
      </c>
      <c r="AR7">
        <v>7542</v>
      </c>
      <c r="AS7">
        <v>51</v>
      </c>
      <c r="AT7">
        <v>166</v>
      </c>
      <c r="AV7" t="s">
        <v>398</v>
      </c>
      <c r="AW7">
        <v>429</v>
      </c>
      <c r="AX7">
        <v>68.540792540799998</v>
      </c>
      <c r="AY7">
        <v>668</v>
      </c>
      <c r="AZ7">
        <v>37</v>
      </c>
      <c r="BA7">
        <v>862</v>
      </c>
      <c r="BB7">
        <v>79</v>
      </c>
      <c r="BC7">
        <v>12</v>
      </c>
      <c r="BD7">
        <v>10</v>
      </c>
      <c r="BE7">
        <v>61</v>
      </c>
      <c r="BF7">
        <v>18</v>
      </c>
      <c r="BG7">
        <v>423</v>
      </c>
      <c r="BH7">
        <v>56</v>
      </c>
      <c r="BJ7" t="s">
        <v>641</v>
      </c>
      <c r="BK7" t="s">
        <v>395</v>
      </c>
      <c r="BL7">
        <v>890</v>
      </c>
      <c r="BM7">
        <v>75</v>
      </c>
      <c r="BN7">
        <v>63.394382022499997</v>
      </c>
      <c r="BO7">
        <v>3307</v>
      </c>
      <c r="BP7">
        <v>40</v>
      </c>
      <c r="BQ7">
        <v>105.14968249170001</v>
      </c>
      <c r="BR7">
        <v>110.375</v>
      </c>
      <c r="BS7">
        <v>1570</v>
      </c>
      <c r="BT7">
        <v>410</v>
      </c>
      <c r="BU7">
        <v>111.38726114649999</v>
      </c>
      <c r="BV7">
        <v>6081</v>
      </c>
      <c r="BW7">
        <v>81</v>
      </c>
      <c r="BX7">
        <v>170.6219371814</v>
      </c>
      <c r="BY7">
        <v>160.56790123459999</v>
      </c>
      <c r="CA7" t="s">
        <v>421</v>
      </c>
      <c r="CB7" t="s">
        <v>777</v>
      </c>
      <c r="CC7" t="s">
        <v>1006</v>
      </c>
      <c r="CD7">
        <v>3837</v>
      </c>
      <c r="CE7">
        <v>626</v>
      </c>
      <c r="CF7">
        <v>83.622882460300005</v>
      </c>
      <c r="CG7">
        <v>12950</v>
      </c>
      <c r="CH7">
        <v>120</v>
      </c>
      <c r="CI7">
        <v>167.88501930499999</v>
      </c>
      <c r="CJ7">
        <v>149.21666666670001</v>
      </c>
      <c r="CL7" t="s">
        <v>421</v>
      </c>
      <c r="CM7" t="s">
        <v>758</v>
      </c>
      <c r="CN7" t="s">
        <v>757</v>
      </c>
      <c r="CO7">
        <v>221</v>
      </c>
      <c r="CP7">
        <v>22</v>
      </c>
      <c r="CQ7">
        <v>56.407239818999997</v>
      </c>
      <c r="CR7">
        <v>1898</v>
      </c>
      <c r="CS7">
        <v>25</v>
      </c>
      <c r="CT7">
        <v>49.8071654373</v>
      </c>
      <c r="CU7">
        <v>50.76</v>
      </c>
      <c r="CW7" t="s">
        <v>421</v>
      </c>
      <c r="CX7" t="s">
        <v>768</v>
      </c>
      <c r="CY7" t="s">
        <v>767</v>
      </c>
      <c r="CZ7">
        <v>36</v>
      </c>
      <c r="DA7">
        <v>4</v>
      </c>
      <c r="DB7">
        <v>55.777777777799997</v>
      </c>
      <c r="DC7">
        <v>134</v>
      </c>
      <c r="DD7">
        <v>0</v>
      </c>
      <c r="DE7">
        <v>135.7611940299</v>
      </c>
      <c r="DF7">
        <v>0</v>
      </c>
      <c r="DH7" t="s">
        <v>421</v>
      </c>
      <c r="DI7" t="s">
        <v>748</v>
      </c>
      <c r="DJ7" t="s">
        <v>747</v>
      </c>
      <c r="DK7">
        <v>37</v>
      </c>
      <c r="DL7">
        <v>3</v>
      </c>
      <c r="DM7">
        <v>64.135135135100001</v>
      </c>
      <c r="DN7">
        <v>109</v>
      </c>
      <c r="DO7">
        <v>0</v>
      </c>
      <c r="DP7">
        <v>145.30275229360001</v>
      </c>
      <c r="DQ7">
        <v>0</v>
      </c>
    </row>
    <row r="8" spans="2:121" x14ac:dyDescent="0.2">
      <c r="B8" t="s">
        <v>103</v>
      </c>
      <c r="C8">
        <v>232</v>
      </c>
      <c r="D8">
        <v>155</v>
      </c>
      <c r="F8" t="s">
        <v>27</v>
      </c>
      <c r="G8">
        <v>2307</v>
      </c>
      <c r="H8">
        <v>131.5058517555</v>
      </c>
      <c r="I8">
        <v>6823</v>
      </c>
      <c r="J8">
        <v>1568</v>
      </c>
      <c r="K8">
        <v>9786</v>
      </c>
      <c r="L8">
        <v>2461</v>
      </c>
      <c r="M8">
        <v>1084</v>
      </c>
      <c r="N8">
        <v>513</v>
      </c>
      <c r="O8">
        <v>526</v>
      </c>
      <c r="P8">
        <v>205</v>
      </c>
      <c r="Q8">
        <v>0</v>
      </c>
      <c r="R8">
        <v>64</v>
      </c>
      <c r="AH8" t="s">
        <v>413</v>
      </c>
      <c r="AI8">
        <v>7720</v>
      </c>
      <c r="AJ8">
        <v>394.92836787559997</v>
      </c>
      <c r="AK8">
        <v>7358</v>
      </c>
      <c r="AL8">
        <v>2316</v>
      </c>
      <c r="AM8">
        <v>10411</v>
      </c>
      <c r="AN8">
        <v>6741</v>
      </c>
      <c r="AO8">
        <v>2114</v>
      </c>
      <c r="AP8">
        <v>1723</v>
      </c>
      <c r="AQ8">
        <v>4767</v>
      </c>
      <c r="AR8">
        <v>3436</v>
      </c>
      <c r="AS8">
        <v>10</v>
      </c>
      <c r="AT8">
        <v>71</v>
      </c>
      <c r="AV8" t="s">
        <v>419</v>
      </c>
      <c r="AW8">
        <v>81</v>
      </c>
      <c r="AX8">
        <v>38.370370370400003</v>
      </c>
      <c r="AY8">
        <v>267</v>
      </c>
      <c r="AZ8">
        <v>11</v>
      </c>
      <c r="BA8">
        <v>146</v>
      </c>
      <c r="BB8">
        <v>10</v>
      </c>
      <c r="BC8">
        <v>1</v>
      </c>
      <c r="BD8">
        <v>1</v>
      </c>
      <c r="BE8">
        <v>10</v>
      </c>
      <c r="BF8">
        <v>7</v>
      </c>
      <c r="BG8">
        <v>230</v>
      </c>
      <c r="BH8">
        <v>41</v>
      </c>
      <c r="BJ8" t="s">
        <v>629</v>
      </c>
      <c r="BK8" t="s">
        <v>395</v>
      </c>
      <c r="BL8">
        <v>17638</v>
      </c>
      <c r="BM8">
        <v>5090</v>
      </c>
      <c r="BN8">
        <v>114.05930377590001</v>
      </c>
      <c r="BO8">
        <v>48596</v>
      </c>
      <c r="BP8">
        <v>528</v>
      </c>
      <c r="BQ8">
        <v>212.89754300769999</v>
      </c>
      <c r="BR8">
        <v>199.5340909091</v>
      </c>
      <c r="BS8">
        <v>13381</v>
      </c>
      <c r="BT8">
        <v>3259</v>
      </c>
      <c r="BU8">
        <v>104.4681264479</v>
      </c>
      <c r="BV8">
        <v>34992</v>
      </c>
      <c r="BW8">
        <v>295</v>
      </c>
      <c r="BX8">
        <v>212.54132373109999</v>
      </c>
      <c r="BY8">
        <v>184.08135593220001</v>
      </c>
      <c r="CA8" t="s">
        <v>413</v>
      </c>
      <c r="CB8" t="s">
        <v>777</v>
      </c>
      <c r="CC8" t="s">
        <v>1007</v>
      </c>
      <c r="CD8">
        <v>6860</v>
      </c>
      <c r="CE8">
        <v>2266</v>
      </c>
      <c r="CF8">
        <v>118.7706997085</v>
      </c>
      <c r="CG8">
        <v>21753</v>
      </c>
      <c r="CH8">
        <v>297</v>
      </c>
      <c r="CI8">
        <v>188.00078150140001</v>
      </c>
      <c r="CJ8">
        <v>145.93265993270001</v>
      </c>
      <c r="CL8" t="s">
        <v>413</v>
      </c>
      <c r="CM8" t="s">
        <v>758</v>
      </c>
      <c r="CN8" t="s">
        <v>759</v>
      </c>
      <c r="CO8">
        <v>279</v>
      </c>
      <c r="CP8">
        <v>31</v>
      </c>
      <c r="CQ8">
        <v>61.197132616499999</v>
      </c>
      <c r="CR8">
        <v>2004</v>
      </c>
      <c r="CS8">
        <v>36</v>
      </c>
      <c r="CT8">
        <v>60.909680638700003</v>
      </c>
      <c r="CU8">
        <v>61.888888888899999</v>
      </c>
      <c r="CW8" t="s">
        <v>413</v>
      </c>
      <c r="CX8" t="s">
        <v>768</v>
      </c>
      <c r="CY8" t="s">
        <v>769</v>
      </c>
      <c r="CZ8">
        <v>225</v>
      </c>
      <c r="DA8">
        <v>38</v>
      </c>
      <c r="DB8">
        <v>68.760000000000005</v>
      </c>
      <c r="DC8">
        <v>764</v>
      </c>
      <c r="DD8">
        <v>6</v>
      </c>
      <c r="DE8">
        <v>121.5209424084</v>
      </c>
      <c r="DF8">
        <v>116.3333333333</v>
      </c>
      <c r="DH8" t="s">
        <v>413</v>
      </c>
      <c r="DI8" t="s">
        <v>748</v>
      </c>
      <c r="DJ8" t="s">
        <v>749</v>
      </c>
      <c r="DK8">
        <v>396</v>
      </c>
      <c r="DL8">
        <v>21</v>
      </c>
      <c r="DM8">
        <v>50.338383838399999</v>
      </c>
      <c r="DN8">
        <v>1102</v>
      </c>
      <c r="DO8">
        <v>5</v>
      </c>
      <c r="DP8">
        <v>155.00907441019999</v>
      </c>
      <c r="DQ8">
        <v>82.6</v>
      </c>
    </row>
    <row r="9" spans="2:121" x14ac:dyDescent="0.2">
      <c r="B9" t="s">
        <v>95</v>
      </c>
      <c r="C9">
        <v>12</v>
      </c>
      <c r="D9">
        <v>4</v>
      </c>
      <c r="F9" t="s">
        <v>62</v>
      </c>
      <c r="G9">
        <v>5577</v>
      </c>
      <c r="H9">
        <v>400.70163170159998</v>
      </c>
      <c r="I9">
        <v>5501</v>
      </c>
      <c r="J9">
        <v>1311</v>
      </c>
      <c r="K9">
        <v>7036</v>
      </c>
      <c r="L9">
        <v>4358</v>
      </c>
      <c r="M9">
        <v>586</v>
      </c>
      <c r="N9">
        <v>446</v>
      </c>
      <c r="O9">
        <v>953</v>
      </c>
      <c r="P9">
        <v>450</v>
      </c>
      <c r="Q9">
        <v>3</v>
      </c>
      <c r="R9">
        <v>302</v>
      </c>
      <c r="AH9" t="s">
        <v>383</v>
      </c>
      <c r="AI9">
        <v>1898</v>
      </c>
      <c r="AJ9">
        <v>261.6001053741</v>
      </c>
      <c r="AK9">
        <v>1829</v>
      </c>
      <c r="AL9">
        <v>421</v>
      </c>
      <c r="AM9">
        <v>3544</v>
      </c>
      <c r="AN9">
        <v>1764</v>
      </c>
      <c r="AO9">
        <v>424</v>
      </c>
      <c r="AP9">
        <v>307</v>
      </c>
      <c r="AQ9">
        <v>814</v>
      </c>
      <c r="AR9">
        <v>497</v>
      </c>
      <c r="AS9">
        <v>191</v>
      </c>
      <c r="AT9">
        <v>3</v>
      </c>
      <c r="AV9" t="s">
        <v>427</v>
      </c>
      <c r="AW9">
        <v>31</v>
      </c>
      <c r="AX9">
        <v>104.0967741935</v>
      </c>
      <c r="AY9">
        <v>24</v>
      </c>
      <c r="AZ9">
        <v>4</v>
      </c>
      <c r="BA9">
        <v>43</v>
      </c>
      <c r="BB9">
        <v>16</v>
      </c>
      <c r="BC9">
        <v>2</v>
      </c>
      <c r="BD9">
        <v>2</v>
      </c>
      <c r="BE9">
        <v>10</v>
      </c>
      <c r="BF9">
        <v>1</v>
      </c>
      <c r="BG9">
        <v>6</v>
      </c>
      <c r="BH9">
        <v>5</v>
      </c>
      <c r="BJ9" t="s">
        <v>565</v>
      </c>
      <c r="BK9" t="s">
        <v>395</v>
      </c>
      <c r="BL9">
        <v>4254</v>
      </c>
      <c r="BM9">
        <v>1562</v>
      </c>
      <c r="BN9">
        <v>138.98942172069999</v>
      </c>
      <c r="BO9">
        <v>14932</v>
      </c>
      <c r="BP9">
        <v>127</v>
      </c>
      <c r="BQ9">
        <v>240.35996517550001</v>
      </c>
      <c r="BR9">
        <v>214.9527559055</v>
      </c>
      <c r="BS9">
        <v>4600</v>
      </c>
      <c r="BT9">
        <v>1630</v>
      </c>
      <c r="BU9">
        <v>128.3956521739</v>
      </c>
      <c r="BV9">
        <v>14105</v>
      </c>
      <c r="BW9">
        <v>155</v>
      </c>
      <c r="BX9">
        <v>232.2253101737</v>
      </c>
      <c r="BY9">
        <v>205.8322580645</v>
      </c>
      <c r="CA9" t="s">
        <v>397</v>
      </c>
      <c r="CB9" t="s">
        <v>777</v>
      </c>
      <c r="CC9" t="s">
        <v>1008</v>
      </c>
      <c r="CD9">
        <v>6027</v>
      </c>
      <c r="CE9">
        <v>1400</v>
      </c>
      <c r="CF9">
        <v>95.829600132699994</v>
      </c>
      <c r="CG9">
        <v>18082</v>
      </c>
      <c r="CH9">
        <v>190</v>
      </c>
      <c r="CI9">
        <v>178.02792832649999</v>
      </c>
      <c r="CJ9">
        <v>153.02631578949999</v>
      </c>
      <c r="CL9" t="s">
        <v>397</v>
      </c>
      <c r="CM9" t="s">
        <v>758</v>
      </c>
      <c r="CN9" t="s">
        <v>760</v>
      </c>
      <c r="CO9">
        <v>316</v>
      </c>
      <c r="CP9">
        <v>30</v>
      </c>
      <c r="CQ9">
        <v>57.572784810100003</v>
      </c>
      <c r="CR9">
        <v>2831</v>
      </c>
      <c r="CS9">
        <v>40</v>
      </c>
      <c r="CT9">
        <v>52.680324973499999</v>
      </c>
      <c r="CU9">
        <v>65.349999999999994</v>
      </c>
      <c r="CW9" t="s">
        <v>397</v>
      </c>
      <c r="CX9" t="s">
        <v>768</v>
      </c>
      <c r="CY9" t="s">
        <v>770</v>
      </c>
      <c r="CZ9">
        <v>66</v>
      </c>
      <c r="DA9">
        <v>12</v>
      </c>
      <c r="DB9">
        <v>66.924242424200003</v>
      </c>
      <c r="DC9">
        <v>242</v>
      </c>
      <c r="DD9">
        <v>5</v>
      </c>
      <c r="DE9">
        <v>132.41735537189999</v>
      </c>
      <c r="DF9">
        <v>95</v>
      </c>
      <c r="DH9" t="s">
        <v>397</v>
      </c>
      <c r="DI9" t="s">
        <v>748</v>
      </c>
      <c r="DJ9" t="s">
        <v>750</v>
      </c>
      <c r="DK9">
        <v>145</v>
      </c>
      <c r="DL9">
        <v>10</v>
      </c>
      <c r="DM9">
        <v>49.158620689700001</v>
      </c>
      <c r="DN9">
        <v>459</v>
      </c>
      <c r="DO9">
        <v>4</v>
      </c>
      <c r="DP9">
        <v>155.3333333333</v>
      </c>
      <c r="DQ9">
        <v>136</v>
      </c>
    </row>
    <row r="10" spans="2:121" x14ac:dyDescent="0.2">
      <c r="B10" t="s">
        <v>323</v>
      </c>
      <c r="C10">
        <v>1</v>
      </c>
      <c r="D10">
        <v>1</v>
      </c>
      <c r="F10" t="s">
        <v>24</v>
      </c>
      <c r="G10">
        <v>1122</v>
      </c>
      <c r="H10">
        <v>81.171122994699999</v>
      </c>
      <c r="I10">
        <v>4425</v>
      </c>
      <c r="J10">
        <v>1142</v>
      </c>
      <c r="K10">
        <v>1971</v>
      </c>
      <c r="L10">
        <v>357</v>
      </c>
      <c r="M10">
        <v>248</v>
      </c>
      <c r="N10">
        <v>48</v>
      </c>
      <c r="O10">
        <v>460</v>
      </c>
      <c r="P10">
        <v>312</v>
      </c>
      <c r="Q10">
        <v>0</v>
      </c>
      <c r="R10">
        <v>0</v>
      </c>
      <c r="AH10" t="s">
        <v>433</v>
      </c>
      <c r="AI10">
        <v>1063</v>
      </c>
      <c r="AJ10">
        <v>352.16462841020001</v>
      </c>
      <c r="AK10">
        <v>980</v>
      </c>
      <c r="AL10">
        <v>310</v>
      </c>
      <c r="AM10">
        <v>1279</v>
      </c>
      <c r="AN10">
        <v>700</v>
      </c>
      <c r="AO10">
        <v>72</v>
      </c>
      <c r="AP10">
        <v>50</v>
      </c>
      <c r="AQ10">
        <v>388</v>
      </c>
      <c r="AR10">
        <v>195</v>
      </c>
      <c r="AS10">
        <v>46</v>
      </c>
      <c r="AT10">
        <v>1</v>
      </c>
      <c r="AV10" t="s">
        <v>381</v>
      </c>
      <c r="AW10">
        <v>359</v>
      </c>
      <c r="AX10">
        <v>94.0473537604</v>
      </c>
      <c r="AY10">
        <v>423</v>
      </c>
      <c r="AZ10">
        <v>96</v>
      </c>
      <c r="BA10">
        <v>570</v>
      </c>
      <c r="BB10">
        <v>162</v>
      </c>
      <c r="BC10">
        <v>12</v>
      </c>
      <c r="BD10">
        <v>11</v>
      </c>
      <c r="BE10">
        <v>126</v>
      </c>
      <c r="BF10">
        <v>22</v>
      </c>
      <c r="BG10">
        <v>44</v>
      </c>
      <c r="BH10">
        <v>140</v>
      </c>
      <c r="BJ10" t="s">
        <v>617</v>
      </c>
      <c r="BK10" t="s">
        <v>395</v>
      </c>
      <c r="BL10">
        <v>3800</v>
      </c>
      <c r="BM10">
        <v>612</v>
      </c>
      <c r="BN10">
        <v>82.088684210500006</v>
      </c>
      <c r="BO10">
        <v>12447</v>
      </c>
      <c r="BP10">
        <v>113</v>
      </c>
      <c r="BQ10">
        <v>170.89178115210001</v>
      </c>
      <c r="BR10">
        <v>165.77876106190001</v>
      </c>
      <c r="BS10">
        <v>4233</v>
      </c>
      <c r="BT10">
        <v>1009</v>
      </c>
      <c r="BU10">
        <v>93.797070635500006</v>
      </c>
      <c r="BV10">
        <v>15057</v>
      </c>
      <c r="BW10">
        <v>174</v>
      </c>
      <c r="BX10">
        <v>175.75293883239999</v>
      </c>
      <c r="BY10">
        <v>171.091954023</v>
      </c>
      <c r="CA10" t="s">
        <v>399</v>
      </c>
      <c r="CB10" t="s">
        <v>777</v>
      </c>
      <c r="CC10" t="s">
        <v>1009</v>
      </c>
      <c r="CD10">
        <v>3917</v>
      </c>
      <c r="CE10">
        <v>1148</v>
      </c>
      <c r="CF10">
        <v>118.1051825377</v>
      </c>
      <c r="CG10">
        <v>14680</v>
      </c>
      <c r="CH10">
        <v>139</v>
      </c>
      <c r="CI10">
        <v>222.32929155310001</v>
      </c>
      <c r="CJ10">
        <v>183.92805755399999</v>
      </c>
      <c r="CL10" t="s">
        <v>399</v>
      </c>
      <c r="CM10" t="s">
        <v>758</v>
      </c>
      <c r="CN10" t="s">
        <v>761</v>
      </c>
      <c r="CO10">
        <v>287</v>
      </c>
      <c r="CP10">
        <v>35</v>
      </c>
      <c r="CQ10">
        <v>65.494773519199995</v>
      </c>
      <c r="CR10">
        <v>1997</v>
      </c>
      <c r="CS10">
        <v>19</v>
      </c>
      <c r="CT10">
        <v>59.823234852299997</v>
      </c>
      <c r="CU10">
        <v>55.842105263199997</v>
      </c>
      <c r="CW10" t="s">
        <v>399</v>
      </c>
      <c r="CX10" t="s">
        <v>768</v>
      </c>
      <c r="CY10" t="s">
        <v>771</v>
      </c>
      <c r="CZ10">
        <v>82</v>
      </c>
      <c r="DA10">
        <v>16</v>
      </c>
      <c r="DB10">
        <v>75.329268292699993</v>
      </c>
      <c r="DC10">
        <v>152</v>
      </c>
      <c r="DD10">
        <v>0</v>
      </c>
      <c r="DE10">
        <v>150.8552631579</v>
      </c>
      <c r="DF10">
        <v>0</v>
      </c>
      <c r="DH10" t="s">
        <v>399</v>
      </c>
      <c r="DI10" t="s">
        <v>748</v>
      </c>
      <c r="DJ10" t="s">
        <v>751</v>
      </c>
      <c r="DK10">
        <v>81</v>
      </c>
      <c r="DL10">
        <v>17</v>
      </c>
      <c r="DM10">
        <v>70.679012345700002</v>
      </c>
      <c r="DN10">
        <v>218</v>
      </c>
      <c r="DO10">
        <v>2</v>
      </c>
      <c r="DP10">
        <v>127.6605504587</v>
      </c>
      <c r="DQ10">
        <v>16</v>
      </c>
    </row>
    <row r="11" spans="2:121" x14ac:dyDescent="0.2">
      <c r="B11" t="s">
        <v>127</v>
      </c>
      <c r="C11">
        <v>680</v>
      </c>
      <c r="D11">
        <v>372</v>
      </c>
      <c r="F11" t="s">
        <v>60</v>
      </c>
      <c r="G11">
        <v>12544</v>
      </c>
      <c r="H11">
        <v>367.36184630100001</v>
      </c>
      <c r="I11">
        <v>7410</v>
      </c>
      <c r="J11">
        <v>1393</v>
      </c>
      <c r="K11">
        <v>14119</v>
      </c>
      <c r="L11">
        <v>9940</v>
      </c>
      <c r="M11">
        <v>4294</v>
      </c>
      <c r="N11">
        <v>3955</v>
      </c>
      <c r="O11">
        <v>2321</v>
      </c>
      <c r="P11">
        <v>1740</v>
      </c>
      <c r="Q11">
        <v>3</v>
      </c>
      <c r="R11">
        <v>366</v>
      </c>
      <c r="AH11" t="s">
        <v>424</v>
      </c>
      <c r="AI11">
        <v>512</v>
      </c>
      <c r="AJ11">
        <v>488.431640625</v>
      </c>
      <c r="AK11">
        <v>501</v>
      </c>
      <c r="AL11">
        <v>156</v>
      </c>
      <c r="AM11">
        <v>713</v>
      </c>
      <c r="AN11">
        <v>471</v>
      </c>
      <c r="AO11">
        <v>135</v>
      </c>
      <c r="AP11">
        <v>111</v>
      </c>
      <c r="AQ11">
        <v>332</v>
      </c>
      <c r="AR11">
        <v>236</v>
      </c>
      <c r="AS11">
        <v>20</v>
      </c>
      <c r="AT11">
        <v>1</v>
      </c>
      <c r="AV11" t="s">
        <v>418</v>
      </c>
      <c r="AW11">
        <v>35</v>
      </c>
      <c r="AX11">
        <v>26.6</v>
      </c>
      <c r="AY11">
        <v>78</v>
      </c>
      <c r="AZ11">
        <v>5</v>
      </c>
      <c r="BA11">
        <v>56</v>
      </c>
      <c r="BC11">
        <v>1</v>
      </c>
      <c r="BD11">
        <v>1</v>
      </c>
      <c r="BE11">
        <v>0</v>
      </c>
      <c r="BG11">
        <v>73</v>
      </c>
      <c r="BH11">
        <v>9</v>
      </c>
      <c r="BJ11" t="s">
        <v>619</v>
      </c>
      <c r="BK11" t="s">
        <v>395</v>
      </c>
      <c r="BL11">
        <v>6966</v>
      </c>
      <c r="BM11">
        <v>1556</v>
      </c>
      <c r="BN11">
        <v>103.25925925929999</v>
      </c>
      <c r="BO11">
        <v>21880</v>
      </c>
      <c r="BP11">
        <v>259</v>
      </c>
      <c r="BQ11">
        <v>160.75210237659999</v>
      </c>
      <c r="BR11">
        <v>153.26640926639999</v>
      </c>
      <c r="BS11">
        <v>8270</v>
      </c>
      <c r="BT11">
        <v>2442</v>
      </c>
      <c r="BU11">
        <v>116.93192261190001</v>
      </c>
      <c r="BV11">
        <v>31350</v>
      </c>
      <c r="BW11">
        <v>347</v>
      </c>
      <c r="BX11">
        <v>176.2719936204</v>
      </c>
      <c r="BY11">
        <v>170.32276657060001</v>
      </c>
      <c r="CA11" t="s">
        <v>428</v>
      </c>
      <c r="CB11" t="s">
        <v>777</v>
      </c>
      <c r="CC11" t="s">
        <v>1010</v>
      </c>
      <c r="CD11">
        <v>945</v>
      </c>
      <c r="CE11">
        <v>102</v>
      </c>
      <c r="CF11">
        <v>69.128042328000006</v>
      </c>
      <c r="CG11">
        <v>3708</v>
      </c>
      <c r="CH11">
        <v>48</v>
      </c>
      <c r="CI11">
        <v>113.7866774542</v>
      </c>
      <c r="CJ11">
        <v>105.9583333333</v>
      </c>
      <c r="CL11" t="s">
        <v>428</v>
      </c>
      <c r="CM11" t="s">
        <v>758</v>
      </c>
      <c r="CN11" t="s">
        <v>762</v>
      </c>
      <c r="CO11">
        <v>88</v>
      </c>
      <c r="CP11">
        <v>3</v>
      </c>
      <c r="CQ11">
        <v>47.477272727299997</v>
      </c>
      <c r="CR11">
        <v>568</v>
      </c>
      <c r="CS11">
        <v>11</v>
      </c>
      <c r="CT11">
        <v>53.771126760599998</v>
      </c>
      <c r="CU11">
        <v>52.636363636399999</v>
      </c>
      <c r="CW11" t="s">
        <v>428</v>
      </c>
      <c r="CX11" t="s">
        <v>768</v>
      </c>
      <c r="CY11" t="s">
        <v>772</v>
      </c>
      <c r="CZ11">
        <v>19</v>
      </c>
      <c r="DA11">
        <v>4</v>
      </c>
      <c r="DB11">
        <v>65.526315789500003</v>
      </c>
      <c r="DC11">
        <v>81</v>
      </c>
      <c r="DD11">
        <v>0</v>
      </c>
      <c r="DE11">
        <v>129.79012345679999</v>
      </c>
      <c r="DF11">
        <v>0</v>
      </c>
      <c r="DH11" t="s">
        <v>428</v>
      </c>
      <c r="DI11" t="s">
        <v>748</v>
      </c>
      <c r="DJ11" t="s">
        <v>752</v>
      </c>
      <c r="DK11">
        <v>11</v>
      </c>
      <c r="DL11">
        <v>1</v>
      </c>
      <c r="DM11">
        <v>50.909090909100001</v>
      </c>
      <c r="DN11">
        <v>56</v>
      </c>
      <c r="DO11">
        <v>1</v>
      </c>
      <c r="DP11">
        <v>169.875</v>
      </c>
      <c r="DQ11">
        <v>99</v>
      </c>
    </row>
    <row r="12" spans="2:121" x14ac:dyDescent="0.2">
      <c r="B12" t="s">
        <v>100</v>
      </c>
      <c r="C12">
        <v>197</v>
      </c>
      <c r="D12">
        <v>98</v>
      </c>
      <c r="F12" t="s">
        <v>36</v>
      </c>
      <c r="G12">
        <v>8808</v>
      </c>
      <c r="H12">
        <v>653.73478655769998</v>
      </c>
      <c r="I12">
        <v>4874</v>
      </c>
      <c r="J12">
        <v>1273</v>
      </c>
      <c r="K12">
        <v>10156</v>
      </c>
      <c r="L12">
        <v>8283</v>
      </c>
      <c r="M12">
        <v>1011</v>
      </c>
      <c r="N12">
        <v>890</v>
      </c>
      <c r="O12">
        <v>6192</v>
      </c>
      <c r="P12">
        <v>5228</v>
      </c>
      <c r="Q12">
        <v>23</v>
      </c>
      <c r="R12">
        <v>5</v>
      </c>
      <c r="T12" t="s">
        <v>658</v>
      </c>
      <c r="U12" t="s">
        <v>315</v>
      </c>
      <c r="V12" t="s">
        <v>139</v>
      </c>
      <c r="W12" t="s">
        <v>222</v>
      </c>
      <c r="X12" t="s">
        <v>223</v>
      </c>
      <c r="Y12" t="s">
        <v>224</v>
      </c>
      <c r="Z12" t="s">
        <v>225</v>
      </c>
      <c r="AA12" t="s">
        <v>226</v>
      </c>
      <c r="AB12" t="s">
        <v>227</v>
      </c>
      <c r="AC12" t="s">
        <v>228</v>
      </c>
      <c r="AD12" t="s">
        <v>229</v>
      </c>
      <c r="AE12" t="s">
        <v>230</v>
      </c>
      <c r="AF12" t="s">
        <v>231</v>
      </c>
      <c r="AH12" t="s">
        <v>435</v>
      </c>
      <c r="AI12">
        <v>20481</v>
      </c>
      <c r="AJ12">
        <v>322.44695083250002</v>
      </c>
      <c r="AK12">
        <v>24290</v>
      </c>
      <c r="AL12">
        <v>7682</v>
      </c>
      <c r="AM12">
        <v>28794</v>
      </c>
      <c r="AN12">
        <v>17300</v>
      </c>
      <c r="AO12">
        <v>3916</v>
      </c>
      <c r="AP12">
        <v>2737</v>
      </c>
      <c r="AQ12">
        <v>12129</v>
      </c>
      <c r="AR12">
        <v>6909</v>
      </c>
      <c r="AS12">
        <v>1437</v>
      </c>
      <c r="AT12">
        <v>259</v>
      </c>
      <c r="AV12" t="s">
        <v>435</v>
      </c>
      <c r="AW12">
        <v>2337</v>
      </c>
      <c r="AX12">
        <v>97.828412494700004</v>
      </c>
      <c r="AY12">
        <v>2495</v>
      </c>
      <c r="AZ12">
        <v>585</v>
      </c>
      <c r="BA12">
        <v>3691</v>
      </c>
      <c r="BB12">
        <v>1029</v>
      </c>
      <c r="BC12">
        <v>106</v>
      </c>
      <c r="BD12">
        <v>102</v>
      </c>
      <c r="BE12">
        <v>598</v>
      </c>
      <c r="BF12">
        <v>106</v>
      </c>
      <c r="BG12">
        <v>288</v>
      </c>
      <c r="BH12">
        <v>652</v>
      </c>
      <c r="BJ12" t="s">
        <v>561</v>
      </c>
      <c r="BK12" t="s">
        <v>395</v>
      </c>
      <c r="BL12">
        <v>5836</v>
      </c>
      <c r="BM12">
        <v>1315</v>
      </c>
      <c r="BN12">
        <v>93.433002056199996</v>
      </c>
      <c r="BO12">
        <v>16516</v>
      </c>
      <c r="BP12">
        <v>167</v>
      </c>
      <c r="BQ12">
        <v>184.8002542989</v>
      </c>
      <c r="BR12">
        <v>161.39520958080001</v>
      </c>
      <c r="BS12">
        <v>5304</v>
      </c>
      <c r="BT12">
        <v>783</v>
      </c>
      <c r="BU12">
        <v>77.440610859700001</v>
      </c>
      <c r="BV12">
        <v>12623</v>
      </c>
      <c r="BW12">
        <v>125</v>
      </c>
      <c r="BX12">
        <v>179.00752594470001</v>
      </c>
      <c r="BY12">
        <v>137.38399999999999</v>
      </c>
      <c r="CA12" t="s">
        <v>422</v>
      </c>
      <c r="CB12" t="s">
        <v>777</v>
      </c>
      <c r="CC12" t="s">
        <v>1011</v>
      </c>
      <c r="CD12">
        <v>6951</v>
      </c>
      <c r="CE12">
        <v>1503</v>
      </c>
      <c r="CF12">
        <v>88.259531002700001</v>
      </c>
      <c r="CG12">
        <v>23043</v>
      </c>
      <c r="CH12">
        <v>271</v>
      </c>
      <c r="CI12">
        <v>156.12654602270001</v>
      </c>
      <c r="CJ12">
        <v>139.5350553506</v>
      </c>
      <c r="CL12" t="s">
        <v>422</v>
      </c>
      <c r="CM12" t="s">
        <v>758</v>
      </c>
      <c r="CN12" t="s">
        <v>763</v>
      </c>
      <c r="CO12">
        <v>402</v>
      </c>
      <c r="CP12">
        <v>28</v>
      </c>
      <c r="CQ12">
        <v>56.574626865699997</v>
      </c>
      <c r="CR12">
        <v>2829</v>
      </c>
      <c r="CS12">
        <v>53</v>
      </c>
      <c r="CT12">
        <v>60.937787204000003</v>
      </c>
      <c r="CU12">
        <v>57.132075471699999</v>
      </c>
      <c r="CW12" t="s">
        <v>422</v>
      </c>
      <c r="CX12" t="s">
        <v>768</v>
      </c>
      <c r="CY12" t="s">
        <v>773</v>
      </c>
      <c r="CZ12">
        <v>119</v>
      </c>
      <c r="DA12">
        <v>17</v>
      </c>
      <c r="DB12">
        <v>62.436974789899999</v>
      </c>
      <c r="DC12">
        <v>399</v>
      </c>
      <c r="DD12">
        <v>2</v>
      </c>
      <c r="DE12">
        <v>124.8120300752</v>
      </c>
      <c r="DF12">
        <v>121</v>
      </c>
      <c r="DH12" t="s">
        <v>422</v>
      </c>
      <c r="DI12" t="s">
        <v>748</v>
      </c>
      <c r="DJ12" t="s">
        <v>753</v>
      </c>
      <c r="DK12">
        <v>204</v>
      </c>
      <c r="DL12">
        <v>18</v>
      </c>
      <c r="DM12">
        <v>53.348039215699998</v>
      </c>
      <c r="DN12">
        <v>717</v>
      </c>
      <c r="DO12">
        <v>10</v>
      </c>
      <c r="DP12">
        <v>157.6959553696</v>
      </c>
      <c r="DQ12">
        <v>160.80000000000001</v>
      </c>
    </row>
    <row r="13" spans="2:121" x14ac:dyDescent="0.2">
      <c r="B13" t="s">
        <v>117</v>
      </c>
      <c r="C13">
        <v>5921</v>
      </c>
      <c r="D13">
        <v>242</v>
      </c>
      <c r="F13" t="s">
        <v>37</v>
      </c>
      <c r="G13">
        <v>334</v>
      </c>
      <c r="H13">
        <v>77.760479041899998</v>
      </c>
      <c r="I13">
        <v>1478</v>
      </c>
      <c r="J13">
        <v>339</v>
      </c>
      <c r="K13">
        <v>764</v>
      </c>
      <c r="L13">
        <v>91</v>
      </c>
      <c r="M13">
        <v>94</v>
      </c>
      <c r="N13">
        <v>16</v>
      </c>
      <c r="O13">
        <v>101</v>
      </c>
      <c r="P13">
        <v>39</v>
      </c>
      <c r="Q13">
        <v>0</v>
      </c>
      <c r="R13">
        <v>11</v>
      </c>
      <c r="T13" t="s">
        <v>395</v>
      </c>
      <c r="U13">
        <v>59979</v>
      </c>
      <c r="V13">
        <v>319.91940512510001</v>
      </c>
      <c r="W13">
        <v>68305</v>
      </c>
      <c r="X13">
        <v>18249</v>
      </c>
      <c r="Y13">
        <v>93668</v>
      </c>
      <c r="Z13">
        <v>49194</v>
      </c>
      <c r="AA13">
        <v>14422</v>
      </c>
      <c r="AB13">
        <v>9874</v>
      </c>
      <c r="AC13">
        <v>21495</v>
      </c>
      <c r="AD13">
        <v>14970</v>
      </c>
      <c r="AE13">
        <v>113</v>
      </c>
      <c r="AF13">
        <v>1250</v>
      </c>
      <c r="AH13" t="s">
        <v>391</v>
      </c>
      <c r="AI13">
        <v>16273</v>
      </c>
      <c r="AJ13">
        <v>353.04049652800001</v>
      </c>
      <c r="AK13">
        <v>17865</v>
      </c>
      <c r="AL13">
        <v>4500</v>
      </c>
      <c r="AM13">
        <v>24313</v>
      </c>
      <c r="AN13">
        <v>15232</v>
      </c>
      <c r="AO13">
        <v>5583</v>
      </c>
      <c r="AP13">
        <v>4504</v>
      </c>
      <c r="AQ13">
        <v>18368</v>
      </c>
      <c r="AR13">
        <v>9034</v>
      </c>
      <c r="AS13">
        <v>723</v>
      </c>
      <c r="AT13">
        <v>41</v>
      </c>
      <c r="AV13" t="s">
        <v>397</v>
      </c>
      <c r="AW13">
        <v>277</v>
      </c>
      <c r="AX13">
        <v>66.086642599300006</v>
      </c>
      <c r="AY13">
        <v>355</v>
      </c>
      <c r="AZ13">
        <v>25</v>
      </c>
      <c r="BA13">
        <v>451</v>
      </c>
      <c r="BB13">
        <v>52</v>
      </c>
      <c r="BC13">
        <v>5</v>
      </c>
      <c r="BD13">
        <v>5</v>
      </c>
      <c r="BE13">
        <v>29</v>
      </c>
      <c r="BF13">
        <v>12</v>
      </c>
      <c r="BG13">
        <v>233</v>
      </c>
      <c r="BH13">
        <v>35</v>
      </c>
      <c r="BJ13" t="s">
        <v>598</v>
      </c>
      <c r="BK13" t="s">
        <v>395</v>
      </c>
      <c r="BL13">
        <v>1826</v>
      </c>
      <c r="BM13">
        <v>417</v>
      </c>
      <c r="BN13">
        <v>91.277656078899994</v>
      </c>
      <c r="BO13">
        <v>5277</v>
      </c>
      <c r="BP13">
        <v>64</v>
      </c>
      <c r="BQ13">
        <v>147.3424294106</v>
      </c>
      <c r="BR13">
        <v>129.6875</v>
      </c>
      <c r="BS13">
        <v>4003</v>
      </c>
      <c r="BT13">
        <v>1407</v>
      </c>
      <c r="BU13">
        <v>124.18411191609999</v>
      </c>
      <c r="BV13">
        <v>11795</v>
      </c>
      <c r="BW13">
        <v>126</v>
      </c>
      <c r="BX13">
        <v>179.26061890630001</v>
      </c>
      <c r="BY13">
        <v>165.46825396829999</v>
      </c>
      <c r="CA13" t="s">
        <v>420</v>
      </c>
      <c r="CB13" t="s">
        <v>777</v>
      </c>
      <c r="CC13" t="s">
        <v>1012</v>
      </c>
      <c r="CD13">
        <v>36185</v>
      </c>
      <c r="CE13">
        <v>9874</v>
      </c>
      <c r="CF13">
        <v>108.32173552579999</v>
      </c>
      <c r="CG13">
        <v>110913</v>
      </c>
      <c r="CH13">
        <v>1353</v>
      </c>
      <c r="CI13">
        <v>189.85307403100001</v>
      </c>
      <c r="CJ13">
        <v>166.2705099778</v>
      </c>
      <c r="CL13" t="s">
        <v>420</v>
      </c>
      <c r="CM13" t="s">
        <v>758</v>
      </c>
      <c r="CN13" t="s">
        <v>764</v>
      </c>
      <c r="CO13">
        <v>1766</v>
      </c>
      <c r="CP13">
        <v>137</v>
      </c>
      <c r="CQ13">
        <v>55.206681766700001</v>
      </c>
      <c r="CR13">
        <v>11501</v>
      </c>
      <c r="CS13">
        <v>187</v>
      </c>
      <c r="CT13">
        <v>62.228588818399999</v>
      </c>
      <c r="CU13">
        <v>58.8395721925</v>
      </c>
      <c r="CW13" t="s">
        <v>420</v>
      </c>
      <c r="CX13" t="s">
        <v>768</v>
      </c>
      <c r="CY13" t="s">
        <v>774</v>
      </c>
      <c r="CZ13">
        <v>972</v>
      </c>
      <c r="DA13">
        <v>130</v>
      </c>
      <c r="DB13">
        <v>62.846707818900001</v>
      </c>
      <c r="DC13">
        <v>2713</v>
      </c>
      <c r="DD13">
        <v>36</v>
      </c>
      <c r="DE13">
        <v>134.46479911540001</v>
      </c>
      <c r="DF13">
        <v>118.4722222222</v>
      </c>
      <c r="DH13" t="s">
        <v>420</v>
      </c>
      <c r="DI13" t="s">
        <v>748</v>
      </c>
      <c r="DJ13" t="s">
        <v>754</v>
      </c>
      <c r="DK13">
        <v>1037</v>
      </c>
      <c r="DL13">
        <v>133</v>
      </c>
      <c r="DM13">
        <v>63.267116682699999</v>
      </c>
      <c r="DN13">
        <v>3148</v>
      </c>
      <c r="DO13">
        <v>33</v>
      </c>
      <c r="DP13">
        <v>164.09085133420001</v>
      </c>
      <c r="DQ13">
        <v>141.0909090909</v>
      </c>
    </row>
    <row r="14" spans="2:121" x14ac:dyDescent="0.2">
      <c r="B14" t="s">
        <v>134</v>
      </c>
      <c r="C14">
        <v>956</v>
      </c>
      <c r="D14">
        <v>94</v>
      </c>
      <c r="F14" t="s">
        <v>41</v>
      </c>
      <c r="G14">
        <v>7281</v>
      </c>
      <c r="H14">
        <v>524.52424117570001</v>
      </c>
      <c r="I14">
        <v>8107</v>
      </c>
      <c r="J14">
        <v>2061</v>
      </c>
      <c r="K14">
        <v>9585</v>
      </c>
      <c r="L14">
        <v>7578</v>
      </c>
      <c r="M14">
        <v>1519</v>
      </c>
      <c r="N14">
        <v>1438</v>
      </c>
      <c r="O14">
        <v>6751</v>
      </c>
      <c r="P14">
        <v>4041</v>
      </c>
      <c r="Q14">
        <v>14</v>
      </c>
      <c r="R14">
        <v>339</v>
      </c>
      <c r="T14" t="s">
        <v>400</v>
      </c>
      <c r="U14">
        <v>50064</v>
      </c>
      <c r="V14">
        <v>382.49526605940002</v>
      </c>
      <c r="W14">
        <v>56248</v>
      </c>
      <c r="X14">
        <v>13460</v>
      </c>
      <c r="Y14">
        <v>80369</v>
      </c>
      <c r="Z14">
        <v>41766</v>
      </c>
      <c r="AA14">
        <v>9787</v>
      </c>
      <c r="AB14">
        <v>8075</v>
      </c>
      <c r="AC14">
        <v>22543</v>
      </c>
      <c r="AD14">
        <v>16288</v>
      </c>
      <c r="AE14">
        <v>156</v>
      </c>
      <c r="AF14">
        <v>1174</v>
      </c>
      <c r="AH14" t="s">
        <v>438</v>
      </c>
      <c r="AI14">
        <v>1889</v>
      </c>
      <c r="AJ14">
        <v>265.90365272629998</v>
      </c>
      <c r="AK14">
        <v>2097</v>
      </c>
      <c r="AL14">
        <v>432</v>
      </c>
      <c r="AM14">
        <v>2638</v>
      </c>
      <c r="AN14">
        <v>1454</v>
      </c>
      <c r="AO14">
        <v>388</v>
      </c>
      <c r="AP14">
        <v>305</v>
      </c>
      <c r="AQ14">
        <v>304</v>
      </c>
      <c r="AR14">
        <v>181</v>
      </c>
      <c r="AS14">
        <v>6</v>
      </c>
      <c r="AT14">
        <v>2</v>
      </c>
      <c r="AV14" t="s">
        <v>403</v>
      </c>
      <c r="AW14">
        <v>185</v>
      </c>
      <c r="AX14">
        <v>75.994594594600002</v>
      </c>
      <c r="AY14">
        <v>341</v>
      </c>
      <c r="AZ14">
        <v>27</v>
      </c>
      <c r="BA14">
        <v>364</v>
      </c>
      <c r="BB14">
        <v>46</v>
      </c>
      <c r="BC14">
        <v>6</v>
      </c>
      <c r="BD14">
        <v>6</v>
      </c>
      <c r="BE14">
        <v>47</v>
      </c>
      <c r="BF14">
        <v>9</v>
      </c>
      <c r="BG14">
        <v>345</v>
      </c>
      <c r="BH14">
        <v>34</v>
      </c>
      <c r="BJ14" t="s">
        <v>615</v>
      </c>
      <c r="BK14" t="s">
        <v>395</v>
      </c>
      <c r="BL14">
        <v>17490</v>
      </c>
      <c r="BM14">
        <v>4542</v>
      </c>
      <c r="BN14">
        <v>102.9402515723</v>
      </c>
      <c r="BO14">
        <v>53967</v>
      </c>
      <c r="BP14">
        <v>732</v>
      </c>
      <c r="BQ14">
        <v>188.06172290469999</v>
      </c>
      <c r="BR14">
        <v>161.43306010929999</v>
      </c>
      <c r="BS14">
        <v>16854</v>
      </c>
      <c r="BT14">
        <v>4364</v>
      </c>
      <c r="BU14">
        <v>101.96416281</v>
      </c>
      <c r="BV14">
        <v>53431</v>
      </c>
      <c r="BW14">
        <v>719</v>
      </c>
      <c r="BX14">
        <v>190.16380004120001</v>
      </c>
      <c r="BY14">
        <v>161.3198887344</v>
      </c>
      <c r="CA14" t="s">
        <v>416</v>
      </c>
      <c r="CB14" t="s">
        <v>777</v>
      </c>
      <c r="CC14" t="s">
        <v>1013</v>
      </c>
      <c r="CD14">
        <v>1766</v>
      </c>
      <c r="CE14">
        <v>430</v>
      </c>
      <c r="CF14">
        <v>95.532842582100002</v>
      </c>
      <c r="CG14">
        <v>5224</v>
      </c>
      <c r="CH14">
        <v>65</v>
      </c>
      <c r="CI14">
        <v>147.07982388970001</v>
      </c>
      <c r="CJ14">
        <v>130.96923076920001</v>
      </c>
      <c r="CL14" t="s">
        <v>416</v>
      </c>
      <c r="CM14" t="s">
        <v>758</v>
      </c>
      <c r="CN14" t="s">
        <v>765</v>
      </c>
      <c r="CO14">
        <v>157</v>
      </c>
      <c r="CP14">
        <v>10</v>
      </c>
      <c r="CQ14">
        <v>49.878980891700003</v>
      </c>
      <c r="CR14">
        <v>1128</v>
      </c>
      <c r="CS14">
        <v>10</v>
      </c>
      <c r="CT14">
        <v>65.670212766000006</v>
      </c>
      <c r="CU14">
        <v>67.5</v>
      </c>
      <c r="CW14" t="s">
        <v>416</v>
      </c>
      <c r="CX14" t="s">
        <v>768</v>
      </c>
      <c r="CY14" t="s">
        <v>775</v>
      </c>
      <c r="CZ14">
        <v>64</v>
      </c>
      <c r="DA14">
        <v>12</v>
      </c>
      <c r="DB14">
        <v>70.78125</v>
      </c>
      <c r="DC14">
        <v>208</v>
      </c>
      <c r="DD14">
        <v>3</v>
      </c>
      <c r="DE14">
        <v>130.9134615385</v>
      </c>
      <c r="DF14">
        <v>65.333333333300004</v>
      </c>
      <c r="DH14" t="s">
        <v>416</v>
      </c>
      <c r="DI14" t="s">
        <v>748</v>
      </c>
      <c r="DJ14" t="s">
        <v>755</v>
      </c>
      <c r="DK14">
        <v>78</v>
      </c>
      <c r="DL14">
        <v>6</v>
      </c>
      <c r="DM14">
        <v>52.307692307700002</v>
      </c>
      <c r="DN14">
        <v>199</v>
      </c>
      <c r="DO14">
        <v>4</v>
      </c>
      <c r="DP14">
        <v>158.55778894470001</v>
      </c>
      <c r="DQ14">
        <v>106.25</v>
      </c>
    </row>
    <row r="15" spans="2:121" x14ac:dyDescent="0.2">
      <c r="B15" t="s">
        <v>124</v>
      </c>
      <c r="C15">
        <v>27</v>
      </c>
      <c r="D15">
        <v>6</v>
      </c>
      <c r="F15" t="s">
        <v>39</v>
      </c>
      <c r="G15">
        <v>627</v>
      </c>
      <c r="H15">
        <v>247.6012759171</v>
      </c>
      <c r="I15">
        <v>846</v>
      </c>
      <c r="J15">
        <v>169</v>
      </c>
      <c r="K15">
        <v>922</v>
      </c>
      <c r="L15">
        <v>406</v>
      </c>
      <c r="M15">
        <v>89</v>
      </c>
      <c r="N15">
        <v>75</v>
      </c>
      <c r="O15">
        <v>124</v>
      </c>
      <c r="P15">
        <v>34</v>
      </c>
      <c r="Q15">
        <v>17</v>
      </c>
      <c r="R15">
        <v>7</v>
      </c>
      <c r="T15" t="s">
        <v>379</v>
      </c>
      <c r="U15">
        <v>107158</v>
      </c>
      <c r="V15">
        <v>425.11539969019998</v>
      </c>
      <c r="W15">
        <v>80490</v>
      </c>
      <c r="X15">
        <v>21180</v>
      </c>
      <c r="Y15">
        <v>137839</v>
      </c>
      <c r="Z15">
        <v>96921</v>
      </c>
      <c r="AA15">
        <v>22527</v>
      </c>
      <c r="AB15">
        <v>17063</v>
      </c>
      <c r="AC15">
        <v>36040</v>
      </c>
      <c r="AD15">
        <v>25097</v>
      </c>
      <c r="AE15">
        <v>8847</v>
      </c>
      <c r="AF15">
        <v>105</v>
      </c>
      <c r="AH15" t="s">
        <v>418</v>
      </c>
      <c r="AI15">
        <v>936</v>
      </c>
      <c r="AJ15">
        <v>257.71688034189998</v>
      </c>
      <c r="AK15">
        <v>1656</v>
      </c>
      <c r="AL15">
        <v>377</v>
      </c>
      <c r="AM15">
        <v>1573</v>
      </c>
      <c r="AN15">
        <v>633</v>
      </c>
      <c r="AO15">
        <v>195</v>
      </c>
      <c r="AP15">
        <v>105</v>
      </c>
      <c r="AQ15">
        <v>282</v>
      </c>
      <c r="AR15">
        <v>134</v>
      </c>
      <c r="AS15">
        <v>2</v>
      </c>
      <c r="AT15">
        <v>12</v>
      </c>
      <c r="AV15" t="s">
        <v>422</v>
      </c>
      <c r="AW15">
        <v>97</v>
      </c>
      <c r="AX15">
        <v>39.072164948500003</v>
      </c>
      <c r="AY15">
        <v>234</v>
      </c>
      <c r="AZ15">
        <v>9</v>
      </c>
      <c r="BA15">
        <v>181</v>
      </c>
      <c r="BB15">
        <v>9</v>
      </c>
      <c r="BC15">
        <v>2</v>
      </c>
      <c r="BD15">
        <v>2</v>
      </c>
      <c r="BE15">
        <v>14</v>
      </c>
      <c r="BF15">
        <v>4</v>
      </c>
      <c r="BG15">
        <v>366</v>
      </c>
      <c r="BH15">
        <v>63</v>
      </c>
      <c r="BJ15" t="s">
        <v>577</v>
      </c>
      <c r="BK15" t="s">
        <v>400</v>
      </c>
      <c r="BL15">
        <v>6779</v>
      </c>
      <c r="BM15">
        <v>2024</v>
      </c>
      <c r="BN15">
        <v>118.31759846590001</v>
      </c>
      <c r="BO15">
        <v>22647</v>
      </c>
      <c r="BP15">
        <v>237</v>
      </c>
      <c r="BQ15">
        <v>228.1925199806</v>
      </c>
      <c r="BR15">
        <v>175.9324894515</v>
      </c>
      <c r="BS15">
        <v>4527</v>
      </c>
      <c r="BT15">
        <v>1140</v>
      </c>
      <c r="BU15">
        <v>104.34172741330001</v>
      </c>
      <c r="BV15">
        <v>14567</v>
      </c>
      <c r="BW15">
        <v>138</v>
      </c>
      <c r="BX15">
        <v>242.43063087799999</v>
      </c>
      <c r="BY15">
        <v>153.30434782610001</v>
      </c>
      <c r="CA15" t="s">
        <v>431</v>
      </c>
      <c r="CB15" t="s">
        <v>777</v>
      </c>
      <c r="CC15" t="s">
        <v>1014</v>
      </c>
      <c r="CD15">
        <v>927</v>
      </c>
      <c r="CE15">
        <v>208</v>
      </c>
      <c r="CF15">
        <v>92.188781014</v>
      </c>
      <c r="CG15">
        <v>2889</v>
      </c>
      <c r="CH15">
        <v>30</v>
      </c>
      <c r="CI15">
        <v>137.42056074769999</v>
      </c>
      <c r="CJ15">
        <v>147.8333333333</v>
      </c>
      <c r="CL15" t="s">
        <v>431</v>
      </c>
      <c r="CM15" t="s">
        <v>758</v>
      </c>
      <c r="CN15" t="s">
        <v>766</v>
      </c>
      <c r="CO15">
        <v>31</v>
      </c>
      <c r="CP15">
        <v>2</v>
      </c>
      <c r="CQ15">
        <v>53.5161290323</v>
      </c>
      <c r="CR15">
        <v>278</v>
      </c>
      <c r="CS15">
        <v>10</v>
      </c>
      <c r="CT15">
        <v>66.899280575500001</v>
      </c>
      <c r="CU15">
        <v>42.7</v>
      </c>
      <c r="CW15" t="s">
        <v>431</v>
      </c>
      <c r="CX15" t="s">
        <v>768</v>
      </c>
      <c r="CY15" t="s">
        <v>776</v>
      </c>
      <c r="CZ15">
        <v>18</v>
      </c>
      <c r="DA15">
        <v>3</v>
      </c>
      <c r="DB15">
        <v>64.277777777799997</v>
      </c>
      <c r="DC15">
        <v>34</v>
      </c>
      <c r="DD15">
        <v>0</v>
      </c>
      <c r="DE15">
        <v>128.4705882353</v>
      </c>
      <c r="DF15">
        <v>0</v>
      </c>
      <c r="DH15" t="s">
        <v>431</v>
      </c>
      <c r="DI15" t="s">
        <v>748</v>
      </c>
      <c r="DJ15" t="s">
        <v>756</v>
      </c>
      <c r="DK15">
        <v>13</v>
      </c>
      <c r="DL15">
        <v>2</v>
      </c>
      <c r="DM15">
        <v>58</v>
      </c>
      <c r="DN15">
        <v>51</v>
      </c>
      <c r="DO15">
        <v>2</v>
      </c>
      <c r="DP15">
        <v>127</v>
      </c>
      <c r="DQ15">
        <v>67</v>
      </c>
    </row>
    <row r="16" spans="2:121" x14ac:dyDescent="0.2">
      <c r="B16" t="s">
        <v>988</v>
      </c>
      <c r="C16">
        <v>5</v>
      </c>
      <c r="F16" t="s">
        <v>64</v>
      </c>
      <c r="G16">
        <v>1092</v>
      </c>
      <c r="H16">
        <v>76.926739926699994</v>
      </c>
      <c r="I16">
        <v>2622</v>
      </c>
      <c r="J16">
        <v>635</v>
      </c>
      <c r="K16">
        <v>2007</v>
      </c>
      <c r="L16">
        <v>440</v>
      </c>
      <c r="M16">
        <v>765</v>
      </c>
      <c r="N16">
        <v>252</v>
      </c>
      <c r="O16">
        <v>2676</v>
      </c>
      <c r="P16">
        <v>1419</v>
      </c>
      <c r="Q16">
        <v>0</v>
      </c>
      <c r="R16">
        <v>1</v>
      </c>
      <c r="T16" t="s">
        <v>8</v>
      </c>
      <c r="U16">
        <v>48</v>
      </c>
      <c r="V16">
        <v>832.20833333329995</v>
      </c>
      <c r="W16">
        <v>1</v>
      </c>
      <c r="Y16">
        <v>49</v>
      </c>
      <c r="Z16">
        <v>49</v>
      </c>
      <c r="AA16">
        <v>2</v>
      </c>
      <c r="AB16">
        <v>1</v>
      </c>
      <c r="AC16">
        <v>19884</v>
      </c>
      <c r="AD16">
        <v>6239</v>
      </c>
      <c r="AE16">
        <v>0</v>
      </c>
      <c r="AF16">
        <v>0</v>
      </c>
      <c r="AH16" t="s">
        <v>404</v>
      </c>
      <c r="AI16">
        <v>7753</v>
      </c>
      <c r="AJ16">
        <v>478.13310976399998</v>
      </c>
      <c r="AK16">
        <v>7567</v>
      </c>
      <c r="AL16">
        <v>2180</v>
      </c>
      <c r="AM16">
        <v>10522</v>
      </c>
      <c r="AN16">
        <v>6969</v>
      </c>
      <c r="AO16">
        <v>1502</v>
      </c>
      <c r="AP16">
        <v>1375</v>
      </c>
      <c r="AQ16">
        <v>2703</v>
      </c>
      <c r="AR16">
        <v>1905</v>
      </c>
      <c r="AS16">
        <v>21</v>
      </c>
      <c r="AT16">
        <v>282</v>
      </c>
      <c r="AV16" t="s">
        <v>385</v>
      </c>
      <c r="AW16">
        <v>1479</v>
      </c>
      <c r="AX16">
        <v>95.475321162900002</v>
      </c>
      <c r="AY16">
        <v>1823</v>
      </c>
      <c r="AZ16">
        <v>480</v>
      </c>
      <c r="BA16">
        <v>2383</v>
      </c>
      <c r="BB16">
        <v>659</v>
      </c>
      <c r="BC16">
        <v>51</v>
      </c>
      <c r="BD16">
        <v>49</v>
      </c>
      <c r="BE16">
        <v>464</v>
      </c>
      <c r="BF16">
        <v>88</v>
      </c>
      <c r="BG16">
        <v>120</v>
      </c>
      <c r="BH16">
        <v>412</v>
      </c>
      <c r="BJ16" t="s">
        <v>569</v>
      </c>
      <c r="BK16" t="s">
        <v>400</v>
      </c>
      <c r="BL16">
        <v>8279</v>
      </c>
      <c r="BM16">
        <v>2120</v>
      </c>
      <c r="BN16">
        <v>103.2249063897</v>
      </c>
      <c r="BO16">
        <v>28030</v>
      </c>
      <c r="BP16">
        <v>443</v>
      </c>
      <c r="BQ16">
        <v>161.94891188010001</v>
      </c>
      <c r="BR16">
        <v>133.49661399550001</v>
      </c>
      <c r="BS16">
        <v>9599</v>
      </c>
      <c r="BT16">
        <v>3347</v>
      </c>
      <c r="BU16">
        <v>125.15251588709999</v>
      </c>
      <c r="BV16">
        <v>36126</v>
      </c>
      <c r="BW16">
        <v>554</v>
      </c>
      <c r="BX16">
        <v>178.62614183689999</v>
      </c>
      <c r="BY16">
        <v>158.45848375450001</v>
      </c>
      <c r="CA16" t="s">
        <v>395</v>
      </c>
      <c r="CB16" t="s">
        <v>777</v>
      </c>
      <c r="CD16">
        <v>67415</v>
      </c>
      <c r="CE16">
        <v>17557</v>
      </c>
      <c r="CF16">
        <v>104.2560409404</v>
      </c>
      <c r="CG16">
        <v>213242</v>
      </c>
      <c r="CH16">
        <v>2513</v>
      </c>
      <c r="CI16">
        <v>182.83761641699999</v>
      </c>
      <c r="CJ16">
        <v>157.8595304417</v>
      </c>
      <c r="CL16" t="s">
        <v>395</v>
      </c>
      <c r="CM16" t="s">
        <v>758</v>
      </c>
      <c r="CO16">
        <v>3547</v>
      </c>
      <c r="CP16">
        <v>298</v>
      </c>
      <c r="CQ16">
        <v>56.508598815900001</v>
      </c>
      <c r="CR16">
        <v>25034</v>
      </c>
      <c r="CS16">
        <v>391</v>
      </c>
      <c r="CT16">
        <v>59.778780857999998</v>
      </c>
      <c r="CU16">
        <v>58.526854219900002</v>
      </c>
      <c r="CW16" t="s">
        <v>395</v>
      </c>
      <c r="CX16" t="s">
        <v>768</v>
      </c>
      <c r="CZ16">
        <v>1601</v>
      </c>
      <c r="DA16">
        <v>236</v>
      </c>
      <c r="DB16">
        <v>64.660836976900001</v>
      </c>
      <c r="DC16">
        <v>4727</v>
      </c>
      <c r="DD16">
        <v>52</v>
      </c>
      <c r="DE16">
        <v>131.73746562299999</v>
      </c>
      <c r="DF16">
        <v>113</v>
      </c>
      <c r="DH16" t="s">
        <v>395</v>
      </c>
      <c r="DI16" t="s">
        <v>748</v>
      </c>
      <c r="DK16">
        <v>2002</v>
      </c>
      <c r="DL16">
        <v>211</v>
      </c>
      <c r="DM16">
        <v>58.464035963999997</v>
      </c>
      <c r="DN16">
        <v>6059</v>
      </c>
      <c r="DO16">
        <v>61</v>
      </c>
      <c r="DP16">
        <v>158.9296913682</v>
      </c>
      <c r="DQ16">
        <v>129.68852459019999</v>
      </c>
    </row>
    <row r="17" spans="2:121" x14ac:dyDescent="0.2">
      <c r="B17" t="s">
        <v>97</v>
      </c>
      <c r="C17">
        <v>29</v>
      </c>
      <c r="D17">
        <v>5</v>
      </c>
      <c r="F17" t="s">
        <v>86</v>
      </c>
      <c r="G17">
        <v>16436</v>
      </c>
      <c r="H17">
        <v>301.777013872</v>
      </c>
      <c r="I17">
        <v>24305</v>
      </c>
      <c r="J17">
        <v>6177</v>
      </c>
      <c r="K17">
        <v>26605</v>
      </c>
      <c r="L17">
        <v>14205</v>
      </c>
      <c r="M17">
        <v>4571</v>
      </c>
      <c r="N17">
        <v>4072</v>
      </c>
      <c r="O17">
        <v>6826</v>
      </c>
      <c r="P17">
        <v>4134</v>
      </c>
      <c r="Q17">
        <v>0</v>
      </c>
      <c r="R17">
        <v>23</v>
      </c>
      <c r="T17" t="s">
        <v>414</v>
      </c>
      <c r="U17">
        <v>64292</v>
      </c>
      <c r="V17">
        <v>364.23121072610002</v>
      </c>
      <c r="W17">
        <v>62571</v>
      </c>
      <c r="X17">
        <v>16192</v>
      </c>
      <c r="Y17">
        <v>89113</v>
      </c>
      <c r="Z17">
        <v>54401</v>
      </c>
      <c r="AA17">
        <v>19204</v>
      </c>
      <c r="AB17">
        <v>15642</v>
      </c>
      <c r="AC17">
        <v>23359</v>
      </c>
      <c r="AD17">
        <v>16867</v>
      </c>
      <c r="AE17">
        <v>345</v>
      </c>
      <c r="AF17">
        <v>730</v>
      </c>
      <c r="AH17" t="s">
        <v>402</v>
      </c>
      <c r="AI17">
        <v>8407</v>
      </c>
      <c r="AJ17">
        <v>658.14024027599999</v>
      </c>
      <c r="AK17">
        <v>5215</v>
      </c>
      <c r="AL17">
        <v>1191</v>
      </c>
      <c r="AM17">
        <v>11267</v>
      </c>
      <c r="AN17">
        <v>8017</v>
      </c>
      <c r="AO17">
        <v>1182</v>
      </c>
      <c r="AP17">
        <v>977</v>
      </c>
      <c r="AQ17">
        <v>2217</v>
      </c>
      <c r="AR17">
        <v>1488</v>
      </c>
      <c r="AS17">
        <v>19</v>
      </c>
      <c r="AT17">
        <v>202</v>
      </c>
      <c r="AV17" t="s">
        <v>438</v>
      </c>
      <c r="AW17">
        <v>16</v>
      </c>
      <c r="AX17">
        <v>47.375</v>
      </c>
      <c r="AY17">
        <v>34</v>
      </c>
      <c r="AZ17">
        <v>2</v>
      </c>
      <c r="BA17">
        <v>27</v>
      </c>
      <c r="BB17">
        <v>3</v>
      </c>
      <c r="BC17">
        <v>3</v>
      </c>
      <c r="BD17">
        <v>2</v>
      </c>
      <c r="BE17">
        <v>2</v>
      </c>
      <c r="BG17">
        <v>44</v>
      </c>
      <c r="BH17">
        <v>6</v>
      </c>
      <c r="BJ17" t="s">
        <v>586</v>
      </c>
      <c r="BK17" t="s">
        <v>400</v>
      </c>
      <c r="BL17">
        <v>2298</v>
      </c>
      <c r="BM17">
        <v>544</v>
      </c>
      <c r="BN17">
        <v>87.8555265448</v>
      </c>
      <c r="BO17">
        <v>8070</v>
      </c>
      <c r="BP17">
        <v>76</v>
      </c>
      <c r="BQ17">
        <v>147.47422552660001</v>
      </c>
      <c r="BR17">
        <v>115.8421052632</v>
      </c>
      <c r="BS17">
        <v>2788</v>
      </c>
      <c r="BT17">
        <v>977</v>
      </c>
      <c r="BU17">
        <v>115.68507890959999</v>
      </c>
      <c r="BV17">
        <v>11376</v>
      </c>
      <c r="BW17">
        <v>102</v>
      </c>
      <c r="BX17">
        <v>177.9449718706</v>
      </c>
      <c r="BY17">
        <v>152.2156862745</v>
      </c>
      <c r="CA17" t="s">
        <v>404</v>
      </c>
      <c r="CB17" t="s">
        <v>817</v>
      </c>
      <c r="CC17" t="s">
        <v>1015</v>
      </c>
      <c r="CD17">
        <v>7097</v>
      </c>
      <c r="CE17">
        <v>2128</v>
      </c>
      <c r="CF17">
        <v>119.4662533465</v>
      </c>
      <c r="CG17">
        <v>23574</v>
      </c>
      <c r="CH17">
        <v>257</v>
      </c>
      <c r="CI17">
        <v>219.30847543900001</v>
      </c>
      <c r="CJ17">
        <v>174.93774319069999</v>
      </c>
      <c r="CL17" t="s">
        <v>404</v>
      </c>
      <c r="CM17" t="s">
        <v>792</v>
      </c>
      <c r="CN17" t="s">
        <v>791</v>
      </c>
      <c r="CO17">
        <v>633</v>
      </c>
      <c r="CP17">
        <v>58</v>
      </c>
      <c r="CQ17">
        <v>56.025276461300002</v>
      </c>
      <c r="CR17">
        <v>4294</v>
      </c>
      <c r="CS17">
        <v>41</v>
      </c>
      <c r="CT17">
        <v>51.4557522124</v>
      </c>
      <c r="CU17">
        <v>62.634146341499999</v>
      </c>
      <c r="CW17" t="s">
        <v>404</v>
      </c>
      <c r="CX17" t="s">
        <v>805</v>
      </c>
      <c r="CY17" t="s">
        <v>804</v>
      </c>
      <c r="CZ17">
        <v>193</v>
      </c>
      <c r="DA17">
        <v>32</v>
      </c>
      <c r="DB17">
        <v>69.2797927461</v>
      </c>
      <c r="DC17">
        <v>571</v>
      </c>
      <c r="DD17">
        <v>7</v>
      </c>
      <c r="DE17">
        <v>136.75306479860001</v>
      </c>
      <c r="DF17">
        <v>77.428571428599994</v>
      </c>
      <c r="DH17" t="s">
        <v>404</v>
      </c>
      <c r="DI17" t="s">
        <v>779</v>
      </c>
      <c r="DJ17" t="s">
        <v>778</v>
      </c>
      <c r="DK17">
        <v>193</v>
      </c>
      <c r="DL17">
        <v>16</v>
      </c>
      <c r="DM17">
        <v>58.751295336799998</v>
      </c>
      <c r="DN17">
        <v>512</v>
      </c>
      <c r="DO17">
        <v>6</v>
      </c>
      <c r="DP17">
        <v>149.39453125</v>
      </c>
      <c r="DQ17">
        <v>161</v>
      </c>
    </row>
    <row r="18" spans="2:121" x14ac:dyDescent="0.2">
      <c r="B18" t="s">
        <v>125</v>
      </c>
      <c r="C18">
        <v>249</v>
      </c>
      <c r="D18">
        <v>226</v>
      </c>
      <c r="F18" t="s">
        <v>73</v>
      </c>
      <c r="G18">
        <v>8152</v>
      </c>
      <c r="H18">
        <v>205.7268155054</v>
      </c>
      <c r="I18">
        <v>5248</v>
      </c>
      <c r="J18">
        <v>709</v>
      </c>
      <c r="K18">
        <v>17406</v>
      </c>
      <c r="L18">
        <v>6975</v>
      </c>
      <c r="M18">
        <v>1029</v>
      </c>
      <c r="N18">
        <v>456</v>
      </c>
      <c r="O18">
        <v>81</v>
      </c>
      <c r="P18">
        <v>43</v>
      </c>
      <c r="Q18">
        <v>0</v>
      </c>
      <c r="R18">
        <v>5</v>
      </c>
      <c r="T18" t="s">
        <v>390</v>
      </c>
      <c r="U18">
        <v>70003</v>
      </c>
      <c r="V18">
        <v>335.60758824620001</v>
      </c>
      <c r="W18">
        <v>72591</v>
      </c>
      <c r="X18">
        <v>20735</v>
      </c>
      <c r="Y18">
        <v>99468</v>
      </c>
      <c r="Z18">
        <v>61324</v>
      </c>
      <c r="AA18">
        <v>20114</v>
      </c>
      <c r="AB18">
        <v>15648</v>
      </c>
      <c r="AC18">
        <v>38802</v>
      </c>
      <c r="AD18">
        <v>22061</v>
      </c>
      <c r="AE18">
        <v>162</v>
      </c>
      <c r="AF18">
        <v>1173</v>
      </c>
      <c r="AH18" t="s">
        <v>409</v>
      </c>
      <c r="AI18">
        <v>1609</v>
      </c>
      <c r="AJ18">
        <v>183.54878806709999</v>
      </c>
      <c r="AK18">
        <v>2441</v>
      </c>
      <c r="AL18">
        <v>577</v>
      </c>
      <c r="AM18">
        <v>3349</v>
      </c>
      <c r="AN18">
        <v>1183</v>
      </c>
      <c r="AO18">
        <v>274</v>
      </c>
      <c r="AP18">
        <v>218</v>
      </c>
      <c r="AQ18">
        <v>1308</v>
      </c>
      <c r="AR18">
        <v>1053</v>
      </c>
      <c r="AS18">
        <v>0</v>
      </c>
      <c r="AT18">
        <v>14</v>
      </c>
      <c r="AV18" t="s">
        <v>409</v>
      </c>
      <c r="AW18">
        <v>82</v>
      </c>
      <c r="AX18">
        <v>37.402439024400003</v>
      </c>
      <c r="AY18">
        <v>293</v>
      </c>
      <c r="AZ18">
        <v>8</v>
      </c>
      <c r="BA18">
        <v>156</v>
      </c>
      <c r="BB18">
        <v>6</v>
      </c>
      <c r="BC18">
        <v>0</v>
      </c>
      <c r="BE18">
        <v>3</v>
      </c>
      <c r="BG18">
        <v>188</v>
      </c>
      <c r="BH18">
        <v>32</v>
      </c>
      <c r="BJ18" t="s">
        <v>579</v>
      </c>
      <c r="BK18" t="s">
        <v>400</v>
      </c>
      <c r="BL18">
        <v>7397</v>
      </c>
      <c r="BM18">
        <v>2153</v>
      </c>
      <c r="BN18">
        <v>105.7154251724</v>
      </c>
      <c r="BO18">
        <v>23784</v>
      </c>
      <c r="BP18">
        <v>259</v>
      </c>
      <c r="BQ18">
        <v>174.37781701980001</v>
      </c>
      <c r="BR18">
        <v>168.25482625480001</v>
      </c>
      <c r="BS18">
        <v>7316</v>
      </c>
      <c r="BT18">
        <v>2140</v>
      </c>
      <c r="BU18">
        <v>104.5783214872</v>
      </c>
      <c r="BV18">
        <v>25881</v>
      </c>
      <c r="BW18">
        <v>260</v>
      </c>
      <c r="BX18">
        <v>176.23043931839999</v>
      </c>
      <c r="BY18">
        <v>176.3307692308</v>
      </c>
      <c r="CA18" t="s">
        <v>402</v>
      </c>
      <c r="CB18" t="s">
        <v>817</v>
      </c>
      <c r="CC18" t="s">
        <v>1016</v>
      </c>
      <c r="CD18">
        <v>5201</v>
      </c>
      <c r="CE18">
        <v>1216</v>
      </c>
      <c r="CF18">
        <v>98.150547971500004</v>
      </c>
      <c r="CG18">
        <v>21055</v>
      </c>
      <c r="CH18">
        <v>333</v>
      </c>
      <c r="CI18">
        <v>202.97273806699999</v>
      </c>
      <c r="CJ18">
        <v>170.14114114110001</v>
      </c>
      <c r="CL18" t="s">
        <v>402</v>
      </c>
      <c r="CM18" t="s">
        <v>792</v>
      </c>
      <c r="CN18" t="s">
        <v>793</v>
      </c>
      <c r="CO18">
        <v>379</v>
      </c>
      <c r="CP18">
        <v>33</v>
      </c>
      <c r="CQ18">
        <v>56.160949868099998</v>
      </c>
      <c r="CR18">
        <v>2759</v>
      </c>
      <c r="CS18">
        <v>48</v>
      </c>
      <c r="CT18">
        <v>54.521928234900003</v>
      </c>
      <c r="CU18">
        <v>58.791666666700003</v>
      </c>
      <c r="CW18" t="s">
        <v>402</v>
      </c>
      <c r="CX18" t="s">
        <v>805</v>
      </c>
      <c r="CY18" t="s">
        <v>806</v>
      </c>
      <c r="CZ18">
        <v>89</v>
      </c>
      <c r="DA18">
        <v>12</v>
      </c>
      <c r="DB18">
        <v>70.4494382022</v>
      </c>
      <c r="DC18">
        <v>262</v>
      </c>
      <c r="DD18">
        <v>3</v>
      </c>
      <c r="DE18">
        <v>134.58015267179999</v>
      </c>
      <c r="DF18">
        <v>123</v>
      </c>
      <c r="DH18" t="s">
        <v>402</v>
      </c>
      <c r="DI18" t="s">
        <v>779</v>
      </c>
      <c r="DJ18" t="s">
        <v>780</v>
      </c>
      <c r="DK18">
        <v>88</v>
      </c>
      <c r="DL18">
        <v>12</v>
      </c>
      <c r="DM18">
        <v>70.306818181799997</v>
      </c>
      <c r="DN18">
        <v>186</v>
      </c>
      <c r="DO18">
        <v>1</v>
      </c>
      <c r="DP18">
        <v>139.95698924729999</v>
      </c>
      <c r="DQ18">
        <v>168</v>
      </c>
    </row>
    <row r="19" spans="2:121" x14ac:dyDescent="0.2">
      <c r="B19" t="s">
        <v>129</v>
      </c>
      <c r="C19">
        <v>45</v>
      </c>
      <c r="D19">
        <v>27</v>
      </c>
      <c r="F19" t="s">
        <v>71</v>
      </c>
      <c r="G19">
        <v>3616</v>
      </c>
      <c r="H19">
        <v>470.19828539820003</v>
      </c>
      <c r="I19">
        <v>3553</v>
      </c>
      <c r="J19">
        <v>1152</v>
      </c>
      <c r="K19">
        <v>4304</v>
      </c>
      <c r="L19">
        <v>2902</v>
      </c>
      <c r="M19">
        <v>397</v>
      </c>
      <c r="N19">
        <v>356</v>
      </c>
      <c r="O19">
        <v>1204</v>
      </c>
      <c r="P19">
        <v>734</v>
      </c>
      <c r="Q19">
        <v>0</v>
      </c>
      <c r="R19">
        <v>112</v>
      </c>
      <c r="T19" t="s">
        <v>471</v>
      </c>
      <c r="U19">
        <v>351544</v>
      </c>
      <c r="V19">
        <v>372.19478073869999</v>
      </c>
      <c r="W19">
        <v>340206</v>
      </c>
      <c r="X19">
        <v>89816</v>
      </c>
      <c r="Y19">
        <v>500506</v>
      </c>
      <c r="Z19">
        <v>303655</v>
      </c>
      <c r="AA19">
        <v>86056</v>
      </c>
      <c r="AB19">
        <v>66303</v>
      </c>
      <c r="AC19">
        <v>162123</v>
      </c>
      <c r="AD19">
        <v>101522</v>
      </c>
      <c r="AE19">
        <v>9623</v>
      </c>
      <c r="AF19">
        <v>4432</v>
      </c>
      <c r="AH19" t="s">
        <v>432</v>
      </c>
      <c r="AI19">
        <v>2144</v>
      </c>
      <c r="AJ19">
        <v>234.85354477609999</v>
      </c>
      <c r="AK19">
        <v>2779</v>
      </c>
      <c r="AL19">
        <v>642</v>
      </c>
      <c r="AM19">
        <v>3631</v>
      </c>
      <c r="AN19">
        <v>1520</v>
      </c>
      <c r="AO19">
        <v>546</v>
      </c>
      <c r="AP19">
        <v>337</v>
      </c>
      <c r="AQ19">
        <v>447</v>
      </c>
      <c r="AR19">
        <v>199</v>
      </c>
      <c r="AS19">
        <v>1</v>
      </c>
      <c r="AT19">
        <v>15</v>
      </c>
      <c r="AV19" t="s">
        <v>8</v>
      </c>
      <c r="AW19">
        <v>215</v>
      </c>
      <c r="AX19">
        <v>93.218604651199996</v>
      </c>
      <c r="AY19">
        <v>177</v>
      </c>
      <c r="AZ19">
        <v>75</v>
      </c>
      <c r="BA19">
        <v>472</v>
      </c>
      <c r="BB19">
        <v>201</v>
      </c>
      <c r="BC19">
        <v>31</v>
      </c>
      <c r="BD19">
        <v>28</v>
      </c>
      <c r="BE19">
        <v>109</v>
      </c>
      <c r="BF19">
        <v>35</v>
      </c>
      <c r="BG19">
        <v>59</v>
      </c>
      <c r="BH19">
        <v>19</v>
      </c>
      <c r="BJ19" t="s">
        <v>643</v>
      </c>
      <c r="BK19" t="s">
        <v>400</v>
      </c>
      <c r="BL19">
        <v>958</v>
      </c>
      <c r="BM19">
        <v>182</v>
      </c>
      <c r="BN19">
        <v>80.836116910200005</v>
      </c>
      <c r="BO19">
        <v>3314</v>
      </c>
      <c r="BP19">
        <v>18</v>
      </c>
      <c r="BQ19">
        <v>130.7305371153</v>
      </c>
      <c r="BR19">
        <v>83</v>
      </c>
      <c r="BS19">
        <v>1259</v>
      </c>
      <c r="BT19">
        <v>478</v>
      </c>
      <c r="BU19">
        <v>131.95075456710001</v>
      </c>
      <c r="BV19">
        <v>4398</v>
      </c>
      <c r="BW19">
        <v>35</v>
      </c>
      <c r="BX19">
        <v>157.3792633015</v>
      </c>
      <c r="BY19">
        <v>167.0285714286</v>
      </c>
      <c r="CA19" t="s">
        <v>409</v>
      </c>
      <c r="CB19" t="s">
        <v>817</v>
      </c>
      <c r="CC19" t="s">
        <v>1017</v>
      </c>
      <c r="CD19">
        <v>2372</v>
      </c>
      <c r="CE19">
        <v>562</v>
      </c>
      <c r="CF19">
        <v>88.940134907300006</v>
      </c>
      <c r="CG19">
        <v>8379</v>
      </c>
      <c r="CH19">
        <v>78</v>
      </c>
      <c r="CI19">
        <v>146.95440983410001</v>
      </c>
      <c r="CJ19">
        <v>116.26923076920001</v>
      </c>
      <c r="CL19" t="s">
        <v>409</v>
      </c>
      <c r="CM19" t="s">
        <v>792</v>
      </c>
      <c r="CN19" t="s">
        <v>794</v>
      </c>
      <c r="CO19">
        <v>262</v>
      </c>
      <c r="CP19">
        <v>13</v>
      </c>
      <c r="CQ19">
        <v>51.954198473300004</v>
      </c>
      <c r="CR19">
        <v>1808</v>
      </c>
      <c r="CS19">
        <v>32</v>
      </c>
      <c r="CT19">
        <v>56.1360619469</v>
      </c>
      <c r="CU19">
        <v>58.71875</v>
      </c>
      <c r="CW19" t="s">
        <v>409</v>
      </c>
      <c r="CX19" t="s">
        <v>805</v>
      </c>
      <c r="CY19" t="s">
        <v>807</v>
      </c>
      <c r="CZ19">
        <v>43</v>
      </c>
      <c r="DA19">
        <v>3</v>
      </c>
      <c r="DB19">
        <v>53.837209302300003</v>
      </c>
      <c r="DC19">
        <v>144</v>
      </c>
      <c r="DD19">
        <v>3</v>
      </c>
      <c r="DE19">
        <v>113.5277777778</v>
      </c>
      <c r="DF19">
        <v>83</v>
      </c>
      <c r="DH19" t="s">
        <v>409</v>
      </c>
      <c r="DI19" t="s">
        <v>779</v>
      </c>
      <c r="DJ19" t="s">
        <v>781</v>
      </c>
      <c r="DK19">
        <v>36</v>
      </c>
      <c r="DL19">
        <v>5</v>
      </c>
      <c r="DM19">
        <v>80.027777777799997</v>
      </c>
      <c r="DN19">
        <v>89</v>
      </c>
      <c r="DO19">
        <v>0</v>
      </c>
      <c r="DP19">
        <v>148.53932584270001</v>
      </c>
      <c r="DQ19">
        <v>0</v>
      </c>
    </row>
    <row r="20" spans="2:121" x14ac:dyDescent="0.2">
      <c r="B20" t="s">
        <v>122</v>
      </c>
      <c r="C20">
        <v>11372</v>
      </c>
      <c r="D20">
        <v>2674</v>
      </c>
      <c r="F20" t="s">
        <v>77</v>
      </c>
      <c r="G20">
        <v>335</v>
      </c>
      <c r="H20">
        <v>101.7044776119</v>
      </c>
      <c r="I20">
        <v>837</v>
      </c>
      <c r="J20">
        <v>210</v>
      </c>
      <c r="K20">
        <v>715</v>
      </c>
      <c r="L20">
        <v>94</v>
      </c>
      <c r="M20">
        <v>451</v>
      </c>
      <c r="N20">
        <v>120</v>
      </c>
      <c r="O20">
        <v>33</v>
      </c>
      <c r="P20">
        <v>11</v>
      </c>
      <c r="Q20">
        <v>0</v>
      </c>
      <c r="R20">
        <v>1</v>
      </c>
      <c r="AH20" t="s">
        <v>403</v>
      </c>
      <c r="AI20">
        <v>8013</v>
      </c>
      <c r="AJ20">
        <v>525.41944340450004</v>
      </c>
      <c r="AK20">
        <v>4383</v>
      </c>
      <c r="AL20">
        <v>1205</v>
      </c>
      <c r="AM20">
        <v>11060</v>
      </c>
      <c r="AN20">
        <v>7440</v>
      </c>
      <c r="AO20">
        <v>2794</v>
      </c>
      <c r="AP20">
        <v>2183</v>
      </c>
      <c r="AQ20">
        <v>878</v>
      </c>
      <c r="AR20">
        <v>526</v>
      </c>
      <c r="AS20">
        <v>42</v>
      </c>
      <c r="AT20">
        <v>157</v>
      </c>
      <c r="AV20" t="s">
        <v>392</v>
      </c>
      <c r="AW20">
        <v>1250</v>
      </c>
      <c r="AX20">
        <v>100.64400000000001</v>
      </c>
      <c r="AY20">
        <v>1044</v>
      </c>
      <c r="AZ20">
        <v>254</v>
      </c>
      <c r="BA20">
        <v>2026</v>
      </c>
      <c r="BB20">
        <v>650</v>
      </c>
      <c r="BC20">
        <v>76</v>
      </c>
      <c r="BD20">
        <v>72</v>
      </c>
      <c r="BE20">
        <v>374</v>
      </c>
      <c r="BF20">
        <v>80</v>
      </c>
      <c r="BG20">
        <v>203</v>
      </c>
      <c r="BH20">
        <v>363</v>
      </c>
      <c r="BJ20" t="s">
        <v>571</v>
      </c>
      <c r="BK20" t="s">
        <v>400</v>
      </c>
      <c r="BL20">
        <v>5113</v>
      </c>
      <c r="BM20">
        <v>1211</v>
      </c>
      <c r="BN20">
        <v>97.9393702327</v>
      </c>
      <c r="BO20">
        <v>20097</v>
      </c>
      <c r="BP20">
        <v>329</v>
      </c>
      <c r="BQ20">
        <v>209.8769965667</v>
      </c>
      <c r="BR20">
        <v>170.4194528875</v>
      </c>
      <c r="BS20">
        <v>5323</v>
      </c>
      <c r="BT20">
        <v>1192</v>
      </c>
      <c r="BU20">
        <v>104.1271839188</v>
      </c>
      <c r="BV20">
        <v>15743</v>
      </c>
      <c r="BW20">
        <v>306</v>
      </c>
      <c r="BX20">
        <v>211.06587054560001</v>
      </c>
      <c r="BY20">
        <v>162.0882352941</v>
      </c>
      <c r="CA20" t="s">
        <v>432</v>
      </c>
      <c r="CB20" t="s">
        <v>817</v>
      </c>
      <c r="CC20" t="s">
        <v>1018</v>
      </c>
      <c r="CD20">
        <v>2692</v>
      </c>
      <c r="CE20">
        <v>620</v>
      </c>
      <c r="CF20">
        <v>91.932763744400006</v>
      </c>
      <c r="CG20">
        <v>8690</v>
      </c>
      <c r="CH20">
        <v>86</v>
      </c>
      <c r="CI20">
        <v>162.80724971230001</v>
      </c>
      <c r="CJ20">
        <v>135.37209302330001</v>
      </c>
      <c r="CL20" t="s">
        <v>432</v>
      </c>
      <c r="CM20" t="s">
        <v>792</v>
      </c>
      <c r="CN20" t="s">
        <v>795</v>
      </c>
      <c r="CO20">
        <v>253</v>
      </c>
      <c r="CP20">
        <v>15</v>
      </c>
      <c r="CQ20">
        <v>55.177865612600002</v>
      </c>
      <c r="CR20">
        <v>1576</v>
      </c>
      <c r="CS20">
        <v>25</v>
      </c>
      <c r="CT20">
        <v>62.767766497499998</v>
      </c>
      <c r="CU20">
        <v>59.32</v>
      </c>
      <c r="CW20" t="s">
        <v>432</v>
      </c>
      <c r="CX20" t="s">
        <v>805</v>
      </c>
      <c r="CY20" t="s">
        <v>808</v>
      </c>
      <c r="CZ20">
        <v>60</v>
      </c>
      <c r="DA20">
        <v>5</v>
      </c>
      <c r="DB20">
        <v>54.55</v>
      </c>
      <c r="DC20">
        <v>280</v>
      </c>
      <c r="DD20">
        <v>5</v>
      </c>
      <c r="DE20">
        <v>123.7464285714</v>
      </c>
      <c r="DF20">
        <v>131.6</v>
      </c>
      <c r="DH20" t="s">
        <v>432</v>
      </c>
      <c r="DI20" t="s">
        <v>779</v>
      </c>
      <c r="DJ20" t="s">
        <v>782</v>
      </c>
      <c r="DK20">
        <v>143</v>
      </c>
      <c r="DL20">
        <v>14</v>
      </c>
      <c r="DM20">
        <v>51.965034965000001</v>
      </c>
      <c r="DN20">
        <v>311</v>
      </c>
      <c r="DO20">
        <v>1</v>
      </c>
      <c r="DP20">
        <v>157.27652733119999</v>
      </c>
      <c r="DQ20">
        <v>95</v>
      </c>
    </row>
    <row r="21" spans="2:121" x14ac:dyDescent="0.2">
      <c r="B21" t="s">
        <v>324</v>
      </c>
      <c r="C21">
        <v>1</v>
      </c>
      <c r="D21">
        <v>1</v>
      </c>
      <c r="F21" t="s">
        <v>47</v>
      </c>
      <c r="G21">
        <v>1705</v>
      </c>
      <c r="H21">
        <v>241.94545454550001</v>
      </c>
      <c r="I21">
        <v>1627</v>
      </c>
      <c r="J21">
        <v>371</v>
      </c>
      <c r="K21">
        <v>3346</v>
      </c>
      <c r="L21">
        <v>1669</v>
      </c>
      <c r="M21">
        <v>385</v>
      </c>
      <c r="N21">
        <v>304</v>
      </c>
      <c r="O21">
        <v>718</v>
      </c>
      <c r="P21">
        <v>488</v>
      </c>
      <c r="Q21">
        <v>0</v>
      </c>
      <c r="R21">
        <v>3</v>
      </c>
      <c r="AH21" t="s">
        <v>397</v>
      </c>
      <c r="AI21">
        <v>6653</v>
      </c>
      <c r="AJ21">
        <v>398.90906358030003</v>
      </c>
      <c r="AK21">
        <v>5967</v>
      </c>
      <c r="AL21">
        <v>1440</v>
      </c>
      <c r="AM21">
        <v>9392</v>
      </c>
      <c r="AN21">
        <v>5730</v>
      </c>
      <c r="AO21">
        <v>770</v>
      </c>
      <c r="AP21">
        <v>547</v>
      </c>
      <c r="AQ21">
        <v>1424</v>
      </c>
      <c r="AR21">
        <v>605</v>
      </c>
      <c r="AS21">
        <v>7</v>
      </c>
      <c r="AT21">
        <v>299</v>
      </c>
      <c r="AV21" t="s">
        <v>386</v>
      </c>
      <c r="AW21">
        <v>348</v>
      </c>
      <c r="AX21">
        <v>100.2442528736</v>
      </c>
      <c r="AY21">
        <v>430</v>
      </c>
      <c r="AZ21">
        <v>106</v>
      </c>
      <c r="BA21">
        <v>539</v>
      </c>
      <c r="BB21">
        <v>166</v>
      </c>
      <c r="BC21">
        <v>21</v>
      </c>
      <c r="BD21">
        <v>18</v>
      </c>
      <c r="BE21">
        <v>128</v>
      </c>
      <c r="BF21">
        <v>28</v>
      </c>
      <c r="BG21">
        <v>65</v>
      </c>
      <c r="BH21">
        <v>154</v>
      </c>
      <c r="BJ21" t="s">
        <v>588</v>
      </c>
      <c r="BK21" t="s">
        <v>400</v>
      </c>
      <c r="BL21">
        <v>2016</v>
      </c>
      <c r="BM21">
        <v>288</v>
      </c>
      <c r="BN21">
        <v>74.521329365100001</v>
      </c>
      <c r="BO21">
        <v>6680</v>
      </c>
      <c r="BP21">
        <v>78</v>
      </c>
      <c r="BQ21">
        <v>123.24266467069999</v>
      </c>
      <c r="BR21">
        <v>156.06410256410001</v>
      </c>
      <c r="BS21">
        <v>6381</v>
      </c>
      <c r="BT21">
        <v>1573</v>
      </c>
      <c r="BU21">
        <v>98.243535496000007</v>
      </c>
      <c r="BV21">
        <v>18280</v>
      </c>
      <c r="BW21">
        <v>286</v>
      </c>
      <c r="BX21">
        <v>175.3424507659</v>
      </c>
      <c r="BY21">
        <v>197.17132867129999</v>
      </c>
      <c r="CA21" t="s">
        <v>405</v>
      </c>
      <c r="CB21" t="s">
        <v>817</v>
      </c>
      <c r="CC21" t="s">
        <v>1019</v>
      </c>
      <c r="CD21">
        <v>7400</v>
      </c>
      <c r="CE21">
        <v>2178</v>
      </c>
      <c r="CF21">
        <v>108.0260810811</v>
      </c>
      <c r="CG21">
        <v>24392</v>
      </c>
      <c r="CH21">
        <v>273</v>
      </c>
      <c r="CI21">
        <v>170.7452033454</v>
      </c>
      <c r="CJ21">
        <v>161.641025641</v>
      </c>
      <c r="CL21" t="s">
        <v>405</v>
      </c>
      <c r="CM21" t="s">
        <v>792</v>
      </c>
      <c r="CN21" t="s">
        <v>796</v>
      </c>
      <c r="CO21">
        <v>682</v>
      </c>
      <c r="CP21">
        <v>50</v>
      </c>
      <c r="CQ21">
        <v>56.002932551299999</v>
      </c>
      <c r="CR21">
        <v>4817</v>
      </c>
      <c r="CS21">
        <v>71</v>
      </c>
      <c r="CT21">
        <v>58.062071828900002</v>
      </c>
      <c r="CU21">
        <v>72.647887323899994</v>
      </c>
      <c r="CW21" t="s">
        <v>405</v>
      </c>
      <c r="CX21" t="s">
        <v>805</v>
      </c>
      <c r="CY21" t="s">
        <v>809</v>
      </c>
      <c r="CZ21">
        <v>157</v>
      </c>
      <c r="DA21">
        <v>16</v>
      </c>
      <c r="DB21">
        <v>59.070063694300003</v>
      </c>
      <c r="DC21">
        <v>369</v>
      </c>
      <c r="DD21">
        <v>5</v>
      </c>
      <c r="DE21">
        <v>137.20867208670001</v>
      </c>
      <c r="DF21">
        <v>107</v>
      </c>
      <c r="DH21" t="s">
        <v>405</v>
      </c>
      <c r="DI21" t="s">
        <v>779</v>
      </c>
      <c r="DJ21" t="s">
        <v>783</v>
      </c>
      <c r="DK21">
        <v>108</v>
      </c>
      <c r="DL21">
        <v>17</v>
      </c>
      <c r="DM21">
        <v>77.027777777799997</v>
      </c>
      <c r="DN21">
        <v>246</v>
      </c>
      <c r="DO21">
        <v>4</v>
      </c>
      <c r="DP21">
        <v>142.95934959350001</v>
      </c>
      <c r="DQ21">
        <v>137.75</v>
      </c>
    </row>
    <row r="22" spans="2:121" x14ac:dyDescent="0.2">
      <c r="B22" t="s">
        <v>115</v>
      </c>
      <c r="C22">
        <v>17704</v>
      </c>
      <c r="D22">
        <v>15335</v>
      </c>
      <c r="F22" t="s">
        <v>8</v>
      </c>
      <c r="G22">
        <v>48</v>
      </c>
      <c r="H22">
        <v>832.20833333329995</v>
      </c>
      <c r="I22">
        <v>1</v>
      </c>
      <c r="K22">
        <v>49</v>
      </c>
      <c r="L22">
        <v>49</v>
      </c>
      <c r="M22">
        <v>2</v>
      </c>
      <c r="N22">
        <v>1</v>
      </c>
      <c r="O22">
        <v>19884</v>
      </c>
      <c r="P22">
        <v>6239</v>
      </c>
      <c r="Q22">
        <v>0</v>
      </c>
      <c r="R22">
        <v>0</v>
      </c>
      <c r="AH22" t="s">
        <v>426</v>
      </c>
      <c r="AI22">
        <v>1560</v>
      </c>
      <c r="AJ22">
        <v>265.73717948720002</v>
      </c>
      <c r="AK22">
        <v>1268</v>
      </c>
      <c r="AL22">
        <v>183</v>
      </c>
      <c r="AM22">
        <v>2219</v>
      </c>
      <c r="AN22">
        <v>1042</v>
      </c>
      <c r="AO22">
        <v>921</v>
      </c>
      <c r="AP22">
        <v>527</v>
      </c>
      <c r="AQ22">
        <v>314</v>
      </c>
      <c r="AR22">
        <v>175</v>
      </c>
      <c r="AS22">
        <v>250</v>
      </c>
      <c r="AT22">
        <v>2</v>
      </c>
      <c r="AV22" t="s">
        <v>432</v>
      </c>
      <c r="AW22">
        <v>76</v>
      </c>
      <c r="AX22">
        <v>37.144736842100002</v>
      </c>
      <c r="AY22">
        <v>255</v>
      </c>
      <c r="AZ22">
        <v>11</v>
      </c>
      <c r="BA22">
        <v>143</v>
      </c>
      <c r="BB22">
        <v>8</v>
      </c>
      <c r="BC22">
        <v>2</v>
      </c>
      <c r="BD22">
        <v>2</v>
      </c>
      <c r="BE22">
        <v>8</v>
      </c>
      <c r="BF22">
        <v>3</v>
      </c>
      <c r="BG22">
        <v>127</v>
      </c>
      <c r="BH22">
        <v>38</v>
      </c>
      <c r="BJ22" t="s">
        <v>400</v>
      </c>
      <c r="BK22" t="s">
        <v>400</v>
      </c>
      <c r="BL22">
        <v>53156</v>
      </c>
      <c r="BM22">
        <v>13140</v>
      </c>
      <c r="BN22">
        <v>98.106215667100003</v>
      </c>
      <c r="BO22">
        <v>181390</v>
      </c>
      <c r="BP22">
        <v>2232</v>
      </c>
      <c r="BQ22">
        <v>174.66855394449999</v>
      </c>
      <c r="BR22">
        <v>152.8440860215</v>
      </c>
      <c r="BS22">
        <v>61078</v>
      </c>
      <c r="BT22">
        <v>18071</v>
      </c>
      <c r="BU22">
        <v>109.1593699859</v>
      </c>
      <c r="BV22">
        <v>213199</v>
      </c>
      <c r="BW22">
        <v>2754</v>
      </c>
      <c r="BX22">
        <v>183.1256197262</v>
      </c>
      <c r="BY22">
        <v>167.10530137980001</v>
      </c>
      <c r="CA22" t="s">
        <v>411</v>
      </c>
      <c r="CB22" t="s">
        <v>817</v>
      </c>
      <c r="CC22" t="s">
        <v>1020</v>
      </c>
      <c r="CD22">
        <v>5608</v>
      </c>
      <c r="CE22">
        <v>1251</v>
      </c>
      <c r="CF22">
        <v>87.486982881599999</v>
      </c>
      <c r="CG22">
        <v>18005</v>
      </c>
      <c r="CH22">
        <v>208</v>
      </c>
      <c r="CI22">
        <v>141.9366287142</v>
      </c>
      <c r="CJ22">
        <v>134.67788461539999</v>
      </c>
      <c r="CL22" t="s">
        <v>411</v>
      </c>
      <c r="CM22" t="s">
        <v>792</v>
      </c>
      <c r="CN22" t="s">
        <v>797</v>
      </c>
      <c r="CO22">
        <v>331</v>
      </c>
      <c r="CP22">
        <v>20</v>
      </c>
      <c r="CQ22">
        <v>47.525679758300001</v>
      </c>
      <c r="CR22">
        <v>1897</v>
      </c>
      <c r="CS22">
        <v>27</v>
      </c>
      <c r="CT22">
        <v>52.821296784399998</v>
      </c>
      <c r="CU22">
        <v>61.666666666700003</v>
      </c>
      <c r="CW22" t="s">
        <v>411</v>
      </c>
      <c r="CX22" t="s">
        <v>805</v>
      </c>
      <c r="CY22" t="s">
        <v>810</v>
      </c>
      <c r="CZ22">
        <v>64</v>
      </c>
      <c r="DA22">
        <v>2</v>
      </c>
      <c r="DB22">
        <v>54.1875</v>
      </c>
      <c r="DC22">
        <v>185</v>
      </c>
      <c r="DD22">
        <v>2</v>
      </c>
      <c r="DE22">
        <v>127.2432432432</v>
      </c>
      <c r="DF22">
        <v>102.5</v>
      </c>
      <c r="DH22" t="s">
        <v>411</v>
      </c>
      <c r="DI22" t="s">
        <v>779</v>
      </c>
      <c r="DJ22" t="s">
        <v>784</v>
      </c>
      <c r="DK22">
        <v>33</v>
      </c>
      <c r="DL22">
        <v>1</v>
      </c>
      <c r="DM22">
        <v>43.787878787899999</v>
      </c>
      <c r="DN22">
        <v>95</v>
      </c>
      <c r="DO22">
        <v>0</v>
      </c>
      <c r="DP22">
        <v>145.42105263159999</v>
      </c>
      <c r="DQ22">
        <v>0</v>
      </c>
    </row>
    <row r="23" spans="2:121" x14ac:dyDescent="0.2">
      <c r="B23" t="s">
        <v>116</v>
      </c>
      <c r="C23">
        <v>1652</v>
      </c>
      <c r="D23">
        <v>494</v>
      </c>
      <c r="F23" t="s">
        <v>46</v>
      </c>
      <c r="G23">
        <v>165</v>
      </c>
      <c r="H23">
        <v>51.393939393899998</v>
      </c>
      <c r="I23">
        <v>866</v>
      </c>
      <c r="J23">
        <v>181</v>
      </c>
      <c r="K23">
        <v>462</v>
      </c>
      <c r="L23">
        <v>29</v>
      </c>
      <c r="M23">
        <v>86</v>
      </c>
      <c r="N23">
        <v>21</v>
      </c>
      <c r="O23">
        <v>46</v>
      </c>
      <c r="P23">
        <v>14</v>
      </c>
      <c r="Q23">
        <v>0</v>
      </c>
      <c r="R23">
        <v>0</v>
      </c>
      <c r="AH23" t="s">
        <v>386</v>
      </c>
      <c r="AI23">
        <v>9099</v>
      </c>
      <c r="AJ23">
        <v>584.10407737109995</v>
      </c>
      <c r="AK23">
        <v>5766</v>
      </c>
      <c r="AL23">
        <v>1441</v>
      </c>
      <c r="AM23">
        <v>11224</v>
      </c>
      <c r="AN23">
        <v>8355</v>
      </c>
      <c r="AO23">
        <v>1275</v>
      </c>
      <c r="AP23">
        <v>1045</v>
      </c>
      <c r="AQ23">
        <v>6603</v>
      </c>
      <c r="AR23">
        <v>5392</v>
      </c>
      <c r="AS23">
        <v>317</v>
      </c>
      <c r="AT23">
        <v>7</v>
      </c>
      <c r="AV23" t="s">
        <v>413</v>
      </c>
      <c r="AW23">
        <v>76</v>
      </c>
      <c r="AX23">
        <v>39.776315789500003</v>
      </c>
      <c r="AY23">
        <v>228</v>
      </c>
      <c r="AZ23">
        <v>7</v>
      </c>
      <c r="BA23">
        <v>171</v>
      </c>
      <c r="BB23">
        <v>16</v>
      </c>
      <c r="BC23">
        <v>3</v>
      </c>
      <c r="BD23">
        <v>3</v>
      </c>
      <c r="BE23">
        <v>21</v>
      </c>
      <c r="BF23">
        <v>11</v>
      </c>
      <c r="BG23">
        <v>233</v>
      </c>
      <c r="BH23">
        <v>46</v>
      </c>
      <c r="BJ23" t="s">
        <v>581</v>
      </c>
      <c r="BK23" t="s">
        <v>400</v>
      </c>
      <c r="BL23">
        <v>3912</v>
      </c>
      <c r="BM23">
        <v>969</v>
      </c>
      <c r="BN23">
        <v>91.143916155400007</v>
      </c>
      <c r="BO23">
        <v>13884</v>
      </c>
      <c r="BP23">
        <v>130</v>
      </c>
      <c r="BQ23">
        <v>155.19317199650001</v>
      </c>
      <c r="BR23">
        <v>152.52307692310001</v>
      </c>
      <c r="BS23">
        <v>5181</v>
      </c>
      <c r="BT23">
        <v>1705</v>
      </c>
      <c r="BU23">
        <v>111.8975101332</v>
      </c>
      <c r="BV23">
        <v>17652</v>
      </c>
      <c r="BW23">
        <v>190</v>
      </c>
      <c r="BX23">
        <v>169.15539315660001</v>
      </c>
      <c r="BY23">
        <v>171.9947368421</v>
      </c>
      <c r="CA23" t="s">
        <v>407</v>
      </c>
      <c r="CB23" t="s">
        <v>817</v>
      </c>
      <c r="CC23" t="s">
        <v>1021</v>
      </c>
      <c r="CD23">
        <v>5400</v>
      </c>
      <c r="CE23">
        <v>1072</v>
      </c>
      <c r="CF23">
        <v>88.587962962999995</v>
      </c>
      <c r="CG23">
        <v>23259</v>
      </c>
      <c r="CH23">
        <v>302</v>
      </c>
      <c r="CI23">
        <v>170.8781546928</v>
      </c>
      <c r="CJ23">
        <v>150.7450331126</v>
      </c>
      <c r="CL23" t="s">
        <v>407</v>
      </c>
      <c r="CM23" t="s">
        <v>792</v>
      </c>
      <c r="CN23" t="s">
        <v>798</v>
      </c>
      <c r="CO23">
        <v>445</v>
      </c>
      <c r="CP23">
        <v>50</v>
      </c>
      <c r="CQ23">
        <v>59.898876404500001</v>
      </c>
      <c r="CR23">
        <v>3179</v>
      </c>
      <c r="CS23">
        <v>47</v>
      </c>
      <c r="CT23">
        <v>53.1497326203</v>
      </c>
      <c r="CU23">
        <v>55.957446808500002</v>
      </c>
      <c r="CW23" t="s">
        <v>407</v>
      </c>
      <c r="CX23" t="s">
        <v>805</v>
      </c>
      <c r="CY23" t="s">
        <v>811</v>
      </c>
      <c r="CZ23">
        <v>166</v>
      </c>
      <c r="DA23">
        <v>12</v>
      </c>
      <c r="DB23">
        <v>56.7771084337</v>
      </c>
      <c r="DC23">
        <v>427</v>
      </c>
      <c r="DD23">
        <v>5</v>
      </c>
      <c r="DE23">
        <v>125.12412177989999</v>
      </c>
      <c r="DF23">
        <v>99.2</v>
      </c>
      <c r="DH23" t="s">
        <v>407</v>
      </c>
      <c r="DI23" t="s">
        <v>779</v>
      </c>
      <c r="DJ23" t="s">
        <v>785</v>
      </c>
      <c r="DK23">
        <v>131</v>
      </c>
      <c r="DL23">
        <v>12</v>
      </c>
      <c r="DM23">
        <v>52.801526717599998</v>
      </c>
      <c r="DN23">
        <v>465</v>
      </c>
      <c r="DO23">
        <v>5</v>
      </c>
      <c r="DP23">
        <v>160.3032258065</v>
      </c>
      <c r="DQ23">
        <v>100.6</v>
      </c>
    </row>
    <row r="24" spans="2:121" x14ac:dyDescent="0.2">
      <c r="B24" t="s">
        <v>110</v>
      </c>
      <c r="C24">
        <v>51</v>
      </c>
      <c r="D24">
        <v>51</v>
      </c>
      <c r="F24" t="s">
        <v>82</v>
      </c>
      <c r="G24">
        <v>13703</v>
      </c>
      <c r="H24">
        <v>303.71174195430001</v>
      </c>
      <c r="I24">
        <v>17316</v>
      </c>
      <c r="J24">
        <v>4523</v>
      </c>
      <c r="K24">
        <v>16450</v>
      </c>
      <c r="L24">
        <v>9218</v>
      </c>
      <c r="M24">
        <v>1725</v>
      </c>
      <c r="N24">
        <v>1289</v>
      </c>
      <c r="O24">
        <v>3029</v>
      </c>
      <c r="P24">
        <v>1303</v>
      </c>
      <c r="Q24">
        <v>1</v>
      </c>
      <c r="R24">
        <v>229</v>
      </c>
      <c r="T24" t="s">
        <v>657</v>
      </c>
      <c r="U24" t="s">
        <v>315</v>
      </c>
      <c r="V24" t="s">
        <v>139</v>
      </c>
      <c r="W24" t="s">
        <v>222</v>
      </c>
      <c r="X24" t="s">
        <v>223</v>
      </c>
      <c r="Y24" t="s">
        <v>224</v>
      </c>
      <c r="Z24" t="s">
        <v>225</v>
      </c>
      <c r="AA24" t="s">
        <v>226</v>
      </c>
      <c r="AB24" t="s">
        <v>227</v>
      </c>
      <c r="AC24" t="s">
        <v>228</v>
      </c>
      <c r="AD24" t="s">
        <v>229</v>
      </c>
      <c r="AE24" t="s">
        <v>230</v>
      </c>
      <c r="AF24" t="s">
        <v>231</v>
      </c>
      <c r="AH24" t="s">
        <v>381</v>
      </c>
      <c r="AI24">
        <v>4986</v>
      </c>
      <c r="AJ24">
        <v>488.47372643400001</v>
      </c>
      <c r="AK24">
        <v>4497</v>
      </c>
      <c r="AL24">
        <v>1284</v>
      </c>
      <c r="AM24">
        <v>7842</v>
      </c>
      <c r="AN24">
        <v>4911</v>
      </c>
      <c r="AO24">
        <v>2815</v>
      </c>
      <c r="AP24">
        <v>1894</v>
      </c>
      <c r="AQ24">
        <v>1296</v>
      </c>
      <c r="AR24">
        <v>1003</v>
      </c>
      <c r="AS24">
        <v>528</v>
      </c>
      <c r="AT24">
        <v>13</v>
      </c>
      <c r="AV24" t="s">
        <v>384</v>
      </c>
      <c r="AW24">
        <v>419</v>
      </c>
      <c r="AX24">
        <v>97.219570405699997</v>
      </c>
      <c r="AY24">
        <v>549</v>
      </c>
      <c r="AZ24">
        <v>141</v>
      </c>
      <c r="BA24">
        <v>646</v>
      </c>
      <c r="BB24">
        <v>192</v>
      </c>
      <c r="BC24">
        <v>15</v>
      </c>
      <c r="BD24">
        <v>15</v>
      </c>
      <c r="BE24">
        <v>154</v>
      </c>
      <c r="BF24">
        <v>28</v>
      </c>
      <c r="BG24">
        <v>62</v>
      </c>
      <c r="BH24">
        <v>190</v>
      </c>
      <c r="BJ24" t="s">
        <v>645</v>
      </c>
      <c r="BK24" t="s">
        <v>400</v>
      </c>
      <c r="BL24">
        <v>923</v>
      </c>
      <c r="BM24">
        <v>215</v>
      </c>
      <c r="BN24">
        <v>87.903575297900005</v>
      </c>
      <c r="BO24">
        <v>3382</v>
      </c>
      <c r="BP24">
        <v>39</v>
      </c>
      <c r="BQ24">
        <v>136.90685984620001</v>
      </c>
      <c r="BR24">
        <v>128.20512820510001</v>
      </c>
      <c r="BS24">
        <v>1431</v>
      </c>
      <c r="BT24">
        <v>571</v>
      </c>
      <c r="BU24">
        <v>133.9965059399</v>
      </c>
      <c r="BV24">
        <v>6054</v>
      </c>
      <c r="BW24">
        <v>82</v>
      </c>
      <c r="BX24">
        <v>177.47010241160001</v>
      </c>
      <c r="BY24">
        <v>201.13414634150001</v>
      </c>
      <c r="CA24" t="s">
        <v>410</v>
      </c>
      <c r="CB24" t="s">
        <v>817</v>
      </c>
      <c r="CC24" t="s">
        <v>1022</v>
      </c>
      <c r="CD24">
        <v>2054</v>
      </c>
      <c r="CE24">
        <v>294</v>
      </c>
      <c r="CF24">
        <v>74.717137293099995</v>
      </c>
      <c r="CG24">
        <v>7010</v>
      </c>
      <c r="CH24">
        <v>76</v>
      </c>
      <c r="CI24">
        <v>122.0534950071</v>
      </c>
      <c r="CJ24">
        <v>142.63157894739999</v>
      </c>
      <c r="CL24" t="s">
        <v>410</v>
      </c>
      <c r="CM24" t="s">
        <v>792</v>
      </c>
      <c r="CN24" t="s">
        <v>799</v>
      </c>
      <c r="CO24">
        <v>99</v>
      </c>
      <c r="CP24">
        <v>9</v>
      </c>
      <c r="CQ24">
        <v>61.222222222200003</v>
      </c>
      <c r="CR24">
        <v>746</v>
      </c>
      <c r="CS24">
        <v>10</v>
      </c>
      <c r="CT24">
        <v>60.475871313699997</v>
      </c>
      <c r="CU24">
        <v>74.900000000000006</v>
      </c>
      <c r="CW24" t="s">
        <v>410</v>
      </c>
      <c r="CX24" t="s">
        <v>805</v>
      </c>
      <c r="CY24" t="s">
        <v>812</v>
      </c>
      <c r="CZ24">
        <v>37</v>
      </c>
      <c r="DA24">
        <v>4</v>
      </c>
      <c r="DB24">
        <v>53.513513513500001</v>
      </c>
      <c r="DC24">
        <v>170</v>
      </c>
      <c r="DD24">
        <v>0</v>
      </c>
      <c r="DE24">
        <v>105.20588235290001</v>
      </c>
      <c r="DF24">
        <v>0</v>
      </c>
      <c r="DH24" t="s">
        <v>410</v>
      </c>
      <c r="DI24" t="s">
        <v>779</v>
      </c>
      <c r="DJ24" t="s">
        <v>786</v>
      </c>
      <c r="DK24">
        <v>80</v>
      </c>
      <c r="DL24">
        <v>3</v>
      </c>
      <c r="DM24">
        <v>48.9</v>
      </c>
      <c r="DN24">
        <v>264</v>
      </c>
      <c r="DO24">
        <v>3</v>
      </c>
      <c r="DP24">
        <v>149.58712121209999</v>
      </c>
      <c r="DQ24">
        <v>105.6666666667</v>
      </c>
    </row>
    <row r="25" spans="2:121" x14ac:dyDescent="0.2">
      <c r="B25" t="s">
        <v>108</v>
      </c>
      <c r="C25">
        <v>47</v>
      </c>
      <c r="D25">
        <v>47</v>
      </c>
      <c r="F25" t="s">
        <v>38</v>
      </c>
      <c r="G25">
        <v>4361</v>
      </c>
      <c r="H25">
        <v>546.18367346939999</v>
      </c>
      <c r="I25">
        <v>3536</v>
      </c>
      <c r="J25">
        <v>1028</v>
      </c>
      <c r="K25">
        <v>5872</v>
      </c>
      <c r="L25">
        <v>4436</v>
      </c>
      <c r="M25">
        <v>2122</v>
      </c>
      <c r="N25">
        <v>1950</v>
      </c>
      <c r="O25">
        <v>859</v>
      </c>
      <c r="P25">
        <v>751</v>
      </c>
      <c r="Q25">
        <v>2</v>
      </c>
      <c r="R25">
        <v>11</v>
      </c>
      <c r="T25" t="s">
        <v>395</v>
      </c>
      <c r="U25">
        <v>66116</v>
      </c>
      <c r="V25">
        <v>344.5393701978</v>
      </c>
      <c r="W25">
        <v>69620</v>
      </c>
      <c r="X25">
        <v>18080</v>
      </c>
      <c r="Y25">
        <v>94524</v>
      </c>
      <c r="Z25">
        <v>54018</v>
      </c>
      <c r="AA25">
        <v>13616</v>
      </c>
      <c r="AB25">
        <v>9727</v>
      </c>
      <c r="AC25">
        <v>23449</v>
      </c>
      <c r="AD25">
        <v>14061</v>
      </c>
      <c r="AE25">
        <v>90</v>
      </c>
      <c r="AF25">
        <v>1197</v>
      </c>
      <c r="AH25" t="s">
        <v>405</v>
      </c>
      <c r="AI25">
        <v>4027</v>
      </c>
      <c r="AJ25">
        <v>251.42637198910001</v>
      </c>
      <c r="AK25">
        <v>7568</v>
      </c>
      <c r="AL25">
        <v>2151</v>
      </c>
      <c r="AM25">
        <v>7880</v>
      </c>
      <c r="AN25">
        <v>3436</v>
      </c>
      <c r="AO25">
        <v>1059</v>
      </c>
      <c r="AP25">
        <v>821</v>
      </c>
      <c r="AQ25">
        <v>1197</v>
      </c>
      <c r="AR25">
        <v>687</v>
      </c>
      <c r="AS25">
        <v>26</v>
      </c>
      <c r="AT25">
        <v>202</v>
      </c>
      <c r="AV25" t="s">
        <v>83</v>
      </c>
      <c r="AW25">
        <v>131</v>
      </c>
      <c r="AX25">
        <v>42.1679389313</v>
      </c>
      <c r="AY25">
        <v>481</v>
      </c>
      <c r="AZ25">
        <v>21</v>
      </c>
      <c r="BA25">
        <v>302</v>
      </c>
      <c r="BB25">
        <v>32</v>
      </c>
      <c r="BC25">
        <v>1</v>
      </c>
      <c r="BD25">
        <v>1</v>
      </c>
      <c r="BE25">
        <v>17</v>
      </c>
      <c r="BF25">
        <v>7</v>
      </c>
      <c r="BG25">
        <v>268</v>
      </c>
      <c r="BH25">
        <v>63</v>
      </c>
      <c r="BJ25" t="s">
        <v>584</v>
      </c>
      <c r="BK25" t="s">
        <v>400</v>
      </c>
      <c r="BL25">
        <v>5182</v>
      </c>
      <c r="BM25">
        <v>981</v>
      </c>
      <c r="BN25">
        <v>85.1043998456</v>
      </c>
      <c r="BO25">
        <v>21821</v>
      </c>
      <c r="BP25">
        <v>290</v>
      </c>
      <c r="BQ25">
        <v>176.00586590899999</v>
      </c>
      <c r="BR25">
        <v>154.77241379309999</v>
      </c>
      <c r="BS25">
        <v>5272</v>
      </c>
      <c r="BT25">
        <v>1029</v>
      </c>
      <c r="BU25">
        <v>86.494499241300005</v>
      </c>
      <c r="BV25">
        <v>22881</v>
      </c>
      <c r="BW25">
        <v>312</v>
      </c>
      <c r="BX25">
        <v>177.76316594549999</v>
      </c>
      <c r="BY25">
        <v>155.78205128210001</v>
      </c>
      <c r="CA25" t="s">
        <v>429</v>
      </c>
      <c r="CB25" t="s">
        <v>817</v>
      </c>
      <c r="CC25" t="s">
        <v>1023</v>
      </c>
      <c r="CD25">
        <v>722</v>
      </c>
      <c r="CE25">
        <v>134</v>
      </c>
      <c r="CF25">
        <v>81.047091412699999</v>
      </c>
      <c r="CG25">
        <v>2561</v>
      </c>
      <c r="CH25">
        <v>20</v>
      </c>
      <c r="CI25">
        <v>130.7746973838</v>
      </c>
      <c r="CJ25">
        <v>88.4</v>
      </c>
      <c r="CL25" t="s">
        <v>429</v>
      </c>
      <c r="CM25" t="s">
        <v>792</v>
      </c>
      <c r="CN25" t="s">
        <v>800</v>
      </c>
      <c r="CO25">
        <v>34</v>
      </c>
      <c r="CP25">
        <v>2</v>
      </c>
      <c r="CQ25">
        <v>48.764705882400001</v>
      </c>
      <c r="CR25">
        <v>229</v>
      </c>
      <c r="CS25">
        <v>8</v>
      </c>
      <c r="CT25">
        <v>52.449781659400003</v>
      </c>
      <c r="CU25">
        <v>69.5</v>
      </c>
      <c r="CW25" t="s">
        <v>429</v>
      </c>
      <c r="CX25" t="s">
        <v>805</v>
      </c>
      <c r="CY25" t="s">
        <v>813</v>
      </c>
      <c r="CZ25">
        <v>18</v>
      </c>
      <c r="DA25">
        <v>0</v>
      </c>
      <c r="DB25">
        <v>41.944444444399998</v>
      </c>
      <c r="DC25">
        <v>49</v>
      </c>
      <c r="DD25">
        <v>2</v>
      </c>
      <c r="DE25">
        <v>110.0612244898</v>
      </c>
      <c r="DF25">
        <v>102</v>
      </c>
      <c r="DH25" t="s">
        <v>429</v>
      </c>
      <c r="DI25" t="s">
        <v>779</v>
      </c>
      <c r="DJ25" t="s">
        <v>787</v>
      </c>
      <c r="DK25">
        <v>5</v>
      </c>
      <c r="DL25">
        <v>1</v>
      </c>
      <c r="DM25">
        <v>87.4</v>
      </c>
      <c r="DN25">
        <v>27</v>
      </c>
      <c r="DO25">
        <v>0</v>
      </c>
      <c r="DP25">
        <v>176.74074074070001</v>
      </c>
      <c r="DQ25">
        <v>0</v>
      </c>
    </row>
    <row r="26" spans="2:121" x14ac:dyDescent="0.2">
      <c r="B26" t="s">
        <v>99</v>
      </c>
      <c r="C26">
        <v>132971</v>
      </c>
      <c r="D26">
        <v>54896</v>
      </c>
      <c r="F26" t="s">
        <v>42</v>
      </c>
      <c r="G26">
        <v>11765</v>
      </c>
      <c r="H26">
        <v>287.48814279639998</v>
      </c>
      <c r="I26">
        <v>8676</v>
      </c>
      <c r="J26">
        <v>2305</v>
      </c>
      <c r="K26">
        <v>21875</v>
      </c>
      <c r="L26">
        <v>12241</v>
      </c>
      <c r="M26">
        <v>3041</v>
      </c>
      <c r="N26">
        <v>1365</v>
      </c>
      <c r="O26">
        <v>1691</v>
      </c>
      <c r="P26">
        <v>1287</v>
      </c>
      <c r="Q26">
        <v>2</v>
      </c>
      <c r="R26">
        <v>58</v>
      </c>
      <c r="T26" t="s">
        <v>400</v>
      </c>
      <c r="U26">
        <v>47284</v>
      </c>
      <c r="V26">
        <v>400.67521783270001</v>
      </c>
      <c r="W26">
        <v>52638</v>
      </c>
      <c r="X26">
        <v>12916</v>
      </c>
      <c r="Y26">
        <v>73821</v>
      </c>
      <c r="Z26">
        <v>41273</v>
      </c>
      <c r="AA26">
        <v>10411</v>
      </c>
      <c r="AB26">
        <v>8279</v>
      </c>
      <c r="AC26">
        <v>22494</v>
      </c>
      <c r="AD26">
        <v>14576</v>
      </c>
      <c r="AE26">
        <v>138</v>
      </c>
      <c r="AF26">
        <v>1187</v>
      </c>
      <c r="AH26" t="s">
        <v>411</v>
      </c>
      <c r="AI26">
        <v>1417</v>
      </c>
      <c r="AJ26">
        <v>201.29851799580001</v>
      </c>
      <c r="AK26">
        <v>5430</v>
      </c>
      <c r="AL26">
        <v>1248</v>
      </c>
      <c r="AM26">
        <v>4720</v>
      </c>
      <c r="AN26">
        <v>1144</v>
      </c>
      <c r="AO26">
        <v>332</v>
      </c>
      <c r="AP26">
        <v>234</v>
      </c>
      <c r="AQ26">
        <v>1189</v>
      </c>
      <c r="AR26">
        <v>590</v>
      </c>
      <c r="AS26">
        <v>7</v>
      </c>
      <c r="AT26">
        <v>2</v>
      </c>
      <c r="AV26" t="s">
        <v>417</v>
      </c>
      <c r="AW26">
        <v>536</v>
      </c>
      <c r="AX26">
        <v>36.878731343299997</v>
      </c>
      <c r="AY26">
        <v>2178</v>
      </c>
      <c r="AZ26">
        <v>70</v>
      </c>
      <c r="BA26">
        <v>972</v>
      </c>
      <c r="BB26">
        <v>59</v>
      </c>
      <c r="BC26">
        <v>11</v>
      </c>
      <c r="BD26">
        <v>10</v>
      </c>
      <c r="BE26">
        <v>73</v>
      </c>
      <c r="BF26">
        <v>40</v>
      </c>
      <c r="BG26">
        <v>920</v>
      </c>
      <c r="BH26">
        <v>297</v>
      </c>
      <c r="BJ26" t="s">
        <v>590</v>
      </c>
      <c r="BK26" t="s">
        <v>400</v>
      </c>
      <c r="BL26">
        <v>7595</v>
      </c>
      <c r="BM26">
        <v>1833</v>
      </c>
      <c r="BN26">
        <v>94.445951283699998</v>
      </c>
      <c r="BO26">
        <v>22130</v>
      </c>
      <c r="BP26">
        <v>267</v>
      </c>
      <c r="BQ26">
        <v>152.12833258020001</v>
      </c>
      <c r="BR26">
        <v>140.48314606740001</v>
      </c>
      <c r="BS26">
        <v>9168</v>
      </c>
      <c r="BT26">
        <v>3280</v>
      </c>
      <c r="BU26">
        <v>116.2122600349</v>
      </c>
      <c r="BV26">
        <v>32756</v>
      </c>
      <c r="BW26">
        <v>387</v>
      </c>
      <c r="BX26">
        <v>176.9647392844</v>
      </c>
      <c r="BY26">
        <v>166.40568475449999</v>
      </c>
      <c r="CA26" t="s">
        <v>401</v>
      </c>
      <c r="CB26" t="s">
        <v>817</v>
      </c>
      <c r="CC26" t="s">
        <v>1024</v>
      </c>
      <c r="CD26">
        <v>8132</v>
      </c>
      <c r="CE26">
        <v>2127</v>
      </c>
      <c r="CF26">
        <v>103.4200688637</v>
      </c>
      <c r="CG26">
        <v>29437</v>
      </c>
      <c r="CH26">
        <v>435</v>
      </c>
      <c r="CI26">
        <v>160.36389577739999</v>
      </c>
      <c r="CJ26">
        <v>138.00459770110001</v>
      </c>
      <c r="CL26" t="s">
        <v>401</v>
      </c>
      <c r="CM26" t="s">
        <v>792</v>
      </c>
      <c r="CN26" t="s">
        <v>801</v>
      </c>
      <c r="CO26">
        <v>691</v>
      </c>
      <c r="CP26">
        <v>74</v>
      </c>
      <c r="CQ26">
        <v>59.539797395100003</v>
      </c>
      <c r="CR26">
        <v>5481</v>
      </c>
      <c r="CS26">
        <v>72</v>
      </c>
      <c r="CT26">
        <v>57.808794015700002</v>
      </c>
      <c r="CU26">
        <v>62.611111111100001</v>
      </c>
      <c r="CW26" t="s">
        <v>401</v>
      </c>
      <c r="CX26" t="s">
        <v>805</v>
      </c>
      <c r="CY26" t="s">
        <v>814</v>
      </c>
      <c r="CZ26">
        <v>194</v>
      </c>
      <c r="DA26">
        <v>14</v>
      </c>
      <c r="DB26">
        <v>57.226804123699999</v>
      </c>
      <c r="DC26">
        <v>515</v>
      </c>
      <c r="DD26">
        <v>6</v>
      </c>
      <c r="DE26">
        <v>131.39611650489999</v>
      </c>
      <c r="DF26">
        <v>88.666666666699996</v>
      </c>
      <c r="DH26" t="s">
        <v>401</v>
      </c>
      <c r="DI26" t="s">
        <v>779</v>
      </c>
      <c r="DJ26" t="s">
        <v>788</v>
      </c>
      <c r="DK26">
        <v>157</v>
      </c>
      <c r="DL26">
        <v>16</v>
      </c>
      <c r="DM26">
        <v>60.216560509600001</v>
      </c>
      <c r="DN26">
        <v>346</v>
      </c>
      <c r="DO26">
        <v>3</v>
      </c>
      <c r="DP26">
        <v>148.1242774566</v>
      </c>
      <c r="DQ26">
        <v>113.6666666667</v>
      </c>
    </row>
    <row r="27" spans="2:121" x14ac:dyDescent="0.2">
      <c r="B27" t="s">
        <v>112</v>
      </c>
      <c r="C27">
        <v>24709</v>
      </c>
      <c r="D27">
        <v>8312</v>
      </c>
      <c r="F27" t="s">
        <v>58</v>
      </c>
      <c r="G27">
        <v>744</v>
      </c>
      <c r="H27">
        <v>144.55779569890001</v>
      </c>
      <c r="I27">
        <v>904</v>
      </c>
      <c r="J27">
        <v>282</v>
      </c>
      <c r="K27">
        <v>963</v>
      </c>
      <c r="L27">
        <v>380</v>
      </c>
      <c r="M27">
        <v>151</v>
      </c>
      <c r="N27">
        <v>119</v>
      </c>
      <c r="O27">
        <v>730</v>
      </c>
      <c r="P27">
        <v>445</v>
      </c>
      <c r="Q27">
        <v>343</v>
      </c>
      <c r="R27">
        <v>141</v>
      </c>
      <c r="T27" t="s">
        <v>379</v>
      </c>
      <c r="U27">
        <v>74510</v>
      </c>
      <c r="V27">
        <v>401.05375117429998</v>
      </c>
      <c r="W27">
        <v>74221</v>
      </c>
      <c r="X27">
        <v>19982</v>
      </c>
      <c r="Y27">
        <v>104768</v>
      </c>
      <c r="Z27">
        <v>64210</v>
      </c>
      <c r="AA27">
        <v>20974</v>
      </c>
      <c r="AB27">
        <v>15935</v>
      </c>
      <c r="AC27">
        <v>34552</v>
      </c>
      <c r="AD27">
        <v>22225</v>
      </c>
      <c r="AE27">
        <v>6012</v>
      </c>
      <c r="AF27">
        <v>163</v>
      </c>
      <c r="AH27" t="s">
        <v>399</v>
      </c>
      <c r="AI27">
        <v>5076</v>
      </c>
      <c r="AJ27">
        <v>375.32131599680002</v>
      </c>
      <c r="AK27">
        <v>4138</v>
      </c>
      <c r="AL27">
        <v>1184</v>
      </c>
      <c r="AM27">
        <v>7159</v>
      </c>
      <c r="AN27">
        <v>4839</v>
      </c>
      <c r="AO27">
        <v>1018</v>
      </c>
      <c r="AP27">
        <v>856</v>
      </c>
      <c r="AQ27">
        <v>2281</v>
      </c>
      <c r="AR27">
        <v>1355</v>
      </c>
      <c r="AS27">
        <v>10</v>
      </c>
      <c r="AT27">
        <v>145</v>
      </c>
      <c r="AV27" t="s">
        <v>407</v>
      </c>
      <c r="AW27">
        <v>344</v>
      </c>
      <c r="AX27">
        <v>66.8575581395</v>
      </c>
      <c r="AY27">
        <v>548</v>
      </c>
      <c r="AZ27">
        <v>40</v>
      </c>
      <c r="BA27">
        <v>623</v>
      </c>
      <c r="BB27">
        <v>53</v>
      </c>
      <c r="BC27">
        <v>11</v>
      </c>
      <c r="BD27">
        <v>11</v>
      </c>
      <c r="BE27">
        <v>43</v>
      </c>
      <c r="BF27">
        <v>16</v>
      </c>
      <c r="BG27">
        <v>513</v>
      </c>
      <c r="BH27">
        <v>46</v>
      </c>
      <c r="BJ27" t="s">
        <v>649</v>
      </c>
      <c r="BK27" t="s">
        <v>400</v>
      </c>
      <c r="BL27">
        <v>2704</v>
      </c>
      <c r="BM27">
        <v>620</v>
      </c>
      <c r="BN27">
        <v>92.4308431953</v>
      </c>
      <c r="BO27">
        <v>7551</v>
      </c>
      <c r="BP27">
        <v>66</v>
      </c>
      <c r="BQ27">
        <v>177.32234141169999</v>
      </c>
      <c r="BR27">
        <v>166.28787878790001</v>
      </c>
      <c r="BS27">
        <v>2833</v>
      </c>
      <c r="BT27">
        <v>639</v>
      </c>
      <c r="BU27">
        <v>93.789975291199994</v>
      </c>
      <c r="BV27">
        <v>7485</v>
      </c>
      <c r="BW27">
        <v>102</v>
      </c>
      <c r="BX27">
        <v>177.38503674009999</v>
      </c>
      <c r="BY27">
        <v>155.7156862745</v>
      </c>
      <c r="CA27" t="s">
        <v>430</v>
      </c>
      <c r="CB27" t="s">
        <v>817</v>
      </c>
      <c r="CC27" t="s">
        <v>1025</v>
      </c>
      <c r="CD27">
        <v>962</v>
      </c>
      <c r="CE27">
        <v>233</v>
      </c>
      <c r="CF27">
        <v>90.435550935600006</v>
      </c>
      <c r="CG27">
        <v>3533</v>
      </c>
      <c r="CH27">
        <v>37</v>
      </c>
      <c r="CI27">
        <v>134.5547693179</v>
      </c>
      <c r="CJ27">
        <v>140.2162162162</v>
      </c>
      <c r="CL27" t="s">
        <v>430</v>
      </c>
      <c r="CM27" t="s">
        <v>792</v>
      </c>
      <c r="CN27" t="s">
        <v>802</v>
      </c>
      <c r="CO27">
        <v>49</v>
      </c>
      <c r="CP27">
        <v>5</v>
      </c>
      <c r="CQ27">
        <v>54.979591836700003</v>
      </c>
      <c r="CR27">
        <v>420</v>
      </c>
      <c r="CS27">
        <v>14</v>
      </c>
      <c r="CT27">
        <v>53.207142857100003</v>
      </c>
      <c r="CU27">
        <v>41.071428571399998</v>
      </c>
      <c r="CW27" t="s">
        <v>430</v>
      </c>
      <c r="CX27" t="s">
        <v>805</v>
      </c>
      <c r="CY27" t="s">
        <v>815</v>
      </c>
      <c r="CZ27">
        <v>6</v>
      </c>
      <c r="DA27">
        <v>1</v>
      </c>
      <c r="DB27">
        <v>79.333333333300004</v>
      </c>
      <c r="DC27">
        <v>47</v>
      </c>
      <c r="DD27">
        <v>1</v>
      </c>
      <c r="DE27">
        <v>120.5957446809</v>
      </c>
      <c r="DF27">
        <v>59</v>
      </c>
      <c r="DH27" t="s">
        <v>430</v>
      </c>
      <c r="DI27" t="s">
        <v>779</v>
      </c>
      <c r="DJ27" t="s">
        <v>789</v>
      </c>
      <c r="DK27">
        <v>16</v>
      </c>
      <c r="DL27">
        <v>0</v>
      </c>
      <c r="DM27">
        <v>51.3125</v>
      </c>
      <c r="DN27">
        <v>25</v>
      </c>
      <c r="DO27">
        <v>0</v>
      </c>
      <c r="DP27">
        <v>156.72</v>
      </c>
      <c r="DQ27">
        <v>0</v>
      </c>
    </row>
    <row r="28" spans="2:121" x14ac:dyDescent="0.2">
      <c r="B28" t="s">
        <v>20</v>
      </c>
      <c r="C28">
        <v>369</v>
      </c>
      <c r="D28">
        <v>228</v>
      </c>
      <c r="F28" t="s">
        <v>44</v>
      </c>
      <c r="G28">
        <v>1243</v>
      </c>
      <c r="H28">
        <v>124.1834271923</v>
      </c>
      <c r="I28">
        <v>2211</v>
      </c>
      <c r="J28">
        <v>541</v>
      </c>
      <c r="K28">
        <v>2385</v>
      </c>
      <c r="L28">
        <v>689</v>
      </c>
      <c r="M28">
        <v>201</v>
      </c>
      <c r="N28">
        <v>160</v>
      </c>
      <c r="O28">
        <v>2847</v>
      </c>
      <c r="P28">
        <v>2711</v>
      </c>
      <c r="Q28">
        <v>0</v>
      </c>
      <c r="R28">
        <v>11</v>
      </c>
      <c r="T28" t="s">
        <v>8</v>
      </c>
      <c r="U28">
        <v>8742</v>
      </c>
      <c r="V28">
        <v>418.27808281860001</v>
      </c>
      <c r="W28">
        <v>4118</v>
      </c>
      <c r="X28">
        <v>1767</v>
      </c>
      <c r="Y28">
        <v>10644</v>
      </c>
      <c r="Z28">
        <v>8179</v>
      </c>
      <c r="AA28">
        <v>1378</v>
      </c>
      <c r="AB28">
        <v>1175</v>
      </c>
      <c r="AC28">
        <v>15638</v>
      </c>
      <c r="AD28">
        <v>12321</v>
      </c>
      <c r="AE28">
        <v>378</v>
      </c>
      <c r="AF28">
        <v>156</v>
      </c>
      <c r="AH28" t="s">
        <v>407</v>
      </c>
      <c r="AI28">
        <v>6074</v>
      </c>
      <c r="AJ28">
        <v>283.30276588740003</v>
      </c>
      <c r="AK28">
        <v>5595</v>
      </c>
      <c r="AL28">
        <v>1115</v>
      </c>
      <c r="AM28">
        <v>9021</v>
      </c>
      <c r="AN28">
        <v>5348</v>
      </c>
      <c r="AO28">
        <v>2152</v>
      </c>
      <c r="AP28">
        <v>1959</v>
      </c>
      <c r="AQ28">
        <v>6045</v>
      </c>
      <c r="AR28">
        <v>4534</v>
      </c>
      <c r="AS28">
        <v>11</v>
      </c>
      <c r="AT28">
        <v>105</v>
      </c>
      <c r="AV28" t="s">
        <v>391</v>
      </c>
      <c r="AW28">
        <v>1142</v>
      </c>
      <c r="AX28">
        <v>102.52189141860001</v>
      </c>
      <c r="AY28">
        <v>1103</v>
      </c>
      <c r="AZ28">
        <v>252</v>
      </c>
      <c r="BA28">
        <v>1796</v>
      </c>
      <c r="BB28">
        <v>541</v>
      </c>
      <c r="BC28">
        <v>64</v>
      </c>
      <c r="BD28">
        <v>61</v>
      </c>
      <c r="BE28">
        <v>350</v>
      </c>
      <c r="BF28">
        <v>80</v>
      </c>
      <c r="BG28">
        <v>152</v>
      </c>
      <c r="BH28">
        <v>410</v>
      </c>
      <c r="BJ28" t="s">
        <v>543</v>
      </c>
      <c r="BK28" t="s">
        <v>379</v>
      </c>
      <c r="BL28">
        <v>4722</v>
      </c>
      <c r="BM28">
        <v>1287</v>
      </c>
      <c r="BN28">
        <v>114.8377806014</v>
      </c>
      <c r="BO28">
        <v>18512</v>
      </c>
      <c r="BP28">
        <v>150</v>
      </c>
      <c r="BQ28">
        <v>247.8547428695</v>
      </c>
      <c r="BR28">
        <v>200.07333333330001</v>
      </c>
      <c r="BS28">
        <v>3047</v>
      </c>
      <c r="BT28">
        <v>360</v>
      </c>
      <c r="BU28">
        <v>77.492615687599994</v>
      </c>
      <c r="BV28">
        <v>5952</v>
      </c>
      <c r="BW28">
        <v>77</v>
      </c>
      <c r="BX28">
        <v>234.45631720430001</v>
      </c>
      <c r="BY28">
        <v>160.38961038959999</v>
      </c>
      <c r="CA28" t="s">
        <v>406</v>
      </c>
      <c r="CB28" t="s">
        <v>817</v>
      </c>
      <c r="CC28" t="s">
        <v>1026</v>
      </c>
      <c r="CD28">
        <v>3837</v>
      </c>
      <c r="CE28">
        <v>951</v>
      </c>
      <c r="CF28">
        <v>92.100338806400003</v>
      </c>
      <c r="CG28">
        <v>14268</v>
      </c>
      <c r="CH28">
        <v>135</v>
      </c>
      <c r="CI28">
        <v>155.73738435659999</v>
      </c>
      <c r="CJ28">
        <v>152.8148148148</v>
      </c>
      <c r="CL28" t="s">
        <v>406</v>
      </c>
      <c r="CM28" t="s">
        <v>792</v>
      </c>
      <c r="CN28" t="s">
        <v>803</v>
      </c>
      <c r="CO28">
        <v>252</v>
      </c>
      <c r="CP28">
        <v>11</v>
      </c>
      <c r="CQ28">
        <v>42.670634920600001</v>
      </c>
      <c r="CR28">
        <v>2186</v>
      </c>
      <c r="CS28">
        <v>32</v>
      </c>
      <c r="CT28">
        <v>43.923147301</v>
      </c>
      <c r="CU28">
        <v>69.3125</v>
      </c>
      <c r="CW28" t="s">
        <v>406</v>
      </c>
      <c r="CX28" t="s">
        <v>805</v>
      </c>
      <c r="CY28" t="s">
        <v>816</v>
      </c>
      <c r="CZ28">
        <v>87</v>
      </c>
      <c r="DA28">
        <v>5</v>
      </c>
      <c r="DB28">
        <v>61.034482758599999</v>
      </c>
      <c r="DC28">
        <v>232</v>
      </c>
      <c r="DD28">
        <v>3</v>
      </c>
      <c r="DE28">
        <v>126.42241379310001</v>
      </c>
      <c r="DF28">
        <v>142.3333333333</v>
      </c>
      <c r="DH28" t="s">
        <v>406</v>
      </c>
      <c r="DI28" t="s">
        <v>779</v>
      </c>
      <c r="DJ28" t="s">
        <v>790</v>
      </c>
      <c r="DK28">
        <v>62</v>
      </c>
      <c r="DL28">
        <v>9</v>
      </c>
      <c r="DM28">
        <v>73.451612903200001</v>
      </c>
      <c r="DN28">
        <v>169</v>
      </c>
      <c r="DO28">
        <v>6</v>
      </c>
      <c r="DP28">
        <v>153.33136094669999</v>
      </c>
      <c r="DQ28">
        <v>119.1666666667</v>
      </c>
    </row>
    <row r="29" spans="2:121" x14ac:dyDescent="0.2">
      <c r="B29" t="s">
        <v>91</v>
      </c>
      <c r="C29">
        <v>86677</v>
      </c>
      <c r="D29">
        <v>26530</v>
      </c>
      <c r="F29" t="s">
        <v>72</v>
      </c>
      <c r="G29">
        <v>15484</v>
      </c>
      <c r="H29">
        <v>489.2143502971</v>
      </c>
      <c r="I29">
        <v>11227</v>
      </c>
      <c r="J29">
        <v>2593</v>
      </c>
      <c r="K29">
        <v>17806</v>
      </c>
      <c r="L29">
        <v>12012</v>
      </c>
      <c r="M29">
        <v>5741</v>
      </c>
      <c r="N29">
        <v>5370</v>
      </c>
      <c r="O29">
        <v>5120</v>
      </c>
      <c r="P29">
        <v>4245</v>
      </c>
      <c r="Q29">
        <v>7</v>
      </c>
      <c r="R29">
        <v>22</v>
      </c>
      <c r="T29" t="s">
        <v>414</v>
      </c>
      <c r="U29">
        <v>73984</v>
      </c>
      <c r="V29">
        <v>365.28275032440001</v>
      </c>
      <c r="W29">
        <v>62472</v>
      </c>
      <c r="X29">
        <v>16301</v>
      </c>
      <c r="Y29">
        <v>103575</v>
      </c>
      <c r="Z29">
        <v>64101</v>
      </c>
      <c r="AA29">
        <v>18443</v>
      </c>
      <c r="AB29">
        <v>14868</v>
      </c>
      <c r="AC29">
        <v>24883</v>
      </c>
      <c r="AD29">
        <v>16319</v>
      </c>
      <c r="AE29">
        <v>87</v>
      </c>
      <c r="AF29">
        <v>612</v>
      </c>
      <c r="AH29" t="s">
        <v>428</v>
      </c>
      <c r="AI29">
        <v>1083</v>
      </c>
      <c r="AJ29">
        <v>242.62326869809999</v>
      </c>
      <c r="AK29">
        <v>953</v>
      </c>
      <c r="AL29">
        <v>109</v>
      </c>
      <c r="AM29">
        <v>1795</v>
      </c>
      <c r="AN29">
        <v>739</v>
      </c>
      <c r="AO29">
        <v>450</v>
      </c>
      <c r="AP29">
        <v>219</v>
      </c>
      <c r="AQ29">
        <v>188</v>
      </c>
      <c r="AR29">
        <v>86</v>
      </c>
      <c r="AS29">
        <v>4</v>
      </c>
      <c r="AT29">
        <v>5</v>
      </c>
      <c r="AV29" t="s">
        <v>428</v>
      </c>
      <c r="AW29">
        <v>18</v>
      </c>
      <c r="AX29">
        <v>24.611111111100001</v>
      </c>
      <c r="AY29">
        <v>72</v>
      </c>
      <c r="AZ29">
        <v>2</v>
      </c>
      <c r="BA29">
        <v>40</v>
      </c>
      <c r="BB29">
        <v>2</v>
      </c>
      <c r="BC29">
        <v>1</v>
      </c>
      <c r="BD29">
        <v>1</v>
      </c>
      <c r="BE29">
        <v>3</v>
      </c>
      <c r="BG29">
        <v>76</v>
      </c>
      <c r="BH29">
        <v>8</v>
      </c>
      <c r="BJ29" t="s">
        <v>522</v>
      </c>
      <c r="BK29" t="s">
        <v>379</v>
      </c>
      <c r="BL29">
        <v>3741</v>
      </c>
      <c r="BM29">
        <v>1033</v>
      </c>
      <c r="BN29">
        <v>103.02539427959999</v>
      </c>
      <c r="BO29">
        <v>11487</v>
      </c>
      <c r="BP29">
        <v>120</v>
      </c>
      <c r="BQ29">
        <v>212.42221641859999</v>
      </c>
      <c r="BR29">
        <v>171.21666666670001</v>
      </c>
      <c r="BS29">
        <v>3131</v>
      </c>
      <c r="BT29">
        <v>892</v>
      </c>
      <c r="BU29">
        <v>95.099648674500003</v>
      </c>
      <c r="BV29">
        <v>9776</v>
      </c>
      <c r="BW29">
        <v>91</v>
      </c>
      <c r="BX29">
        <v>197.54173486089999</v>
      </c>
      <c r="BY29">
        <v>156.86813186809999</v>
      </c>
      <c r="CA29" t="s">
        <v>400</v>
      </c>
      <c r="CB29" t="s">
        <v>817</v>
      </c>
      <c r="CD29">
        <v>51477</v>
      </c>
      <c r="CE29">
        <v>12766</v>
      </c>
      <c r="CF29">
        <v>98.656914738599994</v>
      </c>
      <c r="CG29">
        <v>184163</v>
      </c>
      <c r="CH29">
        <v>2240</v>
      </c>
      <c r="CI29">
        <v>170.4637739394</v>
      </c>
      <c r="CJ29">
        <v>151.09419642859999</v>
      </c>
      <c r="CL29" t="s">
        <v>400</v>
      </c>
      <c r="CM29" t="s">
        <v>792</v>
      </c>
      <c r="CO29">
        <v>4110</v>
      </c>
      <c r="CP29">
        <v>340</v>
      </c>
      <c r="CQ29">
        <v>55.281995133800002</v>
      </c>
      <c r="CR29">
        <v>29392</v>
      </c>
      <c r="CS29">
        <v>427</v>
      </c>
      <c r="CT29">
        <v>54.8782661949</v>
      </c>
      <c r="CU29">
        <v>62.789227166300002</v>
      </c>
      <c r="CW29" t="s">
        <v>400</v>
      </c>
      <c r="CX29" t="s">
        <v>805</v>
      </c>
      <c r="CZ29">
        <v>1114</v>
      </c>
      <c r="DA29">
        <v>106</v>
      </c>
      <c r="DB29">
        <v>60.160682226200002</v>
      </c>
      <c r="DC29">
        <v>3251</v>
      </c>
      <c r="DD29">
        <v>42</v>
      </c>
      <c r="DE29">
        <v>128.5407566902</v>
      </c>
      <c r="DF29">
        <v>101.80952380950001</v>
      </c>
      <c r="DH29" t="s">
        <v>400</v>
      </c>
      <c r="DI29" t="s">
        <v>779</v>
      </c>
      <c r="DK29">
        <v>1052</v>
      </c>
      <c r="DL29">
        <v>106</v>
      </c>
      <c r="DM29">
        <v>60.548479087499999</v>
      </c>
      <c r="DN29">
        <v>2735</v>
      </c>
      <c r="DO29">
        <v>29</v>
      </c>
      <c r="DP29">
        <v>151.19707495430001</v>
      </c>
      <c r="DQ29">
        <v>126.0689655172</v>
      </c>
    </row>
    <row r="30" spans="2:121" x14ac:dyDescent="0.2">
      <c r="B30" t="s">
        <v>96</v>
      </c>
      <c r="C30">
        <v>160</v>
      </c>
      <c r="D30">
        <v>120</v>
      </c>
      <c r="F30" t="s">
        <v>48</v>
      </c>
      <c r="G30">
        <v>1994</v>
      </c>
      <c r="H30">
        <v>219.4699097292</v>
      </c>
      <c r="I30">
        <v>2581</v>
      </c>
      <c r="J30">
        <v>594</v>
      </c>
      <c r="K30">
        <v>2622</v>
      </c>
      <c r="L30">
        <v>1421</v>
      </c>
      <c r="M30">
        <v>421</v>
      </c>
      <c r="N30">
        <v>333</v>
      </c>
      <c r="O30">
        <v>90</v>
      </c>
      <c r="P30">
        <v>65</v>
      </c>
      <c r="Q30">
        <v>0</v>
      </c>
      <c r="R30">
        <v>0</v>
      </c>
      <c r="T30" t="s">
        <v>390</v>
      </c>
      <c r="U30">
        <v>80908</v>
      </c>
      <c r="V30">
        <v>352.91403816680003</v>
      </c>
      <c r="W30">
        <v>77137</v>
      </c>
      <c r="X30">
        <v>20770</v>
      </c>
      <c r="Y30">
        <v>113174</v>
      </c>
      <c r="Z30">
        <v>71874</v>
      </c>
      <c r="AA30">
        <v>21234</v>
      </c>
      <c r="AB30">
        <v>16319</v>
      </c>
      <c r="AC30">
        <v>41107</v>
      </c>
      <c r="AD30">
        <v>22020</v>
      </c>
      <c r="AE30">
        <v>2918</v>
      </c>
      <c r="AF30">
        <v>1117</v>
      </c>
      <c r="AH30" t="s">
        <v>410</v>
      </c>
      <c r="AI30">
        <v>1332</v>
      </c>
      <c r="AJ30">
        <v>206.62537537540001</v>
      </c>
      <c r="AK30">
        <v>2070</v>
      </c>
      <c r="AL30">
        <v>305</v>
      </c>
      <c r="AM30">
        <v>2576</v>
      </c>
      <c r="AN30">
        <v>783</v>
      </c>
      <c r="AO30">
        <v>901</v>
      </c>
      <c r="AP30">
        <v>450</v>
      </c>
      <c r="AQ30">
        <v>411</v>
      </c>
      <c r="AR30">
        <v>155</v>
      </c>
      <c r="AS30">
        <v>1</v>
      </c>
      <c r="AT30">
        <v>14</v>
      </c>
      <c r="AV30" t="s">
        <v>394</v>
      </c>
      <c r="AW30">
        <v>360</v>
      </c>
      <c r="AX30">
        <v>65.555555555599994</v>
      </c>
      <c r="AY30">
        <v>544</v>
      </c>
      <c r="AZ30">
        <v>27</v>
      </c>
      <c r="BA30">
        <v>654</v>
      </c>
      <c r="BB30">
        <v>61</v>
      </c>
      <c r="BC30">
        <v>11</v>
      </c>
      <c r="BD30">
        <v>11</v>
      </c>
      <c r="BE30">
        <v>60</v>
      </c>
      <c r="BF30">
        <v>16</v>
      </c>
      <c r="BG30">
        <v>469</v>
      </c>
      <c r="BH30">
        <v>66</v>
      </c>
      <c r="BJ30" t="s">
        <v>530</v>
      </c>
      <c r="BK30" t="s">
        <v>379</v>
      </c>
      <c r="BL30">
        <v>4435</v>
      </c>
      <c r="BM30">
        <v>1141</v>
      </c>
      <c r="BN30">
        <v>103.47237880500001</v>
      </c>
      <c r="BO30">
        <v>12593</v>
      </c>
      <c r="BP30">
        <v>178</v>
      </c>
      <c r="BQ30">
        <v>208.50933058050001</v>
      </c>
      <c r="BR30">
        <v>172.75842696629999</v>
      </c>
      <c r="BS30">
        <v>3901</v>
      </c>
      <c r="BT30">
        <v>807</v>
      </c>
      <c r="BU30">
        <v>90.953857985100001</v>
      </c>
      <c r="BV30">
        <v>10753</v>
      </c>
      <c r="BW30">
        <v>116</v>
      </c>
      <c r="BX30">
        <v>206.3047521622</v>
      </c>
      <c r="BY30">
        <v>158.0172413793</v>
      </c>
      <c r="CA30" t="s">
        <v>383</v>
      </c>
      <c r="CB30" t="s">
        <v>866</v>
      </c>
      <c r="CC30" t="s">
        <v>992</v>
      </c>
      <c r="CD30">
        <v>1830</v>
      </c>
      <c r="CE30">
        <v>416</v>
      </c>
      <c r="CF30">
        <v>92.327322404399993</v>
      </c>
      <c r="CG30">
        <v>6413</v>
      </c>
      <c r="CH30">
        <v>75</v>
      </c>
      <c r="CI30">
        <v>151.57601746450001</v>
      </c>
      <c r="CJ30">
        <v>148.18666666670001</v>
      </c>
      <c r="CL30" t="s">
        <v>383</v>
      </c>
      <c r="CM30" t="s">
        <v>835</v>
      </c>
      <c r="CN30" t="s">
        <v>834</v>
      </c>
      <c r="CO30">
        <v>105</v>
      </c>
      <c r="CP30">
        <v>13</v>
      </c>
      <c r="CQ30">
        <v>74.038095238099999</v>
      </c>
      <c r="CR30">
        <v>834</v>
      </c>
      <c r="CS30">
        <v>9</v>
      </c>
      <c r="CT30">
        <v>75.482014388500005</v>
      </c>
      <c r="CU30">
        <v>49.555555555600002</v>
      </c>
      <c r="CW30" t="s">
        <v>383</v>
      </c>
      <c r="CX30" t="s">
        <v>851</v>
      </c>
      <c r="CY30" t="s">
        <v>850</v>
      </c>
      <c r="CZ30">
        <v>47</v>
      </c>
      <c r="DA30">
        <v>2</v>
      </c>
      <c r="DB30">
        <v>54.680851063799999</v>
      </c>
      <c r="DC30">
        <v>140</v>
      </c>
      <c r="DD30">
        <v>0</v>
      </c>
      <c r="DE30">
        <v>137.4714285714</v>
      </c>
      <c r="DF30">
        <v>0</v>
      </c>
      <c r="DH30" t="s">
        <v>383</v>
      </c>
      <c r="DI30" t="s">
        <v>819</v>
      </c>
      <c r="DJ30" t="s">
        <v>818</v>
      </c>
      <c r="DK30">
        <v>63</v>
      </c>
      <c r="DL30">
        <v>3</v>
      </c>
      <c r="DM30">
        <v>52.984126984100001</v>
      </c>
      <c r="DN30">
        <v>72</v>
      </c>
      <c r="DO30">
        <v>0</v>
      </c>
      <c r="DP30">
        <v>116.4166666667</v>
      </c>
      <c r="DQ30">
        <v>0</v>
      </c>
    </row>
    <row r="31" spans="2:121" x14ac:dyDescent="0.2">
      <c r="B31" t="s">
        <v>120</v>
      </c>
      <c r="C31">
        <v>10837</v>
      </c>
      <c r="D31">
        <v>2398</v>
      </c>
      <c r="F31" t="s">
        <v>76</v>
      </c>
      <c r="G31">
        <v>13884</v>
      </c>
      <c r="H31">
        <v>399.79602420050003</v>
      </c>
      <c r="I31">
        <v>7406</v>
      </c>
      <c r="J31">
        <v>1707</v>
      </c>
      <c r="K31">
        <v>19217</v>
      </c>
      <c r="L31">
        <v>13460</v>
      </c>
      <c r="M31">
        <v>3972</v>
      </c>
      <c r="N31">
        <v>3577</v>
      </c>
      <c r="O31">
        <v>5350</v>
      </c>
      <c r="P31">
        <v>4570</v>
      </c>
      <c r="Q31">
        <v>0</v>
      </c>
      <c r="R31">
        <v>148</v>
      </c>
      <c r="T31" t="s">
        <v>471</v>
      </c>
      <c r="U31">
        <v>351544</v>
      </c>
      <c r="V31">
        <v>372.19478073869999</v>
      </c>
      <c r="W31">
        <v>340206</v>
      </c>
      <c r="X31">
        <v>89816</v>
      </c>
      <c r="Y31">
        <v>500506</v>
      </c>
      <c r="Z31">
        <v>303655</v>
      </c>
      <c r="AA31">
        <v>86056</v>
      </c>
      <c r="AB31">
        <v>66303</v>
      </c>
      <c r="AC31">
        <v>162123</v>
      </c>
      <c r="AD31">
        <v>101522</v>
      </c>
      <c r="AE31">
        <v>9623</v>
      </c>
      <c r="AF31">
        <v>4432</v>
      </c>
      <c r="AH31" t="s">
        <v>423</v>
      </c>
      <c r="AI31">
        <v>4335</v>
      </c>
      <c r="AJ31">
        <v>436.53656286040001</v>
      </c>
      <c r="AK31">
        <v>3979</v>
      </c>
      <c r="AL31">
        <v>1223</v>
      </c>
      <c r="AM31">
        <v>5553</v>
      </c>
      <c r="AN31">
        <v>3566</v>
      </c>
      <c r="AO31">
        <v>535</v>
      </c>
      <c r="AP31">
        <v>464</v>
      </c>
      <c r="AQ31">
        <v>1531</v>
      </c>
      <c r="AR31">
        <v>878</v>
      </c>
      <c r="AS31">
        <v>7</v>
      </c>
      <c r="AT31">
        <v>109</v>
      </c>
      <c r="AV31" t="s">
        <v>415</v>
      </c>
      <c r="AW31">
        <v>36</v>
      </c>
      <c r="AX31">
        <v>39.833333333299997</v>
      </c>
      <c r="AY31">
        <v>149</v>
      </c>
      <c r="AZ31">
        <v>2</v>
      </c>
      <c r="BA31">
        <v>63</v>
      </c>
      <c r="BB31">
        <v>7</v>
      </c>
      <c r="BC31">
        <v>0</v>
      </c>
      <c r="BE31">
        <v>7</v>
      </c>
      <c r="BF31">
        <v>3</v>
      </c>
      <c r="BG31">
        <v>174</v>
      </c>
      <c r="BH31">
        <v>22</v>
      </c>
      <c r="BJ31" t="s">
        <v>532</v>
      </c>
      <c r="BK31" t="s">
        <v>379</v>
      </c>
      <c r="BL31">
        <v>1775</v>
      </c>
      <c r="BM31">
        <v>384</v>
      </c>
      <c r="BN31">
        <v>90.943098591500004</v>
      </c>
      <c r="BO31">
        <v>6085</v>
      </c>
      <c r="BP31">
        <v>78</v>
      </c>
      <c r="BQ31">
        <v>150.93147082990001</v>
      </c>
      <c r="BR31">
        <v>147.4615384615</v>
      </c>
      <c r="BS31">
        <v>2233</v>
      </c>
      <c r="BT31">
        <v>748</v>
      </c>
      <c r="BU31">
        <v>116.3139274519</v>
      </c>
      <c r="BV31">
        <v>9246</v>
      </c>
      <c r="BW31">
        <v>96</v>
      </c>
      <c r="BX31">
        <v>174.626541207</v>
      </c>
      <c r="BY31">
        <v>168.15625</v>
      </c>
      <c r="CA31" t="s">
        <v>433</v>
      </c>
      <c r="CB31" t="s">
        <v>866</v>
      </c>
      <c r="CC31" t="s">
        <v>993</v>
      </c>
      <c r="CD31">
        <v>954</v>
      </c>
      <c r="CE31">
        <v>302</v>
      </c>
      <c r="CF31">
        <v>118.8008385744</v>
      </c>
      <c r="CG31">
        <v>3040</v>
      </c>
      <c r="CH31">
        <v>38</v>
      </c>
      <c r="CI31">
        <v>216.0542763158</v>
      </c>
      <c r="CJ31">
        <v>148.81578947369999</v>
      </c>
      <c r="CL31" t="s">
        <v>433</v>
      </c>
      <c r="CM31" t="s">
        <v>835</v>
      </c>
      <c r="CN31" t="s">
        <v>836</v>
      </c>
      <c r="CO31">
        <v>33</v>
      </c>
      <c r="CP31">
        <v>6</v>
      </c>
      <c r="CQ31">
        <v>80.454545454500007</v>
      </c>
      <c r="CR31">
        <v>291</v>
      </c>
      <c r="CS31">
        <v>1</v>
      </c>
      <c r="CT31">
        <v>83.690721649500006</v>
      </c>
      <c r="CU31">
        <v>44</v>
      </c>
      <c r="CW31" t="s">
        <v>433</v>
      </c>
      <c r="CX31" t="s">
        <v>851</v>
      </c>
      <c r="CY31" t="s">
        <v>852</v>
      </c>
      <c r="CZ31">
        <v>17</v>
      </c>
      <c r="DA31">
        <v>3</v>
      </c>
      <c r="DB31">
        <v>64.352941176499996</v>
      </c>
      <c r="DC31">
        <v>44</v>
      </c>
      <c r="DD31">
        <v>0</v>
      </c>
      <c r="DE31">
        <v>118.9772727273</v>
      </c>
      <c r="DF31">
        <v>0</v>
      </c>
      <c r="DH31" t="s">
        <v>433</v>
      </c>
      <c r="DI31" t="s">
        <v>819</v>
      </c>
      <c r="DJ31" t="s">
        <v>820</v>
      </c>
      <c r="DK31">
        <v>22</v>
      </c>
      <c r="DL31">
        <v>5</v>
      </c>
      <c r="DM31">
        <v>62.9545454545</v>
      </c>
      <c r="DN31">
        <v>37</v>
      </c>
      <c r="DO31">
        <v>0</v>
      </c>
      <c r="DP31">
        <v>121.5405405405</v>
      </c>
      <c r="DQ31">
        <v>0</v>
      </c>
    </row>
    <row r="32" spans="2:121" x14ac:dyDescent="0.2">
      <c r="B32" t="s">
        <v>128</v>
      </c>
      <c r="C32">
        <v>686</v>
      </c>
      <c r="D32">
        <v>22</v>
      </c>
      <c r="F32" t="s">
        <v>68</v>
      </c>
      <c r="G32">
        <v>4095</v>
      </c>
      <c r="H32">
        <v>468.34920634920002</v>
      </c>
      <c r="I32">
        <v>4901</v>
      </c>
      <c r="J32">
        <v>1578</v>
      </c>
      <c r="K32">
        <v>5599</v>
      </c>
      <c r="L32">
        <v>4297</v>
      </c>
      <c r="M32">
        <v>599</v>
      </c>
      <c r="N32">
        <v>525</v>
      </c>
      <c r="O32">
        <v>1146</v>
      </c>
      <c r="P32">
        <v>816</v>
      </c>
      <c r="Q32">
        <v>0</v>
      </c>
      <c r="R32">
        <v>3</v>
      </c>
      <c r="AH32" t="s">
        <v>425</v>
      </c>
      <c r="AI32">
        <v>1840</v>
      </c>
      <c r="AJ32">
        <v>386.05434782610001</v>
      </c>
      <c r="AK32">
        <v>1173</v>
      </c>
      <c r="AL32">
        <v>265</v>
      </c>
      <c r="AM32">
        <v>2549</v>
      </c>
      <c r="AN32">
        <v>1572</v>
      </c>
      <c r="AO32">
        <v>694</v>
      </c>
      <c r="AP32">
        <v>532</v>
      </c>
      <c r="AQ32">
        <v>209</v>
      </c>
      <c r="AR32">
        <v>106</v>
      </c>
      <c r="AS32">
        <v>122</v>
      </c>
      <c r="AT32">
        <v>3</v>
      </c>
      <c r="AV32" t="s">
        <v>425</v>
      </c>
      <c r="AW32">
        <v>96</v>
      </c>
      <c r="AX32">
        <v>86.40625</v>
      </c>
      <c r="AY32">
        <v>97</v>
      </c>
      <c r="AZ32">
        <v>22</v>
      </c>
      <c r="BA32">
        <v>146</v>
      </c>
      <c r="BB32">
        <v>31</v>
      </c>
      <c r="BC32">
        <v>3</v>
      </c>
      <c r="BD32">
        <v>3</v>
      </c>
      <c r="BE32">
        <v>32</v>
      </c>
      <c r="BF32">
        <v>6</v>
      </c>
      <c r="BG32">
        <v>9</v>
      </c>
      <c r="BH32">
        <v>28</v>
      </c>
      <c r="BJ32" t="s">
        <v>547</v>
      </c>
      <c r="BK32" t="s">
        <v>379</v>
      </c>
      <c r="BL32">
        <v>2156</v>
      </c>
      <c r="BM32">
        <v>460</v>
      </c>
      <c r="BN32">
        <v>88.044063079799997</v>
      </c>
      <c r="BO32">
        <v>8789</v>
      </c>
      <c r="BP32">
        <v>81</v>
      </c>
      <c r="BQ32">
        <v>142.22676072359999</v>
      </c>
      <c r="BR32">
        <v>115.55555555559999</v>
      </c>
      <c r="BS32">
        <v>4176</v>
      </c>
      <c r="BT32">
        <v>1356</v>
      </c>
      <c r="BU32">
        <v>117.5917145594</v>
      </c>
      <c r="BV32">
        <v>17420</v>
      </c>
      <c r="BW32">
        <v>217</v>
      </c>
      <c r="BX32">
        <v>177.65619977040001</v>
      </c>
      <c r="BY32">
        <v>171.69585253459999</v>
      </c>
      <c r="CA32" t="s">
        <v>424</v>
      </c>
      <c r="CB32" t="s">
        <v>866</v>
      </c>
      <c r="CC32" t="s">
        <v>994</v>
      </c>
      <c r="CD32">
        <v>447</v>
      </c>
      <c r="CE32">
        <v>153</v>
      </c>
      <c r="CF32">
        <v>119.05816554810001</v>
      </c>
      <c r="CG32">
        <v>1526</v>
      </c>
      <c r="CH32">
        <v>21</v>
      </c>
      <c r="CI32">
        <v>211.36959370899999</v>
      </c>
      <c r="CJ32">
        <v>123.42857142859999</v>
      </c>
      <c r="CL32" t="s">
        <v>424</v>
      </c>
      <c r="CM32" t="s">
        <v>835</v>
      </c>
      <c r="CN32" t="s">
        <v>837</v>
      </c>
      <c r="CO32">
        <v>48</v>
      </c>
      <c r="CP32">
        <v>3</v>
      </c>
      <c r="CQ32">
        <v>56.291666666700003</v>
      </c>
      <c r="CR32">
        <v>180</v>
      </c>
      <c r="CS32">
        <v>6</v>
      </c>
      <c r="CT32">
        <v>87.311111111100004</v>
      </c>
      <c r="CU32">
        <v>77.166666666699996</v>
      </c>
      <c r="CW32" t="s">
        <v>424</v>
      </c>
      <c r="CX32" t="s">
        <v>851</v>
      </c>
      <c r="CY32" t="s">
        <v>853</v>
      </c>
      <c r="CZ32">
        <v>20</v>
      </c>
      <c r="DA32">
        <v>3</v>
      </c>
      <c r="DB32">
        <v>65.05</v>
      </c>
      <c r="DC32">
        <v>42</v>
      </c>
      <c r="DD32">
        <v>0</v>
      </c>
      <c r="DE32">
        <v>142.8571428571</v>
      </c>
      <c r="DF32">
        <v>0</v>
      </c>
      <c r="DH32" t="s">
        <v>424</v>
      </c>
      <c r="DI32" t="s">
        <v>819</v>
      </c>
      <c r="DJ32" t="s">
        <v>821</v>
      </c>
      <c r="DK32">
        <v>29</v>
      </c>
      <c r="DL32">
        <v>2</v>
      </c>
      <c r="DM32">
        <v>47.724137931000001</v>
      </c>
      <c r="DN32">
        <v>33</v>
      </c>
      <c r="DO32">
        <v>0</v>
      </c>
      <c r="DP32">
        <v>123.63636363640001</v>
      </c>
      <c r="DQ32">
        <v>0</v>
      </c>
    </row>
    <row r="33" spans="2:121" x14ac:dyDescent="0.2">
      <c r="B33" t="s">
        <v>22</v>
      </c>
      <c r="C33">
        <v>203883</v>
      </c>
      <c r="D33">
        <v>47502</v>
      </c>
      <c r="F33" t="s">
        <v>70</v>
      </c>
      <c r="G33">
        <v>802</v>
      </c>
      <c r="H33">
        <v>148.8653366584</v>
      </c>
      <c r="I33">
        <v>2064</v>
      </c>
      <c r="J33">
        <v>473</v>
      </c>
      <c r="K33">
        <v>3234</v>
      </c>
      <c r="L33">
        <v>629</v>
      </c>
      <c r="M33">
        <v>1645</v>
      </c>
      <c r="N33">
        <v>346</v>
      </c>
      <c r="O33">
        <v>249</v>
      </c>
      <c r="P33">
        <v>108</v>
      </c>
      <c r="Q33">
        <v>0</v>
      </c>
      <c r="R33">
        <v>4</v>
      </c>
      <c r="AH33" t="s">
        <v>384</v>
      </c>
      <c r="AI33">
        <v>2695</v>
      </c>
      <c r="AJ33">
        <v>256.64823747679998</v>
      </c>
      <c r="AK33">
        <v>4178</v>
      </c>
      <c r="AL33">
        <v>1209</v>
      </c>
      <c r="AM33">
        <v>4394</v>
      </c>
      <c r="AN33">
        <v>1968</v>
      </c>
      <c r="AO33">
        <v>999</v>
      </c>
      <c r="AP33">
        <v>417</v>
      </c>
      <c r="AQ33">
        <v>2039</v>
      </c>
      <c r="AR33">
        <v>1115</v>
      </c>
      <c r="AS33">
        <v>538</v>
      </c>
      <c r="AT33">
        <v>6</v>
      </c>
      <c r="AV33" t="s">
        <v>436</v>
      </c>
      <c r="AW33">
        <v>120</v>
      </c>
      <c r="AX33">
        <v>38.941666666700002</v>
      </c>
      <c r="AY33">
        <v>498</v>
      </c>
      <c r="AZ33">
        <v>20</v>
      </c>
      <c r="BA33">
        <v>210</v>
      </c>
      <c r="BB33">
        <v>15</v>
      </c>
      <c r="BC33">
        <v>4</v>
      </c>
      <c r="BD33">
        <v>4</v>
      </c>
      <c r="BE33">
        <v>14</v>
      </c>
      <c r="BF33">
        <v>4</v>
      </c>
      <c r="BG33">
        <v>263</v>
      </c>
      <c r="BH33">
        <v>68</v>
      </c>
      <c r="BJ33" t="s">
        <v>632</v>
      </c>
      <c r="BK33" t="s">
        <v>379</v>
      </c>
      <c r="BL33">
        <v>1303</v>
      </c>
      <c r="BM33">
        <v>257</v>
      </c>
      <c r="BN33">
        <v>87.416730621599996</v>
      </c>
      <c r="BO33">
        <v>3781</v>
      </c>
      <c r="BP33">
        <v>41</v>
      </c>
      <c r="BQ33">
        <v>174.4398307326</v>
      </c>
      <c r="BR33">
        <v>136.29268292680001</v>
      </c>
      <c r="BS33">
        <v>1356</v>
      </c>
      <c r="BT33">
        <v>327</v>
      </c>
      <c r="BU33">
        <v>100.4808259587</v>
      </c>
      <c r="BV33">
        <v>4534</v>
      </c>
      <c r="BW33">
        <v>45</v>
      </c>
      <c r="BX33">
        <v>191.06837229819999</v>
      </c>
      <c r="BY33">
        <v>162</v>
      </c>
      <c r="CA33" t="s">
        <v>426</v>
      </c>
      <c r="CB33" t="s">
        <v>866</v>
      </c>
      <c r="CC33" t="s">
        <v>995</v>
      </c>
      <c r="CD33">
        <v>1448</v>
      </c>
      <c r="CE33">
        <v>183</v>
      </c>
      <c r="CF33">
        <v>71.339779005500006</v>
      </c>
      <c r="CG33">
        <v>4324</v>
      </c>
      <c r="CH33">
        <v>48</v>
      </c>
      <c r="CI33">
        <v>127.848519889</v>
      </c>
      <c r="CJ33">
        <v>159.0416666667</v>
      </c>
      <c r="CL33" t="s">
        <v>426</v>
      </c>
      <c r="CM33" t="s">
        <v>835</v>
      </c>
      <c r="CN33" t="s">
        <v>838</v>
      </c>
      <c r="CO33">
        <v>51</v>
      </c>
      <c r="CP33">
        <v>2</v>
      </c>
      <c r="CQ33">
        <v>55.333333333299997</v>
      </c>
      <c r="CR33">
        <v>521</v>
      </c>
      <c r="CS33">
        <v>6</v>
      </c>
      <c r="CT33">
        <v>65.262955854099999</v>
      </c>
      <c r="CU33">
        <v>47.166666666700003</v>
      </c>
      <c r="CW33" t="s">
        <v>426</v>
      </c>
      <c r="CX33" t="s">
        <v>851</v>
      </c>
      <c r="CY33" t="s">
        <v>854</v>
      </c>
      <c r="CZ33">
        <v>18</v>
      </c>
      <c r="DA33">
        <v>3</v>
      </c>
      <c r="DB33">
        <v>63.888888888899999</v>
      </c>
      <c r="DC33">
        <v>66</v>
      </c>
      <c r="DD33">
        <v>0</v>
      </c>
      <c r="DE33">
        <v>128.04545454550001</v>
      </c>
      <c r="DF33">
        <v>0</v>
      </c>
      <c r="DH33" t="s">
        <v>426</v>
      </c>
      <c r="DI33" t="s">
        <v>819</v>
      </c>
      <c r="DJ33" t="s">
        <v>822</v>
      </c>
      <c r="DK33">
        <v>17</v>
      </c>
      <c r="DL33">
        <v>2</v>
      </c>
      <c r="DM33">
        <v>62.176470588199997</v>
      </c>
      <c r="DN33">
        <v>34</v>
      </c>
      <c r="DO33">
        <v>0</v>
      </c>
      <c r="DP33">
        <v>116.73529411760001</v>
      </c>
      <c r="DQ33">
        <v>0</v>
      </c>
    </row>
    <row r="34" spans="2:121" x14ac:dyDescent="0.2">
      <c r="B34" t="s">
        <v>92</v>
      </c>
      <c r="C34">
        <v>6</v>
      </c>
      <c r="F34" t="s">
        <v>74</v>
      </c>
      <c r="G34">
        <v>7715</v>
      </c>
      <c r="H34">
        <v>322.33182112769998</v>
      </c>
      <c r="I34">
        <v>12251</v>
      </c>
      <c r="J34">
        <v>2101</v>
      </c>
      <c r="K34">
        <v>15694</v>
      </c>
      <c r="L34">
        <v>6606</v>
      </c>
      <c r="M34">
        <v>1911</v>
      </c>
      <c r="N34">
        <v>1348</v>
      </c>
      <c r="O34">
        <v>1954</v>
      </c>
      <c r="P34">
        <v>1374</v>
      </c>
      <c r="Q34">
        <v>0</v>
      </c>
      <c r="R34">
        <v>69</v>
      </c>
      <c r="AH34" t="s">
        <v>415</v>
      </c>
      <c r="AI34">
        <v>1884</v>
      </c>
      <c r="AJ34">
        <v>204.82696390660001</v>
      </c>
      <c r="AK34">
        <v>2949</v>
      </c>
      <c r="AL34">
        <v>874</v>
      </c>
      <c r="AM34">
        <v>2663</v>
      </c>
      <c r="AN34">
        <v>1024</v>
      </c>
      <c r="AO34">
        <v>270</v>
      </c>
      <c r="AP34">
        <v>170</v>
      </c>
      <c r="AQ34">
        <v>539</v>
      </c>
      <c r="AR34">
        <v>245</v>
      </c>
      <c r="AS34">
        <v>4</v>
      </c>
      <c r="AT34">
        <v>18</v>
      </c>
      <c r="AV34" t="s">
        <v>382</v>
      </c>
      <c r="AW34">
        <v>61</v>
      </c>
      <c r="AX34">
        <v>88.196721311499999</v>
      </c>
      <c r="AY34">
        <v>124</v>
      </c>
      <c r="AZ34">
        <v>28</v>
      </c>
      <c r="BA34">
        <v>113</v>
      </c>
      <c r="BB34">
        <v>22</v>
      </c>
      <c r="BC34">
        <v>6</v>
      </c>
      <c r="BD34">
        <v>6</v>
      </c>
      <c r="BE34">
        <v>28</v>
      </c>
      <c r="BF34">
        <v>6</v>
      </c>
      <c r="BG34">
        <v>15</v>
      </c>
      <c r="BH34">
        <v>27</v>
      </c>
      <c r="BJ34" t="s">
        <v>528</v>
      </c>
      <c r="BK34" t="s">
        <v>379</v>
      </c>
      <c r="BL34">
        <v>4748</v>
      </c>
      <c r="BM34">
        <v>1169</v>
      </c>
      <c r="BN34">
        <v>103.1838668913</v>
      </c>
      <c r="BO34">
        <v>15702</v>
      </c>
      <c r="BP34">
        <v>166</v>
      </c>
      <c r="BQ34">
        <v>203.61240606289999</v>
      </c>
      <c r="BR34">
        <v>182.95180722890001</v>
      </c>
      <c r="BS34">
        <v>4446</v>
      </c>
      <c r="BT34">
        <v>911</v>
      </c>
      <c r="BU34">
        <v>89.879217273999998</v>
      </c>
      <c r="BV34">
        <v>13317</v>
      </c>
      <c r="BW34">
        <v>154</v>
      </c>
      <c r="BX34">
        <v>190.4615904483</v>
      </c>
      <c r="BY34">
        <v>161.98701298700001</v>
      </c>
      <c r="CA34" t="s">
        <v>386</v>
      </c>
      <c r="CB34" t="s">
        <v>866</v>
      </c>
      <c r="CC34" t="s">
        <v>996</v>
      </c>
      <c r="CD34">
        <v>5244</v>
      </c>
      <c r="CE34">
        <v>1365</v>
      </c>
      <c r="CF34">
        <v>110.38005339439999</v>
      </c>
      <c r="CG34">
        <v>20188</v>
      </c>
      <c r="CH34">
        <v>173</v>
      </c>
      <c r="CI34">
        <v>230.72523281159999</v>
      </c>
      <c r="CJ34">
        <v>179.4219653179</v>
      </c>
      <c r="CL34" t="s">
        <v>386</v>
      </c>
      <c r="CM34" t="s">
        <v>835</v>
      </c>
      <c r="CN34" t="s">
        <v>839</v>
      </c>
      <c r="CO34">
        <v>266</v>
      </c>
      <c r="CP34">
        <v>29</v>
      </c>
      <c r="CQ34">
        <v>70.9812030075</v>
      </c>
      <c r="CR34">
        <v>1791</v>
      </c>
      <c r="CS34">
        <v>27</v>
      </c>
      <c r="CT34">
        <v>85.171412618600002</v>
      </c>
      <c r="CU34">
        <v>76.222222222200003</v>
      </c>
      <c r="CW34" t="s">
        <v>386</v>
      </c>
      <c r="CX34" t="s">
        <v>851</v>
      </c>
      <c r="CY34" t="s">
        <v>855</v>
      </c>
      <c r="CZ34">
        <v>218</v>
      </c>
      <c r="DA34">
        <v>28</v>
      </c>
      <c r="DB34">
        <v>68.743119266099995</v>
      </c>
      <c r="DC34">
        <v>534</v>
      </c>
      <c r="DD34">
        <v>7</v>
      </c>
      <c r="DE34">
        <v>140.8389513109</v>
      </c>
      <c r="DF34">
        <v>161.57142857139999</v>
      </c>
      <c r="DH34" t="s">
        <v>386</v>
      </c>
      <c r="DI34" t="s">
        <v>819</v>
      </c>
      <c r="DJ34" t="s">
        <v>823</v>
      </c>
      <c r="DK34">
        <v>308</v>
      </c>
      <c r="DL34">
        <v>46</v>
      </c>
      <c r="DM34">
        <v>64.272727272699996</v>
      </c>
      <c r="DN34">
        <v>600</v>
      </c>
      <c r="DO34">
        <v>5</v>
      </c>
      <c r="DP34">
        <v>150.78</v>
      </c>
      <c r="DQ34">
        <v>136.80000000000001</v>
      </c>
    </row>
    <row r="35" spans="2:121" x14ac:dyDescent="0.2">
      <c r="B35" t="s">
        <v>105</v>
      </c>
      <c r="C35">
        <v>703</v>
      </c>
      <c r="D35">
        <v>636</v>
      </c>
      <c r="F35" t="s">
        <v>40</v>
      </c>
      <c r="G35">
        <v>6510</v>
      </c>
      <c r="H35">
        <v>520.21705069120003</v>
      </c>
      <c r="I35">
        <v>6752</v>
      </c>
      <c r="J35">
        <v>2010</v>
      </c>
      <c r="K35">
        <v>7869</v>
      </c>
      <c r="L35">
        <v>6011</v>
      </c>
      <c r="M35">
        <v>1372</v>
      </c>
      <c r="N35">
        <v>1328</v>
      </c>
      <c r="O35">
        <v>2361</v>
      </c>
      <c r="P35">
        <v>1829</v>
      </c>
      <c r="Q35">
        <v>1</v>
      </c>
      <c r="R35">
        <v>285</v>
      </c>
      <c r="AH35" t="s">
        <v>63</v>
      </c>
      <c r="AI35">
        <v>5511</v>
      </c>
      <c r="AJ35">
        <v>264.80076211210002</v>
      </c>
      <c r="AK35">
        <v>9494</v>
      </c>
      <c r="AL35">
        <v>2450</v>
      </c>
      <c r="AM35">
        <v>8750</v>
      </c>
      <c r="AN35">
        <v>4215</v>
      </c>
      <c r="AO35">
        <v>2067</v>
      </c>
      <c r="AP35">
        <v>1266</v>
      </c>
      <c r="AQ35">
        <v>1623</v>
      </c>
      <c r="AR35">
        <v>811</v>
      </c>
      <c r="AS35">
        <v>1033</v>
      </c>
      <c r="AT35">
        <v>17</v>
      </c>
      <c r="AV35" t="s">
        <v>405</v>
      </c>
      <c r="AW35">
        <v>386</v>
      </c>
      <c r="AX35">
        <v>66.095854922300006</v>
      </c>
      <c r="AY35">
        <v>943</v>
      </c>
      <c r="AZ35">
        <v>83</v>
      </c>
      <c r="BA35">
        <v>742</v>
      </c>
      <c r="BB35">
        <v>77</v>
      </c>
      <c r="BC35">
        <v>5</v>
      </c>
      <c r="BD35">
        <v>5</v>
      </c>
      <c r="BE35">
        <v>57</v>
      </c>
      <c r="BF35">
        <v>18</v>
      </c>
      <c r="BG35">
        <v>654</v>
      </c>
      <c r="BH35">
        <v>79</v>
      </c>
      <c r="BJ35" t="s">
        <v>534</v>
      </c>
      <c r="BK35" t="s">
        <v>379</v>
      </c>
      <c r="BL35">
        <v>2891</v>
      </c>
      <c r="BM35">
        <v>636</v>
      </c>
      <c r="BN35">
        <v>92.026980283599997</v>
      </c>
      <c r="BO35">
        <v>6986</v>
      </c>
      <c r="BP35">
        <v>81</v>
      </c>
      <c r="BQ35">
        <v>166.71457200110001</v>
      </c>
      <c r="BR35">
        <v>177.0740740741</v>
      </c>
      <c r="BS35">
        <v>2608</v>
      </c>
      <c r="BT35">
        <v>545</v>
      </c>
      <c r="BU35">
        <v>87.516871165599994</v>
      </c>
      <c r="BV35">
        <v>7075</v>
      </c>
      <c r="BW35">
        <v>70</v>
      </c>
      <c r="BX35">
        <v>167.9669257951</v>
      </c>
      <c r="BY35">
        <v>193.17142857140001</v>
      </c>
      <c r="CA35" t="s">
        <v>381</v>
      </c>
      <c r="CB35" t="s">
        <v>866</v>
      </c>
      <c r="CC35" t="s">
        <v>997</v>
      </c>
      <c r="CD35">
        <v>4554</v>
      </c>
      <c r="CE35">
        <v>1260</v>
      </c>
      <c r="CF35">
        <v>102.6313131313</v>
      </c>
      <c r="CG35">
        <v>14300</v>
      </c>
      <c r="CH35">
        <v>166</v>
      </c>
      <c r="CI35">
        <v>192.7497202797</v>
      </c>
      <c r="CJ35">
        <v>154.53012048190001</v>
      </c>
      <c r="CL35" t="s">
        <v>381</v>
      </c>
      <c r="CM35" t="s">
        <v>835</v>
      </c>
      <c r="CN35" t="s">
        <v>840</v>
      </c>
      <c r="CO35">
        <v>214</v>
      </c>
      <c r="CP35">
        <v>23</v>
      </c>
      <c r="CQ35">
        <v>63.098130841100001</v>
      </c>
      <c r="CR35">
        <v>1566</v>
      </c>
      <c r="CS35">
        <v>28</v>
      </c>
      <c r="CT35">
        <v>70.184546615599999</v>
      </c>
      <c r="CU35">
        <v>71.785714285699996</v>
      </c>
      <c r="CW35" t="s">
        <v>381</v>
      </c>
      <c r="CX35" t="s">
        <v>851</v>
      </c>
      <c r="CY35" t="s">
        <v>856</v>
      </c>
      <c r="CZ35">
        <v>89</v>
      </c>
      <c r="DA35">
        <v>8</v>
      </c>
      <c r="DB35">
        <v>63.359550561799999</v>
      </c>
      <c r="DC35">
        <v>211</v>
      </c>
      <c r="DD35">
        <v>1</v>
      </c>
      <c r="DE35">
        <v>129.83886255920001</v>
      </c>
      <c r="DF35">
        <v>124</v>
      </c>
      <c r="DH35" t="s">
        <v>381</v>
      </c>
      <c r="DI35" t="s">
        <v>819</v>
      </c>
      <c r="DJ35" t="s">
        <v>824</v>
      </c>
      <c r="DK35">
        <v>43</v>
      </c>
      <c r="DL35">
        <v>6</v>
      </c>
      <c r="DM35">
        <v>64.186046511599997</v>
      </c>
      <c r="DN35">
        <v>121</v>
      </c>
      <c r="DO35">
        <v>0</v>
      </c>
      <c r="DP35">
        <v>155.60330578509999</v>
      </c>
      <c r="DQ35">
        <v>0</v>
      </c>
    </row>
    <row r="36" spans="2:121" x14ac:dyDescent="0.2">
      <c r="B36" t="s">
        <v>98</v>
      </c>
      <c r="C36">
        <v>471</v>
      </c>
      <c r="D36">
        <v>357</v>
      </c>
      <c r="F36" t="s">
        <v>50</v>
      </c>
      <c r="G36">
        <v>2263</v>
      </c>
      <c r="H36">
        <v>214.6659301812</v>
      </c>
      <c r="I36">
        <v>2051</v>
      </c>
      <c r="J36">
        <v>454</v>
      </c>
      <c r="K36">
        <v>3469</v>
      </c>
      <c r="L36">
        <v>1801</v>
      </c>
      <c r="M36">
        <v>230</v>
      </c>
      <c r="N36">
        <v>204</v>
      </c>
      <c r="O36">
        <v>1074</v>
      </c>
      <c r="P36">
        <v>815</v>
      </c>
      <c r="Q36">
        <v>2</v>
      </c>
      <c r="R36">
        <v>17</v>
      </c>
      <c r="T36" t="s">
        <v>656</v>
      </c>
      <c r="U36" t="s">
        <v>315</v>
      </c>
      <c r="V36" t="s">
        <v>139</v>
      </c>
      <c r="W36" t="s">
        <v>222</v>
      </c>
      <c r="X36" t="s">
        <v>469</v>
      </c>
      <c r="Y36" t="s">
        <v>224</v>
      </c>
      <c r="Z36" t="s">
        <v>225</v>
      </c>
      <c r="AA36" t="s">
        <v>226</v>
      </c>
      <c r="AB36" t="s">
        <v>470</v>
      </c>
      <c r="AC36" t="s">
        <v>228</v>
      </c>
      <c r="AD36" t="s">
        <v>229</v>
      </c>
      <c r="AE36" t="s">
        <v>230</v>
      </c>
      <c r="AF36" t="s">
        <v>231</v>
      </c>
      <c r="AH36" t="s">
        <v>392</v>
      </c>
      <c r="AI36">
        <v>16123</v>
      </c>
      <c r="AJ36">
        <v>327.33585561000001</v>
      </c>
      <c r="AK36">
        <v>18693</v>
      </c>
      <c r="AL36">
        <v>5315</v>
      </c>
      <c r="AM36">
        <v>22260</v>
      </c>
      <c r="AN36">
        <v>13629</v>
      </c>
      <c r="AO36">
        <v>4126</v>
      </c>
      <c r="AP36">
        <v>3576</v>
      </c>
      <c r="AQ36">
        <v>8001</v>
      </c>
      <c r="AR36">
        <v>4564</v>
      </c>
      <c r="AS36">
        <v>866</v>
      </c>
      <c r="AT36">
        <v>44</v>
      </c>
      <c r="AV36" t="s">
        <v>393</v>
      </c>
      <c r="AW36">
        <v>820</v>
      </c>
      <c r="AX36">
        <v>95.220731707300004</v>
      </c>
      <c r="AY36">
        <v>719</v>
      </c>
      <c r="AZ36">
        <v>162</v>
      </c>
      <c r="BA36">
        <v>1300</v>
      </c>
      <c r="BB36">
        <v>384</v>
      </c>
      <c r="BC36">
        <v>19</v>
      </c>
      <c r="BD36">
        <v>15</v>
      </c>
      <c r="BE36">
        <v>219</v>
      </c>
      <c r="BF36">
        <v>36</v>
      </c>
      <c r="BG36">
        <v>99</v>
      </c>
      <c r="BH36">
        <v>252</v>
      </c>
      <c r="BJ36" t="s">
        <v>379</v>
      </c>
      <c r="BK36" t="s">
        <v>379</v>
      </c>
      <c r="BL36">
        <v>71973</v>
      </c>
      <c r="BM36">
        <v>19504</v>
      </c>
      <c r="BN36">
        <v>104.8291859447</v>
      </c>
      <c r="BO36">
        <v>243952</v>
      </c>
      <c r="BP36">
        <v>2772</v>
      </c>
      <c r="BQ36">
        <v>190.85034351019999</v>
      </c>
      <c r="BR36">
        <v>157.566017316</v>
      </c>
      <c r="BS36">
        <v>71357</v>
      </c>
      <c r="BT36">
        <v>18906</v>
      </c>
      <c r="BU36">
        <v>103.5737068543</v>
      </c>
      <c r="BV36">
        <v>240797</v>
      </c>
      <c r="BW36">
        <v>2657</v>
      </c>
      <c r="BX36">
        <v>188.37220563380001</v>
      </c>
      <c r="BY36">
        <v>154.7011667294</v>
      </c>
      <c r="CA36" t="s">
        <v>425</v>
      </c>
      <c r="CB36" t="s">
        <v>866</v>
      </c>
      <c r="CC36" t="s">
        <v>998</v>
      </c>
      <c r="CD36">
        <v>1323</v>
      </c>
      <c r="CE36">
        <v>264</v>
      </c>
      <c r="CF36">
        <v>90.727135298600004</v>
      </c>
      <c r="CG36">
        <v>3901</v>
      </c>
      <c r="CH36">
        <v>35</v>
      </c>
      <c r="CI36">
        <v>173.53370930529999</v>
      </c>
      <c r="CJ36">
        <v>138</v>
      </c>
      <c r="CL36" t="s">
        <v>425</v>
      </c>
      <c r="CM36" t="s">
        <v>835</v>
      </c>
      <c r="CN36" t="s">
        <v>841</v>
      </c>
      <c r="CO36">
        <v>54</v>
      </c>
      <c r="CP36">
        <v>8</v>
      </c>
      <c r="CQ36">
        <v>75.370370370399996</v>
      </c>
      <c r="CR36">
        <v>440</v>
      </c>
      <c r="CS36">
        <v>5</v>
      </c>
      <c r="CT36">
        <v>73.193181818200003</v>
      </c>
      <c r="CU36">
        <v>79.2</v>
      </c>
      <c r="CW36" t="s">
        <v>425</v>
      </c>
      <c r="CX36" t="s">
        <v>851</v>
      </c>
      <c r="CY36" t="s">
        <v>857</v>
      </c>
      <c r="CZ36">
        <v>11</v>
      </c>
      <c r="DA36">
        <v>1</v>
      </c>
      <c r="DB36">
        <v>54.727272727299997</v>
      </c>
      <c r="DC36">
        <v>64</v>
      </c>
      <c r="DD36">
        <v>1</v>
      </c>
      <c r="DE36">
        <v>121.015625</v>
      </c>
      <c r="DF36">
        <v>139</v>
      </c>
      <c r="DH36" t="s">
        <v>425</v>
      </c>
      <c r="DI36" t="s">
        <v>819</v>
      </c>
      <c r="DJ36" t="s">
        <v>825</v>
      </c>
      <c r="DK36">
        <v>15</v>
      </c>
      <c r="DL36">
        <v>3</v>
      </c>
      <c r="DM36">
        <v>93.466666666699993</v>
      </c>
      <c r="DN36">
        <v>29</v>
      </c>
      <c r="DO36">
        <v>0</v>
      </c>
      <c r="DP36">
        <v>151.44827586209999</v>
      </c>
      <c r="DQ36">
        <v>0</v>
      </c>
    </row>
    <row r="37" spans="2:121" x14ac:dyDescent="0.2">
      <c r="B37" t="s">
        <v>121</v>
      </c>
      <c r="C37">
        <v>3340</v>
      </c>
      <c r="D37">
        <v>846</v>
      </c>
      <c r="F37" t="s">
        <v>85</v>
      </c>
      <c r="G37">
        <v>827</v>
      </c>
      <c r="H37">
        <v>329.69165659010002</v>
      </c>
      <c r="I37">
        <v>812</v>
      </c>
      <c r="J37">
        <v>244</v>
      </c>
      <c r="K37">
        <v>882</v>
      </c>
      <c r="L37">
        <v>424</v>
      </c>
      <c r="M37">
        <v>11</v>
      </c>
      <c r="N37">
        <v>8</v>
      </c>
      <c r="O37">
        <v>275</v>
      </c>
      <c r="P37">
        <v>137</v>
      </c>
      <c r="Q37">
        <v>0</v>
      </c>
      <c r="R37">
        <v>0</v>
      </c>
      <c r="T37" t="s">
        <v>400</v>
      </c>
      <c r="U37">
        <v>2280</v>
      </c>
      <c r="V37">
        <v>61.563157894699998</v>
      </c>
      <c r="W37">
        <v>5123</v>
      </c>
      <c r="X37">
        <v>393</v>
      </c>
      <c r="Y37">
        <v>4158</v>
      </c>
      <c r="Z37">
        <v>388</v>
      </c>
      <c r="AA37">
        <v>47</v>
      </c>
      <c r="AB37">
        <v>39</v>
      </c>
      <c r="AC37">
        <v>303</v>
      </c>
      <c r="AD37">
        <v>104</v>
      </c>
      <c r="AE37">
        <v>4083</v>
      </c>
      <c r="AF37">
        <v>448</v>
      </c>
      <c r="AH37" t="s">
        <v>429</v>
      </c>
      <c r="AI37">
        <v>256</v>
      </c>
      <c r="AJ37">
        <v>210.69921875</v>
      </c>
      <c r="AK37">
        <v>678</v>
      </c>
      <c r="AL37">
        <v>137</v>
      </c>
      <c r="AM37">
        <v>560</v>
      </c>
      <c r="AN37">
        <v>148</v>
      </c>
      <c r="AO37">
        <v>86</v>
      </c>
      <c r="AP37">
        <v>43</v>
      </c>
      <c r="AQ37">
        <v>115</v>
      </c>
      <c r="AR37">
        <v>47</v>
      </c>
      <c r="AS37">
        <v>0</v>
      </c>
      <c r="AT37">
        <v>0</v>
      </c>
      <c r="AV37" t="s">
        <v>401</v>
      </c>
      <c r="AW37">
        <v>487</v>
      </c>
      <c r="AX37">
        <v>72.657084188900001</v>
      </c>
      <c r="AY37">
        <v>1006</v>
      </c>
      <c r="AZ37">
        <v>101</v>
      </c>
      <c r="BA37">
        <v>887</v>
      </c>
      <c r="BB37">
        <v>119</v>
      </c>
      <c r="BC37">
        <v>18</v>
      </c>
      <c r="BD37">
        <v>11</v>
      </c>
      <c r="BE37">
        <v>62</v>
      </c>
      <c r="BF37">
        <v>22</v>
      </c>
      <c r="BG37">
        <v>612</v>
      </c>
      <c r="BH37">
        <v>64</v>
      </c>
      <c r="BJ37" t="s">
        <v>536</v>
      </c>
      <c r="BK37" t="s">
        <v>379</v>
      </c>
      <c r="BL37">
        <v>7824</v>
      </c>
      <c r="BM37">
        <v>2917</v>
      </c>
      <c r="BN37">
        <v>129.51444274030001</v>
      </c>
      <c r="BO37">
        <v>27251</v>
      </c>
      <c r="BP37">
        <v>304</v>
      </c>
      <c r="BQ37">
        <v>225.91464533409999</v>
      </c>
      <c r="BR37">
        <v>168.87171052630001</v>
      </c>
      <c r="BS37">
        <v>8057</v>
      </c>
      <c r="BT37">
        <v>3030</v>
      </c>
      <c r="BU37">
        <v>131.6203301477</v>
      </c>
      <c r="BV37">
        <v>27976</v>
      </c>
      <c r="BW37">
        <v>321</v>
      </c>
      <c r="BX37">
        <v>224.30433228480001</v>
      </c>
      <c r="BY37">
        <v>169.52336448599999</v>
      </c>
      <c r="CA37" t="s">
        <v>384</v>
      </c>
      <c r="CB37" t="s">
        <v>866</v>
      </c>
      <c r="CC37" t="s">
        <v>999</v>
      </c>
      <c r="CD37">
        <v>4252</v>
      </c>
      <c r="CE37">
        <v>1194</v>
      </c>
      <c r="CF37">
        <v>107.506349953</v>
      </c>
      <c r="CG37">
        <v>12885</v>
      </c>
      <c r="CH37">
        <v>149</v>
      </c>
      <c r="CI37">
        <v>190.44090027159999</v>
      </c>
      <c r="CJ37">
        <v>163.6040268456</v>
      </c>
      <c r="CL37" t="s">
        <v>384</v>
      </c>
      <c r="CM37" t="s">
        <v>835</v>
      </c>
      <c r="CN37" t="s">
        <v>842</v>
      </c>
      <c r="CO37">
        <v>286</v>
      </c>
      <c r="CP37">
        <v>33</v>
      </c>
      <c r="CQ37">
        <v>66.632867132900003</v>
      </c>
      <c r="CR37">
        <v>1965</v>
      </c>
      <c r="CS37">
        <v>33</v>
      </c>
      <c r="CT37">
        <v>79.1679389313</v>
      </c>
      <c r="CU37">
        <v>81.727272727300004</v>
      </c>
      <c r="CW37" t="s">
        <v>384</v>
      </c>
      <c r="CX37" t="s">
        <v>851</v>
      </c>
      <c r="CY37" t="s">
        <v>858</v>
      </c>
      <c r="CZ37">
        <v>79</v>
      </c>
      <c r="DA37">
        <v>8</v>
      </c>
      <c r="DB37">
        <v>64.291139240500002</v>
      </c>
      <c r="DC37">
        <v>221</v>
      </c>
      <c r="DD37">
        <v>3</v>
      </c>
      <c r="DE37">
        <v>134.8461538462</v>
      </c>
      <c r="DF37">
        <v>128.6666666667</v>
      </c>
      <c r="DH37" t="s">
        <v>384</v>
      </c>
      <c r="DI37" t="s">
        <v>819</v>
      </c>
      <c r="DJ37" t="s">
        <v>826</v>
      </c>
      <c r="DK37">
        <v>64</v>
      </c>
      <c r="DL37">
        <v>11</v>
      </c>
      <c r="DM37">
        <v>67.15625</v>
      </c>
      <c r="DN37">
        <v>177</v>
      </c>
      <c r="DO37">
        <v>2</v>
      </c>
      <c r="DP37">
        <v>140.22033898309999</v>
      </c>
      <c r="DQ37">
        <v>121</v>
      </c>
    </row>
    <row r="38" spans="2:121" x14ac:dyDescent="0.2">
      <c r="B38" t="s">
        <v>102</v>
      </c>
      <c r="C38">
        <v>15792</v>
      </c>
      <c r="D38">
        <v>2122</v>
      </c>
      <c r="F38" t="s">
        <v>55</v>
      </c>
      <c r="G38">
        <v>7478</v>
      </c>
      <c r="H38">
        <v>388.47017919230001</v>
      </c>
      <c r="I38">
        <v>9720</v>
      </c>
      <c r="J38">
        <v>3109</v>
      </c>
      <c r="K38">
        <v>9239</v>
      </c>
      <c r="L38">
        <v>6165</v>
      </c>
      <c r="M38">
        <v>912</v>
      </c>
      <c r="N38">
        <v>841</v>
      </c>
      <c r="O38">
        <v>5603</v>
      </c>
      <c r="P38">
        <v>3890</v>
      </c>
      <c r="Q38">
        <v>2</v>
      </c>
      <c r="R38">
        <v>34</v>
      </c>
      <c r="T38" t="s">
        <v>390</v>
      </c>
      <c r="U38">
        <v>6447</v>
      </c>
      <c r="V38">
        <v>96.154490460700003</v>
      </c>
      <c r="W38">
        <v>6327</v>
      </c>
      <c r="X38">
        <v>1201</v>
      </c>
      <c r="Y38">
        <v>10636</v>
      </c>
      <c r="Z38">
        <v>2808</v>
      </c>
      <c r="AA38">
        <v>252</v>
      </c>
      <c r="AB38">
        <v>230</v>
      </c>
      <c r="AC38">
        <v>1451</v>
      </c>
      <c r="AD38">
        <v>298</v>
      </c>
      <c r="AE38">
        <v>1844</v>
      </c>
      <c r="AF38">
        <v>1575</v>
      </c>
      <c r="AH38" t="s">
        <v>401</v>
      </c>
      <c r="AI38">
        <v>8749</v>
      </c>
      <c r="AJ38">
        <v>487.27008801009998</v>
      </c>
      <c r="AK38">
        <v>8462</v>
      </c>
      <c r="AL38">
        <v>2169</v>
      </c>
      <c r="AM38">
        <v>12289</v>
      </c>
      <c r="AN38">
        <v>8963</v>
      </c>
      <c r="AO38">
        <v>1622</v>
      </c>
      <c r="AP38">
        <v>1492</v>
      </c>
      <c r="AQ38">
        <v>5987</v>
      </c>
      <c r="AR38">
        <v>3470</v>
      </c>
      <c r="AS38">
        <v>44</v>
      </c>
      <c r="AT38">
        <v>340</v>
      </c>
      <c r="AV38" t="s">
        <v>406</v>
      </c>
      <c r="AW38">
        <v>208</v>
      </c>
      <c r="AX38">
        <v>57.3125</v>
      </c>
      <c r="AY38">
        <v>333</v>
      </c>
      <c r="AZ38">
        <v>16</v>
      </c>
      <c r="BA38">
        <v>379</v>
      </c>
      <c r="BB38">
        <v>24</v>
      </c>
      <c r="BC38">
        <v>3</v>
      </c>
      <c r="BD38">
        <v>3</v>
      </c>
      <c r="BE38">
        <v>21</v>
      </c>
      <c r="BF38">
        <v>5</v>
      </c>
      <c r="BG38">
        <v>359</v>
      </c>
      <c r="BH38">
        <v>25</v>
      </c>
      <c r="BJ38" t="s">
        <v>539</v>
      </c>
      <c r="BK38" t="s">
        <v>379</v>
      </c>
      <c r="BL38">
        <v>4914</v>
      </c>
      <c r="BM38">
        <v>1570</v>
      </c>
      <c r="BN38">
        <v>124.3062678063</v>
      </c>
      <c r="BO38">
        <v>12497</v>
      </c>
      <c r="BP38">
        <v>138</v>
      </c>
      <c r="BQ38">
        <v>209.79026966469999</v>
      </c>
      <c r="BR38">
        <v>223.63768115939999</v>
      </c>
      <c r="BS38">
        <v>4835</v>
      </c>
      <c r="BT38">
        <v>1673</v>
      </c>
      <c r="BU38">
        <v>130.09431230609999</v>
      </c>
      <c r="BV38">
        <v>11016</v>
      </c>
      <c r="BW38">
        <v>128</v>
      </c>
      <c r="BX38">
        <v>205.35884168480001</v>
      </c>
      <c r="BY38">
        <v>237.8984375</v>
      </c>
      <c r="CA38" t="s">
        <v>63</v>
      </c>
      <c r="CB38" t="s">
        <v>866</v>
      </c>
      <c r="CC38" t="s">
        <v>528</v>
      </c>
      <c r="CD38">
        <v>9235</v>
      </c>
      <c r="CE38">
        <v>2373</v>
      </c>
      <c r="CF38">
        <v>105.5212777477</v>
      </c>
      <c r="CG38">
        <v>30355</v>
      </c>
      <c r="CH38">
        <v>371</v>
      </c>
      <c r="CI38">
        <v>197.1360237193</v>
      </c>
      <c r="CJ38">
        <v>171.44474393530001</v>
      </c>
      <c r="CL38" t="s">
        <v>63</v>
      </c>
      <c r="CM38" t="s">
        <v>835</v>
      </c>
      <c r="CN38" t="s">
        <v>843</v>
      </c>
      <c r="CO38">
        <v>627</v>
      </c>
      <c r="CP38">
        <v>76</v>
      </c>
      <c r="CQ38">
        <v>70.684210526300006</v>
      </c>
      <c r="CR38">
        <v>4716</v>
      </c>
      <c r="CS38">
        <v>80</v>
      </c>
      <c r="CT38">
        <v>70.149703138299998</v>
      </c>
      <c r="CU38">
        <v>69.174999999999997</v>
      </c>
      <c r="CW38" t="s">
        <v>63</v>
      </c>
      <c r="CX38" t="s">
        <v>851</v>
      </c>
      <c r="CY38" t="s">
        <v>859</v>
      </c>
      <c r="CZ38">
        <v>216</v>
      </c>
      <c r="DA38">
        <v>25</v>
      </c>
      <c r="DB38">
        <v>61.541666666700003</v>
      </c>
      <c r="DC38">
        <v>541</v>
      </c>
      <c r="DD38">
        <v>9</v>
      </c>
      <c r="DE38">
        <v>134.2144177449</v>
      </c>
      <c r="DF38">
        <v>123.6666666667</v>
      </c>
      <c r="DH38" t="s">
        <v>63</v>
      </c>
      <c r="DI38" t="s">
        <v>819</v>
      </c>
      <c r="DJ38" t="s">
        <v>827</v>
      </c>
      <c r="DK38">
        <v>158</v>
      </c>
      <c r="DL38">
        <v>21</v>
      </c>
      <c r="DM38">
        <v>64.107594936699996</v>
      </c>
      <c r="DN38">
        <v>425</v>
      </c>
      <c r="DO38">
        <v>6</v>
      </c>
      <c r="DP38">
        <v>148.54352941179999</v>
      </c>
      <c r="DQ38">
        <v>189.3333333333</v>
      </c>
    </row>
    <row r="39" spans="2:121" x14ac:dyDescent="0.2">
      <c r="B39" t="s">
        <v>130</v>
      </c>
      <c r="C39">
        <v>2821</v>
      </c>
      <c r="D39">
        <v>572</v>
      </c>
      <c r="F39" t="s">
        <v>63</v>
      </c>
      <c r="G39">
        <v>3210</v>
      </c>
      <c r="H39">
        <v>269.2607476636</v>
      </c>
      <c r="I39">
        <v>4621</v>
      </c>
      <c r="J39">
        <v>1161</v>
      </c>
      <c r="K39">
        <v>4878</v>
      </c>
      <c r="L39">
        <v>2635</v>
      </c>
      <c r="M39">
        <v>1757</v>
      </c>
      <c r="N39">
        <v>1186</v>
      </c>
      <c r="O39">
        <v>314</v>
      </c>
      <c r="P39">
        <v>204</v>
      </c>
      <c r="Q39">
        <v>0</v>
      </c>
      <c r="R39">
        <v>12</v>
      </c>
      <c r="T39" t="s">
        <v>379</v>
      </c>
      <c r="U39">
        <v>6525</v>
      </c>
      <c r="V39">
        <v>98.084137931000001</v>
      </c>
      <c r="W39">
        <v>7366</v>
      </c>
      <c r="X39">
        <v>1828</v>
      </c>
      <c r="Y39">
        <v>10391</v>
      </c>
      <c r="Z39">
        <v>3067</v>
      </c>
      <c r="AA39">
        <v>428</v>
      </c>
      <c r="AB39">
        <v>410</v>
      </c>
      <c r="AC39">
        <v>2048</v>
      </c>
      <c r="AD39">
        <v>405</v>
      </c>
      <c r="AE39">
        <v>843</v>
      </c>
      <c r="AF39">
        <v>2130</v>
      </c>
      <c r="AH39" t="s">
        <v>422</v>
      </c>
      <c r="AI39">
        <v>4396</v>
      </c>
      <c r="AJ39">
        <v>281.97565969060003</v>
      </c>
      <c r="AK39">
        <v>7219</v>
      </c>
      <c r="AL39">
        <v>1552</v>
      </c>
      <c r="AM39">
        <v>7222</v>
      </c>
      <c r="AN39">
        <v>2934</v>
      </c>
      <c r="AO39">
        <v>1152</v>
      </c>
      <c r="AP39">
        <v>613</v>
      </c>
      <c r="AQ39">
        <v>1235</v>
      </c>
      <c r="AR39">
        <v>461</v>
      </c>
      <c r="AS39">
        <v>5</v>
      </c>
      <c r="AT39">
        <v>65</v>
      </c>
      <c r="AV39" t="s">
        <v>424</v>
      </c>
      <c r="AW39">
        <v>38</v>
      </c>
      <c r="AX39">
        <v>96.394736842100002</v>
      </c>
      <c r="AY39">
        <v>53</v>
      </c>
      <c r="AZ39">
        <v>7</v>
      </c>
      <c r="BA39">
        <v>58</v>
      </c>
      <c r="BB39">
        <v>16</v>
      </c>
      <c r="BC39">
        <v>4</v>
      </c>
      <c r="BD39">
        <v>4</v>
      </c>
      <c r="BE39">
        <v>15</v>
      </c>
      <c r="BF39">
        <v>2</v>
      </c>
      <c r="BG39">
        <v>11</v>
      </c>
      <c r="BH39">
        <v>12</v>
      </c>
      <c r="BJ39" t="s">
        <v>524</v>
      </c>
      <c r="BK39" t="s">
        <v>379</v>
      </c>
      <c r="BL39">
        <v>2230</v>
      </c>
      <c r="BM39">
        <v>481</v>
      </c>
      <c r="BN39">
        <v>77.671748878900004</v>
      </c>
      <c r="BO39">
        <v>22494</v>
      </c>
      <c r="BP39">
        <v>293</v>
      </c>
      <c r="BQ39">
        <v>55.305992709199998</v>
      </c>
      <c r="BR39">
        <v>69.068259385700003</v>
      </c>
      <c r="BS39">
        <v>3223</v>
      </c>
      <c r="BT39">
        <v>1222</v>
      </c>
      <c r="BU39">
        <v>127.24418243869999</v>
      </c>
      <c r="BV39">
        <v>27927</v>
      </c>
      <c r="BW39">
        <v>345</v>
      </c>
      <c r="BX39">
        <v>86.295377233500005</v>
      </c>
      <c r="BY39">
        <v>94.431884057999994</v>
      </c>
      <c r="CA39" t="s">
        <v>392</v>
      </c>
      <c r="CB39" t="s">
        <v>866</v>
      </c>
      <c r="CC39" t="s">
        <v>1000</v>
      </c>
      <c r="CD39">
        <v>17352</v>
      </c>
      <c r="CE39">
        <v>5123</v>
      </c>
      <c r="CF39">
        <v>109.2438335639</v>
      </c>
      <c r="CG39">
        <v>55893</v>
      </c>
      <c r="CH39">
        <v>657</v>
      </c>
      <c r="CI39">
        <v>194.0416689031</v>
      </c>
      <c r="CJ39">
        <v>157.31506849319999</v>
      </c>
      <c r="CL39" t="s">
        <v>392</v>
      </c>
      <c r="CM39" t="s">
        <v>835</v>
      </c>
      <c r="CN39" t="s">
        <v>844</v>
      </c>
      <c r="CO39">
        <v>647</v>
      </c>
      <c r="CP39">
        <v>86</v>
      </c>
      <c r="CQ39">
        <v>67.986089644499998</v>
      </c>
      <c r="CR39">
        <v>5080</v>
      </c>
      <c r="CS39">
        <v>84</v>
      </c>
      <c r="CT39">
        <v>76.065354330700004</v>
      </c>
      <c r="CU39">
        <v>67.797619047599994</v>
      </c>
      <c r="CW39" t="s">
        <v>392</v>
      </c>
      <c r="CX39" t="s">
        <v>851</v>
      </c>
      <c r="CY39" t="s">
        <v>860</v>
      </c>
      <c r="CZ39">
        <v>564</v>
      </c>
      <c r="DA39">
        <v>80</v>
      </c>
      <c r="DB39">
        <v>68.4946808511</v>
      </c>
      <c r="DC39">
        <v>1236</v>
      </c>
      <c r="DD39">
        <v>7</v>
      </c>
      <c r="DE39">
        <v>141.87216828480001</v>
      </c>
      <c r="DF39">
        <v>145.42857142860001</v>
      </c>
      <c r="DH39" t="s">
        <v>392</v>
      </c>
      <c r="DI39" t="s">
        <v>819</v>
      </c>
      <c r="DJ39" t="s">
        <v>828</v>
      </c>
      <c r="DK39">
        <v>1231</v>
      </c>
      <c r="DL39">
        <v>138</v>
      </c>
      <c r="DM39">
        <v>58.554021120999998</v>
      </c>
      <c r="DN39">
        <v>1690</v>
      </c>
      <c r="DO39">
        <v>16</v>
      </c>
      <c r="DP39">
        <v>128.83668639050001</v>
      </c>
      <c r="DQ39">
        <v>148.4375</v>
      </c>
    </row>
    <row r="40" spans="2:121" x14ac:dyDescent="0.2">
      <c r="B40" t="s">
        <v>111</v>
      </c>
      <c r="C40">
        <v>6669</v>
      </c>
      <c r="D40">
        <v>5084</v>
      </c>
      <c r="F40" t="s">
        <v>52</v>
      </c>
      <c r="G40">
        <v>4203</v>
      </c>
      <c r="H40">
        <v>384.77230549609999</v>
      </c>
      <c r="I40">
        <v>4275</v>
      </c>
      <c r="J40">
        <v>1583</v>
      </c>
      <c r="K40">
        <v>6224</v>
      </c>
      <c r="L40">
        <v>4007</v>
      </c>
      <c r="M40">
        <v>1965</v>
      </c>
      <c r="N40">
        <v>1492</v>
      </c>
      <c r="O40">
        <v>2243</v>
      </c>
      <c r="P40">
        <v>1345</v>
      </c>
      <c r="Q40">
        <v>91</v>
      </c>
      <c r="R40">
        <v>175</v>
      </c>
      <c r="T40" t="s">
        <v>8</v>
      </c>
      <c r="U40">
        <v>215</v>
      </c>
      <c r="V40">
        <v>93.218604651199996</v>
      </c>
      <c r="W40">
        <v>177</v>
      </c>
      <c r="X40">
        <v>75</v>
      </c>
      <c r="Y40">
        <v>472</v>
      </c>
      <c r="Z40">
        <v>201</v>
      </c>
      <c r="AA40">
        <v>31</v>
      </c>
      <c r="AB40">
        <v>28</v>
      </c>
      <c r="AC40">
        <v>109</v>
      </c>
      <c r="AD40">
        <v>35</v>
      </c>
      <c r="AE40">
        <v>59</v>
      </c>
      <c r="AF40">
        <v>19</v>
      </c>
      <c r="AH40" t="s">
        <v>419</v>
      </c>
      <c r="AI40">
        <v>9343</v>
      </c>
      <c r="AJ40">
        <v>394.93171358239999</v>
      </c>
      <c r="AK40">
        <v>5287</v>
      </c>
      <c r="AL40">
        <v>1881</v>
      </c>
      <c r="AM40">
        <v>12509</v>
      </c>
      <c r="AN40">
        <v>8331</v>
      </c>
      <c r="AO40">
        <v>3675</v>
      </c>
      <c r="AP40">
        <v>3020</v>
      </c>
      <c r="AQ40">
        <v>1769</v>
      </c>
      <c r="AR40">
        <v>664</v>
      </c>
      <c r="AS40">
        <v>4</v>
      </c>
      <c r="AT40">
        <v>79</v>
      </c>
      <c r="AV40" t="s">
        <v>420</v>
      </c>
      <c r="AW40">
        <v>462</v>
      </c>
      <c r="AX40">
        <v>44.471861471899999</v>
      </c>
      <c r="AY40">
        <v>1393</v>
      </c>
      <c r="AZ40">
        <v>40</v>
      </c>
      <c r="BA40">
        <v>963</v>
      </c>
      <c r="BB40">
        <v>85</v>
      </c>
      <c r="BC40">
        <v>10</v>
      </c>
      <c r="BD40">
        <v>9</v>
      </c>
      <c r="BE40">
        <v>62</v>
      </c>
      <c r="BF40">
        <v>35</v>
      </c>
      <c r="BG40">
        <v>982</v>
      </c>
      <c r="BH40">
        <v>276</v>
      </c>
      <c r="BJ40" t="s">
        <v>545</v>
      </c>
      <c r="BK40" t="s">
        <v>379</v>
      </c>
      <c r="BL40">
        <v>10759</v>
      </c>
      <c r="BM40">
        <v>2587</v>
      </c>
      <c r="BN40">
        <v>94.354493912099997</v>
      </c>
      <c r="BO40">
        <v>36535</v>
      </c>
      <c r="BP40">
        <v>448</v>
      </c>
      <c r="BQ40">
        <v>206.6437388805</v>
      </c>
      <c r="BR40">
        <v>155.41294642860001</v>
      </c>
      <c r="BS40">
        <v>10611</v>
      </c>
      <c r="BT40">
        <v>2226</v>
      </c>
      <c r="BU40">
        <v>88.805484874200005</v>
      </c>
      <c r="BV40">
        <v>35231</v>
      </c>
      <c r="BW40">
        <v>388</v>
      </c>
      <c r="BX40">
        <v>195.73651045950001</v>
      </c>
      <c r="BY40">
        <v>138.68556701029999</v>
      </c>
      <c r="CA40" t="s">
        <v>385</v>
      </c>
      <c r="CB40" t="s">
        <v>866</v>
      </c>
      <c r="CC40" t="s">
        <v>1001</v>
      </c>
      <c r="CD40">
        <v>9503</v>
      </c>
      <c r="CE40">
        <v>3012</v>
      </c>
      <c r="CF40">
        <v>118.79185520359999</v>
      </c>
      <c r="CG40">
        <v>31398</v>
      </c>
      <c r="CH40">
        <v>358</v>
      </c>
      <c r="CI40">
        <v>208.54946174919999</v>
      </c>
      <c r="CJ40">
        <v>176.1312849162</v>
      </c>
      <c r="CL40" t="s">
        <v>385</v>
      </c>
      <c r="CM40" t="s">
        <v>835</v>
      </c>
      <c r="CN40" t="s">
        <v>845</v>
      </c>
      <c r="CO40">
        <v>822</v>
      </c>
      <c r="CP40">
        <v>82</v>
      </c>
      <c r="CQ40">
        <v>63.773722627700003</v>
      </c>
      <c r="CR40">
        <v>5600</v>
      </c>
      <c r="CS40">
        <v>79</v>
      </c>
      <c r="CT40">
        <v>68.840535714300003</v>
      </c>
      <c r="CU40">
        <v>75.518987341799999</v>
      </c>
      <c r="CW40" t="s">
        <v>385</v>
      </c>
      <c r="CX40" t="s">
        <v>851</v>
      </c>
      <c r="CY40" t="s">
        <v>861</v>
      </c>
      <c r="CZ40">
        <v>173</v>
      </c>
      <c r="DA40">
        <v>21</v>
      </c>
      <c r="DB40">
        <v>67.924855491299994</v>
      </c>
      <c r="DC40">
        <v>480</v>
      </c>
      <c r="DD40">
        <v>7</v>
      </c>
      <c r="DE40">
        <v>132.08125000000001</v>
      </c>
      <c r="DF40">
        <v>147.28571428570001</v>
      </c>
      <c r="DH40" t="s">
        <v>385</v>
      </c>
      <c r="DI40" t="s">
        <v>819</v>
      </c>
      <c r="DJ40" t="s">
        <v>829</v>
      </c>
      <c r="DK40">
        <v>115</v>
      </c>
      <c r="DL40">
        <v>13</v>
      </c>
      <c r="DM40">
        <v>63.565217391300003</v>
      </c>
      <c r="DN40">
        <v>327</v>
      </c>
      <c r="DO40">
        <v>1</v>
      </c>
      <c r="DP40">
        <v>153.17125382259999</v>
      </c>
      <c r="DQ40">
        <v>117</v>
      </c>
    </row>
    <row r="41" spans="2:121" x14ac:dyDescent="0.2">
      <c r="B41" t="s">
        <v>119</v>
      </c>
      <c r="C41">
        <v>14069</v>
      </c>
      <c r="D41">
        <v>3226</v>
      </c>
      <c r="F41" t="s">
        <v>25</v>
      </c>
      <c r="G41">
        <v>13067</v>
      </c>
      <c r="H41">
        <v>342.99594398099998</v>
      </c>
      <c r="I41">
        <v>16609</v>
      </c>
      <c r="J41">
        <v>4219</v>
      </c>
      <c r="K41">
        <v>18267</v>
      </c>
      <c r="L41">
        <v>12264</v>
      </c>
      <c r="M41">
        <v>4607</v>
      </c>
      <c r="N41">
        <v>3996</v>
      </c>
      <c r="O41">
        <v>20382</v>
      </c>
      <c r="P41">
        <v>9961</v>
      </c>
      <c r="Q41">
        <v>63</v>
      </c>
      <c r="R41">
        <v>25</v>
      </c>
      <c r="T41" t="s">
        <v>395</v>
      </c>
      <c r="U41">
        <v>1279</v>
      </c>
      <c r="V41">
        <v>55.464425332300003</v>
      </c>
      <c r="W41">
        <v>2893</v>
      </c>
      <c r="X41">
        <v>121</v>
      </c>
      <c r="Y41">
        <v>2449</v>
      </c>
      <c r="Z41">
        <v>247</v>
      </c>
      <c r="AA41">
        <v>34</v>
      </c>
      <c r="AB41">
        <v>33</v>
      </c>
      <c r="AC41">
        <v>188</v>
      </c>
      <c r="AD41">
        <v>83</v>
      </c>
      <c r="AE41">
        <v>2600</v>
      </c>
      <c r="AF41">
        <v>493</v>
      </c>
      <c r="AH41" t="s">
        <v>8</v>
      </c>
      <c r="AI41">
        <v>8742</v>
      </c>
      <c r="AJ41">
        <v>418.27808281860001</v>
      </c>
      <c r="AK41">
        <v>4118</v>
      </c>
      <c r="AL41">
        <v>1767</v>
      </c>
      <c r="AM41">
        <v>10644</v>
      </c>
      <c r="AN41">
        <v>8179</v>
      </c>
      <c r="AO41">
        <v>1378</v>
      </c>
      <c r="AP41">
        <v>1175</v>
      </c>
      <c r="AQ41">
        <v>15638</v>
      </c>
      <c r="AR41">
        <v>12321</v>
      </c>
      <c r="AS41">
        <v>378</v>
      </c>
      <c r="AT41">
        <v>156</v>
      </c>
      <c r="AV41" t="s">
        <v>421</v>
      </c>
      <c r="AW41">
        <v>148</v>
      </c>
      <c r="AX41">
        <v>74.533783783800004</v>
      </c>
      <c r="AY41">
        <v>184</v>
      </c>
      <c r="AZ41">
        <v>12</v>
      </c>
      <c r="BA41">
        <v>264</v>
      </c>
      <c r="BB41">
        <v>35</v>
      </c>
      <c r="BC41">
        <v>5</v>
      </c>
      <c r="BD41">
        <v>5</v>
      </c>
      <c r="BE41">
        <v>14</v>
      </c>
      <c r="BF41">
        <v>3</v>
      </c>
      <c r="BG41">
        <v>272</v>
      </c>
      <c r="BH41">
        <v>18</v>
      </c>
      <c r="BJ41" t="s">
        <v>637</v>
      </c>
      <c r="BK41" t="s">
        <v>379</v>
      </c>
      <c r="BL41">
        <v>1424</v>
      </c>
      <c r="BM41">
        <v>172</v>
      </c>
      <c r="BN41">
        <v>71.286516853899997</v>
      </c>
      <c r="BO41">
        <v>4246</v>
      </c>
      <c r="BP41">
        <v>40</v>
      </c>
      <c r="BQ41">
        <v>130.35327366929999</v>
      </c>
      <c r="BR41">
        <v>149.75</v>
      </c>
      <c r="BS41">
        <v>4149</v>
      </c>
      <c r="BT41">
        <v>1243</v>
      </c>
      <c r="BU41">
        <v>117.5977343938</v>
      </c>
      <c r="BV41">
        <v>18533</v>
      </c>
      <c r="BW41">
        <v>139</v>
      </c>
      <c r="BX41">
        <v>209.80791021420001</v>
      </c>
      <c r="BY41">
        <v>172.81294964029999</v>
      </c>
      <c r="CA41" t="s">
        <v>382</v>
      </c>
      <c r="CB41" t="s">
        <v>866</v>
      </c>
      <c r="CC41" t="s">
        <v>1002</v>
      </c>
      <c r="CD41">
        <v>934</v>
      </c>
      <c r="CE41">
        <v>248</v>
      </c>
      <c r="CF41">
        <v>94.4817987152</v>
      </c>
      <c r="CG41">
        <v>2918</v>
      </c>
      <c r="CH41">
        <v>56</v>
      </c>
      <c r="CI41">
        <v>116.4599040439</v>
      </c>
      <c r="CJ41">
        <v>137.46428571429999</v>
      </c>
      <c r="CL41" t="s">
        <v>382</v>
      </c>
      <c r="CM41" t="s">
        <v>835</v>
      </c>
      <c r="CN41" t="s">
        <v>846</v>
      </c>
      <c r="CO41">
        <v>74</v>
      </c>
      <c r="CP41">
        <v>7</v>
      </c>
      <c r="CQ41">
        <v>61.5540540541</v>
      </c>
      <c r="CR41">
        <v>344</v>
      </c>
      <c r="CS41">
        <v>4</v>
      </c>
      <c r="CT41">
        <v>68.212209302299996</v>
      </c>
      <c r="CU41">
        <v>43</v>
      </c>
      <c r="CW41" t="s">
        <v>382</v>
      </c>
      <c r="CX41" t="s">
        <v>851</v>
      </c>
      <c r="CY41" t="s">
        <v>862</v>
      </c>
      <c r="CZ41">
        <v>14</v>
      </c>
      <c r="DA41">
        <v>0</v>
      </c>
      <c r="DB41">
        <v>48.714285714299997</v>
      </c>
      <c r="DC41">
        <v>29</v>
      </c>
      <c r="DD41">
        <v>0</v>
      </c>
      <c r="DE41">
        <v>102.5517241379</v>
      </c>
      <c r="DF41">
        <v>0</v>
      </c>
      <c r="DH41" t="s">
        <v>382</v>
      </c>
      <c r="DI41" t="s">
        <v>819</v>
      </c>
      <c r="DJ41" t="s">
        <v>830</v>
      </c>
      <c r="DK41">
        <v>6</v>
      </c>
      <c r="DL41">
        <v>0</v>
      </c>
      <c r="DM41">
        <v>41.5</v>
      </c>
      <c r="DN41">
        <v>15</v>
      </c>
      <c r="DO41">
        <v>1</v>
      </c>
      <c r="DP41">
        <v>134.46666666670001</v>
      </c>
      <c r="DQ41">
        <v>117</v>
      </c>
    </row>
    <row r="42" spans="2:121" x14ac:dyDescent="0.2">
      <c r="B42" t="s">
        <v>118</v>
      </c>
      <c r="C42">
        <v>5784</v>
      </c>
      <c r="D42">
        <v>289</v>
      </c>
      <c r="F42" t="s">
        <v>69</v>
      </c>
      <c r="G42">
        <v>8366</v>
      </c>
      <c r="H42">
        <v>398.50848673199999</v>
      </c>
      <c r="I42">
        <v>5041</v>
      </c>
      <c r="J42">
        <v>1824</v>
      </c>
      <c r="K42">
        <v>10533</v>
      </c>
      <c r="L42">
        <v>7228</v>
      </c>
      <c r="M42">
        <v>3833</v>
      </c>
      <c r="N42">
        <v>3208</v>
      </c>
      <c r="O42">
        <v>1506</v>
      </c>
      <c r="P42">
        <v>655</v>
      </c>
      <c r="Q42">
        <v>0</v>
      </c>
      <c r="R42">
        <v>77</v>
      </c>
      <c r="T42" t="s">
        <v>414</v>
      </c>
      <c r="U42">
        <v>1027</v>
      </c>
      <c r="V42">
        <v>39.216163583300002</v>
      </c>
      <c r="W42">
        <v>3888</v>
      </c>
      <c r="X42">
        <v>139</v>
      </c>
      <c r="Y42">
        <v>1915</v>
      </c>
      <c r="Z42">
        <v>141</v>
      </c>
      <c r="AA42">
        <v>21</v>
      </c>
      <c r="AB42">
        <v>19</v>
      </c>
      <c r="AC42">
        <v>133</v>
      </c>
      <c r="AD42">
        <v>68</v>
      </c>
      <c r="AE42">
        <v>2100</v>
      </c>
      <c r="AF42">
        <v>548</v>
      </c>
      <c r="AH42" t="s">
        <v>385</v>
      </c>
      <c r="AI42">
        <v>7867</v>
      </c>
      <c r="AJ42">
        <v>397.7917884835</v>
      </c>
      <c r="AK42">
        <v>9628</v>
      </c>
      <c r="AL42">
        <v>2983</v>
      </c>
      <c r="AM42">
        <v>11795</v>
      </c>
      <c r="AN42">
        <v>7714</v>
      </c>
      <c r="AO42">
        <v>1023</v>
      </c>
      <c r="AP42">
        <v>726</v>
      </c>
      <c r="AQ42">
        <v>5833</v>
      </c>
      <c r="AR42">
        <v>3085</v>
      </c>
      <c r="AS42">
        <v>992</v>
      </c>
      <c r="AT42">
        <v>9</v>
      </c>
      <c r="AV42" t="s">
        <v>63</v>
      </c>
      <c r="AW42">
        <v>1121</v>
      </c>
      <c r="AX42">
        <v>99.747546833200005</v>
      </c>
      <c r="AY42">
        <v>1513</v>
      </c>
      <c r="AZ42">
        <v>388</v>
      </c>
      <c r="BA42">
        <v>1866</v>
      </c>
      <c r="BB42">
        <v>547</v>
      </c>
      <c r="BC42">
        <v>50</v>
      </c>
      <c r="BD42">
        <v>48</v>
      </c>
      <c r="BE42">
        <v>301</v>
      </c>
      <c r="BF42">
        <v>62</v>
      </c>
      <c r="BG42">
        <v>111</v>
      </c>
      <c r="BH42">
        <v>333</v>
      </c>
      <c r="BJ42" t="s">
        <v>639</v>
      </c>
      <c r="BK42" t="s">
        <v>379</v>
      </c>
      <c r="BL42">
        <v>377</v>
      </c>
      <c r="BM42">
        <v>116</v>
      </c>
      <c r="BN42">
        <v>99.095490716200004</v>
      </c>
      <c r="BO42">
        <v>1444</v>
      </c>
      <c r="BP42">
        <v>8</v>
      </c>
      <c r="BQ42">
        <v>166.7278393352</v>
      </c>
      <c r="BR42">
        <v>180.75</v>
      </c>
      <c r="BS42">
        <v>641</v>
      </c>
      <c r="BT42">
        <v>241</v>
      </c>
      <c r="BU42">
        <v>117.83463338529999</v>
      </c>
      <c r="BV42">
        <v>2222</v>
      </c>
      <c r="BW42">
        <v>18</v>
      </c>
      <c r="BX42">
        <v>187.31908190819999</v>
      </c>
      <c r="BY42">
        <v>180.5</v>
      </c>
      <c r="CA42" t="s">
        <v>427</v>
      </c>
      <c r="CB42" t="s">
        <v>866</v>
      </c>
      <c r="CC42" t="s">
        <v>1003</v>
      </c>
      <c r="CD42">
        <v>413</v>
      </c>
      <c r="CE42">
        <v>120</v>
      </c>
      <c r="CF42">
        <v>97.6004842615</v>
      </c>
      <c r="CG42">
        <v>1457</v>
      </c>
      <c r="CH42">
        <v>14</v>
      </c>
      <c r="CI42">
        <v>161.38503774879999</v>
      </c>
      <c r="CJ42">
        <v>124.3571428571</v>
      </c>
      <c r="CL42" t="s">
        <v>427</v>
      </c>
      <c r="CM42" t="s">
        <v>835</v>
      </c>
      <c r="CN42" t="s">
        <v>847</v>
      </c>
      <c r="CO42">
        <v>16</v>
      </c>
      <c r="CP42">
        <v>2</v>
      </c>
      <c r="CQ42">
        <v>59.5</v>
      </c>
      <c r="CR42">
        <v>127</v>
      </c>
      <c r="CS42">
        <v>2</v>
      </c>
      <c r="CT42">
        <v>85.283464566899994</v>
      </c>
      <c r="CU42">
        <v>102</v>
      </c>
      <c r="CW42" t="s">
        <v>427</v>
      </c>
      <c r="CX42" t="s">
        <v>851</v>
      </c>
      <c r="CY42" t="s">
        <v>863</v>
      </c>
      <c r="CZ42">
        <v>6</v>
      </c>
      <c r="DA42">
        <v>0</v>
      </c>
      <c r="DB42">
        <v>32.166666666700003</v>
      </c>
      <c r="DC42">
        <v>22</v>
      </c>
      <c r="DD42">
        <v>0</v>
      </c>
      <c r="DE42">
        <v>134.9090909091</v>
      </c>
      <c r="DF42">
        <v>0</v>
      </c>
      <c r="DH42" t="s">
        <v>427</v>
      </c>
      <c r="DI42" t="s">
        <v>819</v>
      </c>
      <c r="DJ42" t="s">
        <v>831</v>
      </c>
      <c r="DK42">
        <v>6</v>
      </c>
      <c r="DL42">
        <v>1</v>
      </c>
      <c r="DM42">
        <v>62</v>
      </c>
      <c r="DN42">
        <v>16</v>
      </c>
      <c r="DO42">
        <v>0</v>
      </c>
      <c r="DP42">
        <v>154</v>
      </c>
      <c r="DQ42">
        <v>0</v>
      </c>
    </row>
    <row r="43" spans="2:121" x14ac:dyDescent="0.2">
      <c r="B43" t="s">
        <v>133</v>
      </c>
      <c r="C43">
        <v>65463</v>
      </c>
      <c r="D43">
        <v>51813</v>
      </c>
      <c r="F43" t="s">
        <v>78</v>
      </c>
      <c r="G43">
        <v>5014</v>
      </c>
      <c r="H43">
        <v>267.5153570004</v>
      </c>
      <c r="I43">
        <v>4953</v>
      </c>
      <c r="J43">
        <v>962</v>
      </c>
      <c r="K43">
        <v>7620</v>
      </c>
      <c r="L43">
        <v>4697</v>
      </c>
      <c r="M43">
        <v>2242</v>
      </c>
      <c r="N43">
        <v>2116</v>
      </c>
      <c r="O43">
        <v>5586</v>
      </c>
      <c r="P43">
        <v>4676</v>
      </c>
      <c r="Q43">
        <v>42</v>
      </c>
      <c r="R43">
        <v>100</v>
      </c>
      <c r="AH43" t="s">
        <v>437</v>
      </c>
      <c r="AI43">
        <v>2761</v>
      </c>
      <c r="AJ43">
        <v>289.99420499820002</v>
      </c>
      <c r="AK43">
        <v>2845</v>
      </c>
      <c r="AL43">
        <v>862</v>
      </c>
      <c r="AM43">
        <v>4733</v>
      </c>
      <c r="AN43">
        <v>3086</v>
      </c>
      <c r="AO43">
        <v>759</v>
      </c>
      <c r="AP43">
        <v>622</v>
      </c>
      <c r="AQ43">
        <v>1654</v>
      </c>
      <c r="AR43">
        <v>839</v>
      </c>
      <c r="AS43">
        <v>223</v>
      </c>
      <c r="AT43">
        <v>4</v>
      </c>
      <c r="AV43" t="s">
        <v>426</v>
      </c>
      <c r="AW43">
        <v>121</v>
      </c>
      <c r="AX43">
        <v>97.520661157000006</v>
      </c>
      <c r="AY43">
        <v>84</v>
      </c>
      <c r="AZ43">
        <v>10</v>
      </c>
      <c r="BA43">
        <v>193</v>
      </c>
      <c r="BB43">
        <v>60</v>
      </c>
      <c r="BC43">
        <v>4</v>
      </c>
      <c r="BD43">
        <v>3</v>
      </c>
      <c r="BE43">
        <v>41</v>
      </c>
      <c r="BF43">
        <v>6</v>
      </c>
      <c r="BG43">
        <v>22</v>
      </c>
      <c r="BH43">
        <v>27</v>
      </c>
      <c r="BJ43" t="s">
        <v>653</v>
      </c>
      <c r="BK43" t="s">
        <v>379</v>
      </c>
      <c r="BL43">
        <v>826</v>
      </c>
      <c r="BM43">
        <v>245</v>
      </c>
      <c r="BN43">
        <v>109.9394673123</v>
      </c>
      <c r="BO43">
        <v>2560</v>
      </c>
      <c r="BP43">
        <v>33</v>
      </c>
      <c r="BQ43">
        <v>219.74257812499999</v>
      </c>
      <c r="BR43">
        <v>155.4242424242</v>
      </c>
      <c r="BS43">
        <v>606</v>
      </c>
      <c r="BT43">
        <v>121</v>
      </c>
      <c r="BU43">
        <v>92.280528052799994</v>
      </c>
      <c r="BV43">
        <v>1977</v>
      </c>
      <c r="BW43">
        <v>17</v>
      </c>
      <c r="BX43">
        <v>227.3227111786</v>
      </c>
      <c r="BY43">
        <v>137.8235294118</v>
      </c>
      <c r="CA43" t="s">
        <v>388</v>
      </c>
      <c r="CB43" t="s">
        <v>866</v>
      </c>
      <c r="CC43" t="s">
        <v>1004</v>
      </c>
      <c r="CD43">
        <v>10983</v>
      </c>
      <c r="CE43">
        <v>2818</v>
      </c>
      <c r="CF43">
        <v>98.402075935499994</v>
      </c>
      <c r="CG43">
        <v>39195</v>
      </c>
      <c r="CH43">
        <v>480</v>
      </c>
      <c r="CI43">
        <v>196.5443041204</v>
      </c>
      <c r="CJ43">
        <v>153.83541666670001</v>
      </c>
      <c r="CL43" t="s">
        <v>388</v>
      </c>
      <c r="CM43" t="s">
        <v>835</v>
      </c>
      <c r="CN43" t="s">
        <v>848</v>
      </c>
      <c r="CO43">
        <v>480</v>
      </c>
      <c r="CP43">
        <v>66</v>
      </c>
      <c r="CQ43">
        <v>75.45</v>
      </c>
      <c r="CR43">
        <v>3139</v>
      </c>
      <c r="CS43">
        <v>52</v>
      </c>
      <c r="CT43">
        <v>80.712010194300007</v>
      </c>
      <c r="CU43">
        <v>60.173076923099998</v>
      </c>
      <c r="CW43" t="s">
        <v>388</v>
      </c>
      <c r="CX43" t="s">
        <v>851</v>
      </c>
      <c r="CY43" t="s">
        <v>864</v>
      </c>
      <c r="CZ43">
        <v>599</v>
      </c>
      <c r="DA43">
        <v>121</v>
      </c>
      <c r="DB43">
        <v>74.494156928199999</v>
      </c>
      <c r="DC43">
        <v>1429</v>
      </c>
      <c r="DD43">
        <v>13</v>
      </c>
      <c r="DE43">
        <v>148.23163051079999</v>
      </c>
      <c r="DF43">
        <v>152.1538461538</v>
      </c>
      <c r="DH43" t="s">
        <v>388</v>
      </c>
      <c r="DI43" t="s">
        <v>819</v>
      </c>
      <c r="DJ43" t="s">
        <v>832</v>
      </c>
      <c r="DK43">
        <v>1117</v>
      </c>
      <c r="DL43">
        <v>150</v>
      </c>
      <c r="DM43">
        <v>60.298119964199998</v>
      </c>
      <c r="DN43">
        <v>1687</v>
      </c>
      <c r="DO43">
        <v>18</v>
      </c>
      <c r="DP43">
        <v>141.33550681680001</v>
      </c>
      <c r="DQ43">
        <v>147.94444444440001</v>
      </c>
    </row>
    <row r="44" spans="2:121" x14ac:dyDescent="0.2">
      <c r="B44" t="s">
        <v>132</v>
      </c>
      <c r="C44">
        <v>9645</v>
      </c>
      <c r="D44">
        <v>6793</v>
      </c>
      <c r="F44" t="s">
        <v>35</v>
      </c>
      <c r="G44">
        <v>2130</v>
      </c>
      <c r="H44">
        <v>480.7981220657</v>
      </c>
      <c r="I44">
        <v>863</v>
      </c>
      <c r="J44">
        <v>101</v>
      </c>
      <c r="K44">
        <v>2778</v>
      </c>
      <c r="L44">
        <v>1995</v>
      </c>
      <c r="M44">
        <v>1911</v>
      </c>
      <c r="N44">
        <v>1778</v>
      </c>
      <c r="O44">
        <v>200</v>
      </c>
      <c r="P44">
        <v>105</v>
      </c>
      <c r="Q44">
        <v>0</v>
      </c>
      <c r="R44">
        <v>2</v>
      </c>
      <c r="AH44" t="s">
        <v>382</v>
      </c>
      <c r="AI44">
        <v>471</v>
      </c>
      <c r="AJ44">
        <v>233.3694267516</v>
      </c>
      <c r="AK44">
        <v>902</v>
      </c>
      <c r="AL44">
        <v>249</v>
      </c>
      <c r="AM44">
        <v>1098</v>
      </c>
      <c r="AN44">
        <v>387</v>
      </c>
      <c r="AO44">
        <v>357</v>
      </c>
      <c r="AP44">
        <v>127</v>
      </c>
      <c r="AQ44">
        <v>134</v>
      </c>
      <c r="AR44">
        <v>62</v>
      </c>
      <c r="AS44">
        <v>125</v>
      </c>
      <c r="AT44">
        <v>2</v>
      </c>
      <c r="AV44" t="s">
        <v>404</v>
      </c>
      <c r="AW44">
        <v>295</v>
      </c>
      <c r="AX44">
        <v>64.454237288100003</v>
      </c>
      <c r="AY44">
        <v>729</v>
      </c>
      <c r="AZ44">
        <v>65</v>
      </c>
      <c r="BA44">
        <v>511</v>
      </c>
      <c r="BB44">
        <v>50</v>
      </c>
      <c r="BC44">
        <v>4</v>
      </c>
      <c r="BD44">
        <v>3</v>
      </c>
      <c r="BE44">
        <v>62</v>
      </c>
      <c r="BF44">
        <v>18</v>
      </c>
      <c r="BG44">
        <v>552</v>
      </c>
      <c r="BH44">
        <v>45</v>
      </c>
      <c r="BJ44" t="s">
        <v>553</v>
      </c>
      <c r="BK44" t="s">
        <v>379</v>
      </c>
      <c r="BL44">
        <v>17848</v>
      </c>
      <c r="BM44">
        <v>5049</v>
      </c>
      <c r="BN44">
        <v>106.1721201255</v>
      </c>
      <c r="BO44">
        <v>52990</v>
      </c>
      <c r="BP44">
        <v>613</v>
      </c>
      <c r="BQ44">
        <v>203.54181921119999</v>
      </c>
      <c r="BR44">
        <v>162.60358890699999</v>
      </c>
      <c r="BS44">
        <v>14337</v>
      </c>
      <c r="BT44">
        <v>3204</v>
      </c>
      <c r="BU44">
        <v>92.478830996699998</v>
      </c>
      <c r="BV44">
        <v>37842</v>
      </c>
      <c r="BW44">
        <v>435</v>
      </c>
      <c r="BX44">
        <v>209.2028698272</v>
      </c>
      <c r="BY44">
        <v>151.85517241380001</v>
      </c>
      <c r="CA44" t="s">
        <v>389</v>
      </c>
      <c r="CB44" t="s">
        <v>866</v>
      </c>
      <c r="CC44" t="s">
        <v>1005</v>
      </c>
      <c r="CD44">
        <v>2244</v>
      </c>
      <c r="CE44">
        <v>491</v>
      </c>
      <c r="CF44">
        <v>91.853386809300005</v>
      </c>
      <c r="CG44">
        <v>9158</v>
      </c>
      <c r="CH44">
        <v>88</v>
      </c>
      <c r="CI44">
        <v>146.0493557545</v>
      </c>
      <c r="CJ44">
        <v>125.6477272727</v>
      </c>
      <c r="CL44" t="s">
        <v>389</v>
      </c>
      <c r="CM44" t="s">
        <v>835</v>
      </c>
      <c r="CN44" t="s">
        <v>849</v>
      </c>
      <c r="CO44">
        <v>129</v>
      </c>
      <c r="CP44">
        <v>17</v>
      </c>
      <c r="CQ44">
        <v>67.217054263600005</v>
      </c>
      <c r="CR44">
        <v>919</v>
      </c>
      <c r="CS44">
        <v>22</v>
      </c>
      <c r="CT44">
        <v>78.362350380799995</v>
      </c>
      <c r="CU44">
        <v>116.2272727273</v>
      </c>
      <c r="CW44" t="s">
        <v>389</v>
      </c>
      <c r="CX44" t="s">
        <v>851</v>
      </c>
      <c r="CY44" t="s">
        <v>865</v>
      </c>
      <c r="CZ44">
        <v>19</v>
      </c>
      <c r="DA44">
        <v>2</v>
      </c>
      <c r="DB44">
        <v>62.052631578899998</v>
      </c>
      <c r="DC44">
        <v>63</v>
      </c>
      <c r="DD44">
        <v>0</v>
      </c>
      <c r="DE44">
        <v>126.7777777778</v>
      </c>
      <c r="DF44">
        <v>0</v>
      </c>
      <c r="DH44" t="s">
        <v>389</v>
      </c>
      <c r="DI44" t="s">
        <v>819</v>
      </c>
      <c r="DJ44" t="s">
        <v>833</v>
      </c>
      <c r="DK44">
        <v>21</v>
      </c>
      <c r="DL44">
        <v>2</v>
      </c>
      <c r="DM44">
        <v>64.428571428599994</v>
      </c>
      <c r="DN44">
        <v>59</v>
      </c>
      <c r="DO44">
        <v>1</v>
      </c>
      <c r="DP44">
        <v>156.49152542370001</v>
      </c>
      <c r="DQ44">
        <v>82</v>
      </c>
    </row>
    <row r="45" spans="2:121" x14ac:dyDescent="0.2">
      <c r="B45" t="s">
        <v>106</v>
      </c>
      <c r="C45">
        <v>191</v>
      </c>
      <c r="D45">
        <v>189</v>
      </c>
      <c r="F45" t="s">
        <v>66</v>
      </c>
      <c r="G45">
        <v>5509</v>
      </c>
      <c r="H45">
        <v>388.1675440189</v>
      </c>
      <c r="I45">
        <v>10040</v>
      </c>
      <c r="J45">
        <v>3238</v>
      </c>
      <c r="K45">
        <v>8651</v>
      </c>
      <c r="L45">
        <v>5587</v>
      </c>
      <c r="M45">
        <v>1720</v>
      </c>
      <c r="N45">
        <v>647</v>
      </c>
      <c r="O45">
        <v>7408</v>
      </c>
      <c r="P45">
        <v>4023</v>
      </c>
      <c r="Q45">
        <v>8812</v>
      </c>
      <c r="R45">
        <v>0</v>
      </c>
      <c r="AH45" t="s">
        <v>393</v>
      </c>
      <c r="AI45">
        <v>11735</v>
      </c>
      <c r="AJ45">
        <v>337.47550063910001</v>
      </c>
      <c r="AK45">
        <v>9852</v>
      </c>
      <c r="AL45">
        <v>2510</v>
      </c>
      <c r="AM45">
        <v>16811</v>
      </c>
      <c r="AN45">
        <v>11220</v>
      </c>
      <c r="AO45">
        <v>2277</v>
      </c>
      <c r="AP45">
        <v>1093</v>
      </c>
      <c r="AQ45">
        <v>2884</v>
      </c>
      <c r="AR45">
        <v>1577</v>
      </c>
      <c r="AS45">
        <v>445</v>
      </c>
      <c r="AT45">
        <v>64</v>
      </c>
      <c r="AV45" t="s">
        <v>431</v>
      </c>
      <c r="AW45">
        <v>7</v>
      </c>
      <c r="AX45">
        <v>32.142857142899999</v>
      </c>
      <c r="AY45">
        <v>21</v>
      </c>
      <c r="AZ45">
        <v>1</v>
      </c>
      <c r="BA45">
        <v>21</v>
      </c>
      <c r="BB45">
        <v>3</v>
      </c>
      <c r="BC45">
        <v>0</v>
      </c>
      <c r="BE45">
        <v>1</v>
      </c>
      <c r="BF45">
        <v>1</v>
      </c>
      <c r="BG45">
        <v>45</v>
      </c>
      <c r="BH45">
        <v>4</v>
      </c>
      <c r="BJ45" t="s">
        <v>8</v>
      </c>
      <c r="BK45" t="s">
        <v>8</v>
      </c>
      <c r="BL45">
        <v>500</v>
      </c>
      <c r="BM45">
        <v>237</v>
      </c>
      <c r="BN45">
        <v>141.77000000000001</v>
      </c>
      <c r="BO45">
        <v>1024</v>
      </c>
      <c r="BP45">
        <v>28</v>
      </c>
      <c r="BQ45">
        <v>202.982421875</v>
      </c>
      <c r="BR45">
        <v>175.3571428571</v>
      </c>
      <c r="BS45">
        <v>31</v>
      </c>
      <c r="BT45">
        <v>5</v>
      </c>
      <c r="BU45">
        <v>111.80645161290001</v>
      </c>
      <c r="BV45">
        <v>6031</v>
      </c>
      <c r="BX45">
        <v>178.4735533079</v>
      </c>
      <c r="CA45" t="s">
        <v>379</v>
      </c>
      <c r="CB45" t="s">
        <v>866</v>
      </c>
      <c r="CD45">
        <v>70716</v>
      </c>
      <c r="CE45">
        <v>19322</v>
      </c>
      <c r="CF45">
        <v>105.7267096555</v>
      </c>
      <c r="CG45">
        <v>236951</v>
      </c>
      <c r="CH45">
        <v>2729</v>
      </c>
      <c r="CI45">
        <v>194.3141408983</v>
      </c>
      <c r="CJ45">
        <v>160.22279223160001</v>
      </c>
      <c r="CL45" t="s">
        <v>379</v>
      </c>
      <c r="CM45" t="s">
        <v>835</v>
      </c>
      <c r="CO45">
        <v>3852</v>
      </c>
      <c r="CP45">
        <v>453</v>
      </c>
      <c r="CQ45">
        <v>68.168743509899997</v>
      </c>
      <c r="CR45">
        <v>27513</v>
      </c>
      <c r="CS45">
        <v>438</v>
      </c>
      <c r="CT45">
        <v>74.497728346599999</v>
      </c>
      <c r="CU45">
        <v>72.269406392700006</v>
      </c>
      <c r="CW45" t="s">
        <v>379</v>
      </c>
      <c r="CX45" t="s">
        <v>851</v>
      </c>
      <c r="CZ45">
        <v>2090</v>
      </c>
      <c r="DA45">
        <v>305</v>
      </c>
      <c r="DB45">
        <v>68.311961722500001</v>
      </c>
      <c r="DC45">
        <v>5122</v>
      </c>
      <c r="DD45">
        <v>48</v>
      </c>
      <c r="DE45">
        <v>139.8276064037</v>
      </c>
      <c r="DF45">
        <v>144.1666666667</v>
      </c>
      <c r="DH45" t="s">
        <v>379</v>
      </c>
      <c r="DI45" t="s">
        <v>819</v>
      </c>
      <c r="DK45">
        <v>3215</v>
      </c>
      <c r="DL45">
        <v>403</v>
      </c>
      <c r="DM45">
        <v>60.424883359299997</v>
      </c>
      <c r="DN45">
        <v>5322</v>
      </c>
      <c r="DO45">
        <v>50</v>
      </c>
      <c r="DP45">
        <v>139.52160841790001</v>
      </c>
      <c r="DQ45">
        <v>148.32</v>
      </c>
    </row>
    <row r="46" spans="2:121" x14ac:dyDescent="0.2">
      <c r="B46" t="s">
        <v>114</v>
      </c>
      <c r="C46">
        <v>548</v>
      </c>
      <c r="D46">
        <v>472</v>
      </c>
      <c r="F46" t="s">
        <v>81</v>
      </c>
      <c r="G46">
        <v>1503</v>
      </c>
      <c r="H46">
        <v>230.93213572849999</v>
      </c>
      <c r="I46">
        <v>1182</v>
      </c>
      <c r="J46">
        <v>165</v>
      </c>
      <c r="K46">
        <v>2306</v>
      </c>
      <c r="L46">
        <v>1026</v>
      </c>
      <c r="M46">
        <v>981</v>
      </c>
      <c r="N46">
        <v>561</v>
      </c>
      <c r="O46">
        <v>925</v>
      </c>
      <c r="P46">
        <v>859</v>
      </c>
      <c r="Q46">
        <v>1</v>
      </c>
      <c r="R46">
        <v>0</v>
      </c>
      <c r="AH46" t="s">
        <v>430</v>
      </c>
      <c r="AI46">
        <v>480</v>
      </c>
      <c r="AJ46">
        <v>207.8125</v>
      </c>
      <c r="AK46">
        <v>911</v>
      </c>
      <c r="AL46">
        <v>232</v>
      </c>
      <c r="AM46">
        <v>1176</v>
      </c>
      <c r="AN46">
        <v>253</v>
      </c>
      <c r="AO46">
        <v>421</v>
      </c>
      <c r="AP46">
        <v>114</v>
      </c>
      <c r="AQ46">
        <v>127</v>
      </c>
      <c r="AR46">
        <v>54</v>
      </c>
      <c r="AS46">
        <v>1</v>
      </c>
      <c r="AT46">
        <v>2</v>
      </c>
      <c r="AV46" t="s">
        <v>399</v>
      </c>
      <c r="AW46">
        <v>165</v>
      </c>
      <c r="AX46">
        <v>75.593939393900001</v>
      </c>
      <c r="AY46">
        <v>244</v>
      </c>
      <c r="AZ46">
        <v>21</v>
      </c>
      <c r="BA46">
        <v>293</v>
      </c>
      <c r="BB46">
        <v>42</v>
      </c>
      <c r="BC46">
        <v>7</v>
      </c>
      <c r="BD46">
        <v>7</v>
      </c>
      <c r="BE46">
        <v>40</v>
      </c>
      <c r="BF46">
        <v>13</v>
      </c>
      <c r="BG46">
        <v>296</v>
      </c>
      <c r="BH46">
        <v>27</v>
      </c>
      <c r="BJ46" t="s">
        <v>696</v>
      </c>
      <c r="BK46" t="s">
        <v>8</v>
      </c>
      <c r="BL46">
        <v>500</v>
      </c>
      <c r="BM46">
        <v>237</v>
      </c>
      <c r="BN46">
        <v>141.77000000000001</v>
      </c>
      <c r="BO46">
        <v>1024</v>
      </c>
      <c r="BP46">
        <v>28</v>
      </c>
      <c r="BQ46">
        <v>202.982421875</v>
      </c>
      <c r="BR46">
        <v>175.3571428571</v>
      </c>
      <c r="BS46">
        <v>31</v>
      </c>
      <c r="BT46">
        <v>5</v>
      </c>
      <c r="BU46">
        <v>111.80645161290001</v>
      </c>
      <c r="BV46">
        <v>6031</v>
      </c>
      <c r="BX46">
        <v>178.4735533079</v>
      </c>
      <c r="CA46" t="s">
        <v>8</v>
      </c>
      <c r="CB46" t="s">
        <v>696</v>
      </c>
      <c r="CC46" t="s">
        <v>696</v>
      </c>
      <c r="CD46">
        <v>3714</v>
      </c>
      <c r="CE46">
        <v>1557</v>
      </c>
      <c r="CF46">
        <v>147.1914378029</v>
      </c>
      <c r="CG46">
        <v>9990</v>
      </c>
      <c r="CH46">
        <v>97</v>
      </c>
      <c r="CI46">
        <v>205.8926926927</v>
      </c>
      <c r="CJ46">
        <v>219.9484536082</v>
      </c>
      <c r="CL46" t="s">
        <v>8</v>
      </c>
      <c r="CM46" t="s">
        <v>868</v>
      </c>
      <c r="CN46" t="s">
        <v>868</v>
      </c>
      <c r="CO46">
        <v>175</v>
      </c>
      <c r="CP46">
        <v>38</v>
      </c>
      <c r="CQ46">
        <v>89.4057142857</v>
      </c>
      <c r="CR46">
        <v>1036</v>
      </c>
      <c r="CS46">
        <v>14</v>
      </c>
      <c r="CT46">
        <v>97.035714285699996</v>
      </c>
      <c r="CU46">
        <v>62.071428571399998</v>
      </c>
      <c r="CW46" t="s">
        <v>8</v>
      </c>
      <c r="CX46" t="s">
        <v>869</v>
      </c>
      <c r="CY46" t="s">
        <v>869</v>
      </c>
      <c r="CZ46">
        <v>25</v>
      </c>
      <c r="DA46">
        <v>4</v>
      </c>
      <c r="DB46">
        <v>61.28</v>
      </c>
      <c r="DC46">
        <v>63</v>
      </c>
      <c r="DD46">
        <v>0</v>
      </c>
      <c r="DE46">
        <v>141.60317460319999</v>
      </c>
      <c r="DF46">
        <v>0</v>
      </c>
      <c r="DH46" t="s">
        <v>8</v>
      </c>
      <c r="DI46" t="s">
        <v>867</v>
      </c>
      <c r="DJ46" t="s">
        <v>867</v>
      </c>
      <c r="DK46">
        <v>62</v>
      </c>
      <c r="DL46">
        <v>8</v>
      </c>
      <c r="DM46">
        <v>71.241935483899994</v>
      </c>
      <c r="DN46">
        <v>183</v>
      </c>
      <c r="DO46">
        <v>3</v>
      </c>
      <c r="DP46">
        <v>148.70491803280001</v>
      </c>
      <c r="DQ46">
        <v>155</v>
      </c>
    </row>
    <row r="47" spans="2:121" x14ac:dyDescent="0.2">
      <c r="B47" t="s">
        <v>107</v>
      </c>
      <c r="C47">
        <v>18083</v>
      </c>
      <c r="D47">
        <v>13175</v>
      </c>
      <c r="F47" t="s">
        <v>84</v>
      </c>
      <c r="G47">
        <v>1539</v>
      </c>
      <c r="H47">
        <v>155.6504223522</v>
      </c>
      <c r="I47">
        <v>2579</v>
      </c>
      <c r="J47">
        <v>611</v>
      </c>
      <c r="K47">
        <v>2302</v>
      </c>
      <c r="L47">
        <v>1026</v>
      </c>
      <c r="M47">
        <v>474</v>
      </c>
      <c r="N47">
        <v>255</v>
      </c>
      <c r="O47">
        <v>171</v>
      </c>
      <c r="P47">
        <v>85</v>
      </c>
      <c r="Q47">
        <v>0</v>
      </c>
      <c r="R47">
        <v>10</v>
      </c>
      <c r="AH47" t="s">
        <v>394</v>
      </c>
      <c r="AI47">
        <v>7323</v>
      </c>
      <c r="AJ47">
        <v>270.93199508399999</v>
      </c>
      <c r="AK47">
        <v>9841</v>
      </c>
      <c r="AL47">
        <v>2355</v>
      </c>
      <c r="AM47">
        <v>10607</v>
      </c>
      <c r="AN47">
        <v>5750</v>
      </c>
      <c r="AO47">
        <v>1551</v>
      </c>
      <c r="AP47">
        <v>1232</v>
      </c>
      <c r="AQ47">
        <v>1919</v>
      </c>
      <c r="AR47">
        <v>1130</v>
      </c>
      <c r="AS47">
        <v>33</v>
      </c>
      <c r="AT47">
        <v>228</v>
      </c>
      <c r="AV47" t="s">
        <v>433</v>
      </c>
      <c r="AW47">
        <v>53</v>
      </c>
      <c r="AX47">
        <v>96.6981132075</v>
      </c>
      <c r="AY47">
        <v>70</v>
      </c>
      <c r="AZ47">
        <v>18</v>
      </c>
      <c r="BA47">
        <v>77</v>
      </c>
      <c r="BB47">
        <v>27</v>
      </c>
      <c r="BC47">
        <v>9</v>
      </c>
      <c r="BD47">
        <v>8</v>
      </c>
      <c r="BE47">
        <v>30</v>
      </c>
      <c r="BF47">
        <v>6</v>
      </c>
      <c r="BG47">
        <v>7</v>
      </c>
      <c r="BH47">
        <v>24</v>
      </c>
      <c r="BJ47" t="s">
        <v>596</v>
      </c>
      <c r="BK47" t="s">
        <v>414</v>
      </c>
      <c r="BL47">
        <v>2912</v>
      </c>
      <c r="BM47">
        <v>781</v>
      </c>
      <c r="BN47">
        <v>99.810782966999994</v>
      </c>
      <c r="BO47">
        <v>8442</v>
      </c>
      <c r="BP47">
        <v>83</v>
      </c>
      <c r="BQ47">
        <v>176.49466950959999</v>
      </c>
      <c r="BR47">
        <v>187.43373493979999</v>
      </c>
      <c r="BS47">
        <v>2766</v>
      </c>
      <c r="BT47">
        <v>771</v>
      </c>
      <c r="BU47">
        <v>100.1109906001</v>
      </c>
      <c r="BV47">
        <v>8381</v>
      </c>
      <c r="BW47">
        <v>66</v>
      </c>
      <c r="BX47">
        <v>178.98186373940001</v>
      </c>
      <c r="BY47">
        <v>192.24242424240001</v>
      </c>
      <c r="CA47" t="s">
        <v>8</v>
      </c>
      <c r="CB47" t="s">
        <v>696</v>
      </c>
      <c r="CC47" t="s">
        <v>696</v>
      </c>
      <c r="CD47">
        <v>3714</v>
      </c>
      <c r="CE47">
        <v>1557</v>
      </c>
      <c r="CF47">
        <v>147.1914378029</v>
      </c>
      <c r="CG47">
        <v>9990</v>
      </c>
      <c r="CH47">
        <v>97</v>
      </c>
      <c r="CI47">
        <v>205.8926926927</v>
      </c>
      <c r="CJ47">
        <v>219.9484536082</v>
      </c>
      <c r="CL47" t="s">
        <v>8</v>
      </c>
      <c r="CM47" t="s">
        <v>868</v>
      </c>
      <c r="CN47" t="s">
        <v>868</v>
      </c>
      <c r="CO47">
        <v>175</v>
      </c>
      <c r="CP47">
        <v>38</v>
      </c>
      <c r="CQ47">
        <v>89.4057142857</v>
      </c>
      <c r="CR47">
        <v>1036</v>
      </c>
      <c r="CS47">
        <v>14</v>
      </c>
      <c r="CT47">
        <v>97.035714285699996</v>
      </c>
      <c r="CU47">
        <v>62.071428571399998</v>
      </c>
      <c r="CW47" t="s">
        <v>8</v>
      </c>
      <c r="CX47" t="s">
        <v>869</v>
      </c>
      <c r="CY47" t="s">
        <v>869</v>
      </c>
      <c r="CZ47">
        <v>25</v>
      </c>
      <c r="DA47">
        <v>4</v>
      </c>
      <c r="DB47">
        <v>61.28</v>
      </c>
      <c r="DC47">
        <v>63</v>
      </c>
      <c r="DD47">
        <v>0</v>
      </c>
      <c r="DE47">
        <v>141.60317460319999</v>
      </c>
      <c r="DF47">
        <v>0</v>
      </c>
      <c r="DH47" t="s">
        <v>8</v>
      </c>
      <c r="DI47" t="s">
        <v>867</v>
      </c>
      <c r="DJ47" t="s">
        <v>867</v>
      </c>
      <c r="DK47">
        <v>62</v>
      </c>
      <c r="DL47">
        <v>8</v>
      </c>
      <c r="DM47">
        <v>71.241935483899994</v>
      </c>
      <c r="DN47">
        <v>183</v>
      </c>
      <c r="DO47">
        <v>3</v>
      </c>
      <c r="DP47">
        <v>148.70491803280001</v>
      </c>
      <c r="DQ47">
        <v>155</v>
      </c>
    </row>
    <row r="48" spans="2:121" x14ac:dyDescent="0.2">
      <c r="B48" t="s">
        <v>123</v>
      </c>
      <c r="C48">
        <v>3515</v>
      </c>
      <c r="D48">
        <v>839</v>
      </c>
      <c r="F48" t="s">
        <v>43</v>
      </c>
      <c r="G48">
        <v>6840</v>
      </c>
      <c r="H48">
        <v>420.62719298249999</v>
      </c>
      <c r="I48">
        <v>7173</v>
      </c>
      <c r="J48">
        <v>2667</v>
      </c>
      <c r="K48">
        <v>8982</v>
      </c>
      <c r="L48">
        <v>6145</v>
      </c>
      <c r="M48">
        <v>2029</v>
      </c>
      <c r="N48">
        <v>1768</v>
      </c>
      <c r="O48">
        <v>4892</v>
      </c>
      <c r="P48">
        <v>3792</v>
      </c>
      <c r="Q48">
        <v>0</v>
      </c>
      <c r="R48">
        <v>66</v>
      </c>
      <c r="AH48" t="s">
        <v>420</v>
      </c>
      <c r="AI48">
        <v>32841</v>
      </c>
      <c r="AJ48">
        <v>332.43768460159998</v>
      </c>
      <c r="AK48">
        <v>37441</v>
      </c>
      <c r="AL48">
        <v>10166</v>
      </c>
      <c r="AM48">
        <v>46171</v>
      </c>
      <c r="AN48">
        <v>26346</v>
      </c>
      <c r="AO48">
        <v>5093</v>
      </c>
      <c r="AP48">
        <v>3692</v>
      </c>
      <c r="AQ48">
        <v>9353</v>
      </c>
      <c r="AR48">
        <v>5098</v>
      </c>
      <c r="AS48">
        <v>29</v>
      </c>
      <c r="AT48">
        <v>447</v>
      </c>
      <c r="AV48" t="s">
        <v>429</v>
      </c>
      <c r="AW48">
        <v>18</v>
      </c>
      <c r="AX48">
        <v>34.388888888899999</v>
      </c>
      <c r="AY48">
        <v>29</v>
      </c>
      <c r="BA48">
        <v>26</v>
      </c>
      <c r="BB48">
        <v>1</v>
      </c>
      <c r="BC48">
        <v>0</v>
      </c>
      <c r="BE48">
        <v>0</v>
      </c>
      <c r="BG48">
        <v>39</v>
      </c>
      <c r="BH48">
        <v>8</v>
      </c>
      <c r="BJ48" t="s">
        <v>655</v>
      </c>
      <c r="BK48" t="s">
        <v>414</v>
      </c>
      <c r="BL48">
        <v>1007</v>
      </c>
      <c r="BM48">
        <v>108</v>
      </c>
      <c r="BN48">
        <v>70.6285998014</v>
      </c>
      <c r="BO48">
        <v>3202</v>
      </c>
      <c r="BP48">
        <v>78</v>
      </c>
      <c r="BQ48">
        <v>147.16021236730001</v>
      </c>
      <c r="BR48">
        <v>141.38461538460001</v>
      </c>
      <c r="BS48">
        <v>1109</v>
      </c>
      <c r="BT48">
        <v>206</v>
      </c>
      <c r="BU48">
        <v>81.035166817000004</v>
      </c>
      <c r="BV48">
        <v>3232</v>
      </c>
      <c r="BW48">
        <v>94</v>
      </c>
      <c r="BX48">
        <v>149.49443069310001</v>
      </c>
      <c r="BY48">
        <v>139.30851063829999</v>
      </c>
      <c r="CA48" t="s">
        <v>8</v>
      </c>
      <c r="CB48" t="s">
        <v>696</v>
      </c>
      <c r="CC48" t="s">
        <v>696</v>
      </c>
      <c r="CD48">
        <v>3714</v>
      </c>
      <c r="CE48">
        <v>1557</v>
      </c>
      <c r="CF48">
        <v>147.1914378029</v>
      </c>
      <c r="CG48">
        <v>9990</v>
      </c>
      <c r="CH48">
        <v>97</v>
      </c>
      <c r="CI48">
        <v>205.8926926927</v>
      </c>
      <c r="CJ48">
        <v>219.9484536082</v>
      </c>
      <c r="CL48" t="s">
        <v>8</v>
      </c>
      <c r="CM48" t="s">
        <v>868</v>
      </c>
      <c r="CN48" t="s">
        <v>868</v>
      </c>
      <c r="CO48">
        <v>175</v>
      </c>
      <c r="CP48">
        <v>38</v>
      </c>
      <c r="CQ48">
        <v>89.4057142857</v>
      </c>
      <c r="CR48">
        <v>1036</v>
      </c>
      <c r="CS48">
        <v>14</v>
      </c>
      <c r="CT48">
        <v>97.035714285699996</v>
      </c>
      <c r="CU48">
        <v>62.071428571399998</v>
      </c>
      <c r="CW48" t="s">
        <v>8</v>
      </c>
      <c r="CX48" t="s">
        <v>869</v>
      </c>
      <c r="CY48" t="s">
        <v>869</v>
      </c>
      <c r="CZ48">
        <v>25</v>
      </c>
      <c r="DA48">
        <v>4</v>
      </c>
      <c r="DB48">
        <v>61.28</v>
      </c>
      <c r="DC48">
        <v>63</v>
      </c>
      <c r="DD48">
        <v>0</v>
      </c>
      <c r="DE48">
        <v>141.60317460319999</v>
      </c>
      <c r="DF48">
        <v>0</v>
      </c>
      <c r="DH48" t="s">
        <v>8</v>
      </c>
      <c r="DI48" t="s">
        <v>867</v>
      </c>
      <c r="DJ48" t="s">
        <v>867</v>
      </c>
      <c r="DK48">
        <v>62</v>
      </c>
      <c r="DL48">
        <v>8</v>
      </c>
      <c r="DM48">
        <v>71.241935483899994</v>
      </c>
      <c r="DN48">
        <v>183</v>
      </c>
      <c r="DO48">
        <v>3</v>
      </c>
      <c r="DP48">
        <v>148.70491803280001</v>
      </c>
      <c r="DQ48">
        <v>155</v>
      </c>
    </row>
    <row r="49" spans="2:121" x14ac:dyDescent="0.2">
      <c r="B49" t="s">
        <v>21</v>
      </c>
      <c r="C49">
        <v>41738</v>
      </c>
      <c r="D49">
        <v>13976</v>
      </c>
      <c r="F49" t="s">
        <v>51</v>
      </c>
      <c r="G49">
        <v>9968</v>
      </c>
      <c r="H49">
        <v>570.86827849120004</v>
      </c>
      <c r="I49">
        <v>4823</v>
      </c>
      <c r="J49">
        <v>1124</v>
      </c>
      <c r="K49">
        <v>15872</v>
      </c>
      <c r="L49">
        <v>9238</v>
      </c>
      <c r="M49">
        <v>1014</v>
      </c>
      <c r="N49">
        <v>857</v>
      </c>
      <c r="O49">
        <v>1920</v>
      </c>
      <c r="P49">
        <v>1398</v>
      </c>
      <c r="Q49">
        <v>3</v>
      </c>
      <c r="R49">
        <v>210</v>
      </c>
      <c r="AH49" t="s">
        <v>416</v>
      </c>
      <c r="AI49">
        <v>2231</v>
      </c>
      <c r="AJ49">
        <v>313.01792917969999</v>
      </c>
      <c r="AK49">
        <v>1879</v>
      </c>
      <c r="AL49">
        <v>453</v>
      </c>
      <c r="AM49">
        <v>3624</v>
      </c>
      <c r="AN49">
        <v>1817</v>
      </c>
      <c r="AO49">
        <v>572</v>
      </c>
      <c r="AP49">
        <v>446</v>
      </c>
      <c r="AQ49">
        <v>227</v>
      </c>
      <c r="AR49">
        <v>123</v>
      </c>
      <c r="AS49">
        <v>0</v>
      </c>
      <c r="AT49">
        <v>5</v>
      </c>
      <c r="AV49" t="s">
        <v>388</v>
      </c>
      <c r="AW49">
        <v>731</v>
      </c>
      <c r="AX49">
        <v>102.4213406293</v>
      </c>
      <c r="AY49">
        <v>686</v>
      </c>
      <c r="AZ49">
        <v>171</v>
      </c>
      <c r="BA49">
        <v>1122</v>
      </c>
      <c r="BB49">
        <v>350</v>
      </c>
      <c r="BC49">
        <v>161</v>
      </c>
      <c r="BD49">
        <v>158</v>
      </c>
      <c r="BE49">
        <v>201</v>
      </c>
      <c r="BF49">
        <v>43</v>
      </c>
      <c r="BG49">
        <v>105</v>
      </c>
      <c r="BH49">
        <v>276</v>
      </c>
      <c r="BJ49" t="s">
        <v>611</v>
      </c>
      <c r="BK49" t="s">
        <v>414</v>
      </c>
      <c r="BL49">
        <v>1532</v>
      </c>
      <c r="BM49">
        <v>362</v>
      </c>
      <c r="BN49">
        <v>90.913185378600005</v>
      </c>
      <c r="BO49">
        <v>4521</v>
      </c>
      <c r="BP49">
        <v>75</v>
      </c>
      <c r="BQ49">
        <v>147.80734350809999</v>
      </c>
      <c r="BR49">
        <v>161.70666666669999</v>
      </c>
      <c r="BS49">
        <v>1670</v>
      </c>
      <c r="BT49">
        <v>482</v>
      </c>
      <c r="BU49">
        <v>106.9868263473</v>
      </c>
      <c r="BV49">
        <v>6055</v>
      </c>
      <c r="BW49">
        <v>93</v>
      </c>
      <c r="BX49">
        <v>166.92502064409999</v>
      </c>
      <c r="BY49">
        <v>177.77419354840001</v>
      </c>
      <c r="CA49" t="s">
        <v>8</v>
      </c>
      <c r="CB49" t="s">
        <v>696</v>
      </c>
      <c r="CD49">
        <v>3714</v>
      </c>
      <c r="CE49">
        <v>1557</v>
      </c>
      <c r="CF49">
        <v>147.1914378029</v>
      </c>
      <c r="CG49">
        <v>9990</v>
      </c>
      <c r="CH49">
        <v>97</v>
      </c>
      <c r="CI49">
        <v>205.8926926927</v>
      </c>
      <c r="CJ49">
        <v>219.9484536082</v>
      </c>
      <c r="CL49" t="s">
        <v>8</v>
      </c>
      <c r="CM49" t="s">
        <v>868</v>
      </c>
      <c r="CO49">
        <v>175</v>
      </c>
      <c r="CP49">
        <v>38</v>
      </c>
      <c r="CQ49">
        <v>89.4057142857</v>
      </c>
      <c r="CR49">
        <v>1036</v>
      </c>
      <c r="CS49">
        <v>14</v>
      </c>
      <c r="CT49">
        <v>97.035714285699996</v>
      </c>
      <c r="CU49">
        <v>62.071428571399998</v>
      </c>
      <c r="CW49" t="s">
        <v>8</v>
      </c>
      <c r="CX49" t="s">
        <v>869</v>
      </c>
      <c r="CZ49">
        <v>25</v>
      </c>
      <c r="DA49">
        <v>4</v>
      </c>
      <c r="DB49">
        <v>61.28</v>
      </c>
      <c r="DC49">
        <v>63</v>
      </c>
      <c r="DD49">
        <v>0</v>
      </c>
      <c r="DE49">
        <v>141.60317460319999</v>
      </c>
      <c r="DF49">
        <v>0</v>
      </c>
      <c r="DH49" t="s">
        <v>8</v>
      </c>
      <c r="DI49" t="s">
        <v>867</v>
      </c>
      <c r="DK49">
        <v>62</v>
      </c>
      <c r="DL49">
        <v>8</v>
      </c>
      <c r="DM49">
        <v>71.241935483899994</v>
      </c>
      <c r="DN49">
        <v>183</v>
      </c>
      <c r="DO49">
        <v>3</v>
      </c>
      <c r="DP49">
        <v>148.70491803280001</v>
      </c>
      <c r="DQ49">
        <v>155</v>
      </c>
    </row>
    <row r="50" spans="2:121" x14ac:dyDescent="0.2">
      <c r="B50" t="s">
        <v>104</v>
      </c>
      <c r="C50">
        <v>224040</v>
      </c>
      <c r="D50">
        <v>159028</v>
      </c>
      <c r="F50" t="s">
        <v>56</v>
      </c>
      <c r="G50">
        <v>10081</v>
      </c>
      <c r="H50">
        <v>476.8781866878</v>
      </c>
      <c r="I50">
        <v>6142</v>
      </c>
      <c r="J50">
        <v>2849</v>
      </c>
      <c r="K50">
        <v>14221</v>
      </c>
      <c r="L50">
        <v>9307</v>
      </c>
      <c r="M50">
        <v>3220</v>
      </c>
      <c r="N50">
        <v>2566</v>
      </c>
      <c r="O50">
        <v>623</v>
      </c>
      <c r="P50">
        <v>469</v>
      </c>
      <c r="Q50">
        <v>80</v>
      </c>
      <c r="R50">
        <v>252</v>
      </c>
      <c r="AH50" t="s">
        <v>427</v>
      </c>
      <c r="AI50">
        <v>486</v>
      </c>
      <c r="AJ50">
        <v>338.84979423869999</v>
      </c>
      <c r="AK50">
        <v>424</v>
      </c>
      <c r="AL50">
        <v>123</v>
      </c>
      <c r="AM50">
        <v>820</v>
      </c>
      <c r="AN50">
        <v>447</v>
      </c>
      <c r="AO50">
        <v>188</v>
      </c>
      <c r="AP50">
        <v>107</v>
      </c>
      <c r="AQ50">
        <v>92</v>
      </c>
      <c r="AR50">
        <v>54</v>
      </c>
      <c r="AS50">
        <v>48</v>
      </c>
      <c r="AT50">
        <v>1</v>
      </c>
      <c r="AV50" t="s">
        <v>383</v>
      </c>
      <c r="AW50">
        <v>166</v>
      </c>
      <c r="AX50">
        <v>83.608433734900004</v>
      </c>
      <c r="AY50">
        <v>248</v>
      </c>
      <c r="AZ50">
        <v>63</v>
      </c>
      <c r="BA50">
        <v>248</v>
      </c>
      <c r="BB50">
        <v>57</v>
      </c>
      <c r="BC50">
        <v>5</v>
      </c>
      <c r="BD50">
        <v>5</v>
      </c>
      <c r="BE50">
        <v>67</v>
      </c>
      <c r="BF50">
        <v>14</v>
      </c>
      <c r="BG50">
        <v>18</v>
      </c>
      <c r="BH50">
        <v>69</v>
      </c>
      <c r="BJ50" t="s">
        <v>651</v>
      </c>
      <c r="BK50" t="s">
        <v>414</v>
      </c>
      <c r="BL50">
        <v>2545</v>
      </c>
      <c r="BM50">
        <v>595</v>
      </c>
      <c r="BN50">
        <v>100.11237721019999</v>
      </c>
      <c r="BO50">
        <v>7882</v>
      </c>
      <c r="BP50">
        <v>76</v>
      </c>
      <c r="BQ50">
        <v>195.46460289269999</v>
      </c>
      <c r="BR50">
        <v>229.69736842110001</v>
      </c>
      <c r="BS50">
        <v>2298</v>
      </c>
      <c r="BT50">
        <v>441</v>
      </c>
      <c r="BU50">
        <v>91.129242819799998</v>
      </c>
      <c r="BV50">
        <v>6390</v>
      </c>
      <c r="BW50">
        <v>66</v>
      </c>
      <c r="BX50">
        <v>190.97026604070001</v>
      </c>
      <c r="BY50">
        <v>224.3333333333</v>
      </c>
      <c r="CA50" t="s">
        <v>434</v>
      </c>
      <c r="CB50" t="s">
        <v>900</v>
      </c>
      <c r="CC50" t="s">
        <v>1027</v>
      </c>
      <c r="CD50">
        <v>1027</v>
      </c>
      <c r="CE50">
        <v>118</v>
      </c>
      <c r="CF50">
        <v>71.622200584200002</v>
      </c>
      <c r="CG50">
        <v>4124</v>
      </c>
      <c r="CH50">
        <v>95</v>
      </c>
      <c r="CI50">
        <v>129.86057225990001</v>
      </c>
      <c r="CJ50">
        <v>131.30526315789999</v>
      </c>
      <c r="CL50" t="s">
        <v>434</v>
      </c>
      <c r="CM50" t="s">
        <v>881</v>
      </c>
      <c r="CN50" t="s">
        <v>880</v>
      </c>
      <c r="CO50">
        <v>29</v>
      </c>
      <c r="CP50">
        <v>4</v>
      </c>
      <c r="CQ50">
        <v>70</v>
      </c>
      <c r="CR50">
        <v>203</v>
      </c>
      <c r="CS50">
        <v>0</v>
      </c>
      <c r="CT50">
        <v>61.684729064000003</v>
      </c>
      <c r="CU50">
        <v>0</v>
      </c>
      <c r="CW50" t="s">
        <v>434</v>
      </c>
      <c r="CX50" t="s">
        <v>891</v>
      </c>
      <c r="CY50" t="s">
        <v>890</v>
      </c>
      <c r="CZ50">
        <v>22</v>
      </c>
      <c r="DA50">
        <v>3</v>
      </c>
      <c r="DB50">
        <v>66.863636363599994</v>
      </c>
      <c r="DC50">
        <v>97</v>
      </c>
      <c r="DD50">
        <v>2</v>
      </c>
      <c r="DE50">
        <v>123.1134020619</v>
      </c>
      <c r="DF50">
        <v>78.5</v>
      </c>
      <c r="DH50" t="s">
        <v>434</v>
      </c>
      <c r="DI50" t="s">
        <v>871</v>
      </c>
      <c r="DJ50" t="s">
        <v>870</v>
      </c>
      <c r="DK50">
        <v>46</v>
      </c>
      <c r="DL50">
        <v>6</v>
      </c>
      <c r="DM50">
        <v>68.739130434800003</v>
      </c>
      <c r="DN50">
        <v>118</v>
      </c>
      <c r="DO50">
        <v>0</v>
      </c>
      <c r="DP50">
        <v>169.48305084750001</v>
      </c>
      <c r="DQ50">
        <v>0</v>
      </c>
    </row>
    <row r="51" spans="2:121" x14ac:dyDescent="0.2">
      <c r="B51" t="s">
        <v>131</v>
      </c>
      <c r="C51">
        <v>21152</v>
      </c>
      <c r="D51">
        <v>3178</v>
      </c>
      <c r="F51" t="s">
        <v>53</v>
      </c>
      <c r="G51">
        <v>2682</v>
      </c>
      <c r="H51">
        <v>123.86241610739999</v>
      </c>
      <c r="I51">
        <v>1862</v>
      </c>
      <c r="J51">
        <v>279</v>
      </c>
      <c r="K51">
        <v>4841</v>
      </c>
      <c r="L51">
        <v>1018</v>
      </c>
      <c r="M51">
        <v>606</v>
      </c>
      <c r="N51">
        <v>463</v>
      </c>
      <c r="O51">
        <v>331</v>
      </c>
      <c r="P51">
        <v>183</v>
      </c>
      <c r="Q51">
        <v>0</v>
      </c>
      <c r="R51">
        <v>14</v>
      </c>
      <c r="AH51" t="s">
        <v>388</v>
      </c>
      <c r="AI51">
        <v>18063</v>
      </c>
      <c r="AJ51">
        <v>469.00647732930003</v>
      </c>
      <c r="AK51">
        <v>12639</v>
      </c>
      <c r="AL51">
        <v>3076</v>
      </c>
      <c r="AM51">
        <v>22733</v>
      </c>
      <c r="AN51">
        <v>15152</v>
      </c>
      <c r="AO51">
        <v>5556</v>
      </c>
      <c r="AP51">
        <v>4986</v>
      </c>
      <c r="AQ51">
        <v>5734</v>
      </c>
      <c r="AR51">
        <v>4229</v>
      </c>
      <c r="AS51">
        <v>661</v>
      </c>
      <c r="AT51">
        <v>35</v>
      </c>
      <c r="AV51" t="s">
        <v>416</v>
      </c>
      <c r="AW51">
        <v>29</v>
      </c>
      <c r="AX51">
        <v>38</v>
      </c>
      <c r="AY51">
        <v>162</v>
      </c>
      <c r="AZ51">
        <v>4</v>
      </c>
      <c r="BA51">
        <v>65</v>
      </c>
      <c r="BB51">
        <v>3</v>
      </c>
      <c r="BC51">
        <v>1</v>
      </c>
      <c r="BD51">
        <v>1</v>
      </c>
      <c r="BE51">
        <v>4</v>
      </c>
      <c r="BF51">
        <v>4</v>
      </c>
      <c r="BG51">
        <v>97</v>
      </c>
      <c r="BH51">
        <v>16</v>
      </c>
      <c r="BJ51" t="s">
        <v>603</v>
      </c>
      <c r="BK51" t="s">
        <v>414</v>
      </c>
      <c r="BL51">
        <v>9801</v>
      </c>
      <c r="BM51">
        <v>3089</v>
      </c>
      <c r="BN51">
        <v>114.1558004285</v>
      </c>
      <c r="BO51">
        <v>32377</v>
      </c>
      <c r="BP51">
        <v>470</v>
      </c>
      <c r="BQ51">
        <v>215.2789016895</v>
      </c>
      <c r="BR51">
        <v>142.67446808509999</v>
      </c>
      <c r="BS51">
        <v>7403</v>
      </c>
      <c r="BT51">
        <v>1677</v>
      </c>
      <c r="BU51">
        <v>90.856814804799995</v>
      </c>
      <c r="BV51">
        <v>21574</v>
      </c>
      <c r="BW51">
        <v>364</v>
      </c>
      <c r="BX51">
        <v>217.00787985540001</v>
      </c>
      <c r="BY51">
        <v>129.02472527469999</v>
      </c>
      <c r="CA51" t="s">
        <v>436</v>
      </c>
      <c r="CB51" t="s">
        <v>900</v>
      </c>
      <c r="CC51" t="s">
        <v>1028</v>
      </c>
      <c r="CD51">
        <v>6038</v>
      </c>
      <c r="CE51">
        <v>1478</v>
      </c>
      <c r="CF51">
        <v>96.462901623099995</v>
      </c>
      <c r="CG51">
        <v>21711</v>
      </c>
      <c r="CH51">
        <v>291</v>
      </c>
      <c r="CI51">
        <v>167.15945833910001</v>
      </c>
      <c r="CJ51">
        <v>154.22680412369999</v>
      </c>
      <c r="CL51" t="s">
        <v>436</v>
      </c>
      <c r="CM51" t="s">
        <v>881</v>
      </c>
      <c r="CN51" t="s">
        <v>882</v>
      </c>
      <c r="CO51">
        <v>554</v>
      </c>
      <c r="CP51">
        <v>45</v>
      </c>
      <c r="CQ51">
        <v>53.805054151599997</v>
      </c>
      <c r="CR51">
        <v>3529</v>
      </c>
      <c r="CS51">
        <v>64</v>
      </c>
      <c r="CT51">
        <v>69.415131765400005</v>
      </c>
      <c r="CU51">
        <v>61.796875</v>
      </c>
      <c r="CW51" t="s">
        <v>436</v>
      </c>
      <c r="CX51" t="s">
        <v>891</v>
      </c>
      <c r="CY51" t="s">
        <v>892</v>
      </c>
      <c r="CZ51">
        <v>194</v>
      </c>
      <c r="DA51">
        <v>27</v>
      </c>
      <c r="DB51">
        <v>74.608247422700003</v>
      </c>
      <c r="DC51">
        <v>504</v>
      </c>
      <c r="DD51">
        <v>5</v>
      </c>
      <c r="DE51">
        <v>140.75198412699999</v>
      </c>
      <c r="DF51">
        <v>154.80000000000001</v>
      </c>
      <c r="DH51" t="s">
        <v>436</v>
      </c>
      <c r="DI51" t="s">
        <v>871</v>
      </c>
      <c r="DJ51" t="s">
        <v>872</v>
      </c>
      <c r="DK51">
        <v>124</v>
      </c>
      <c r="DL51">
        <v>19</v>
      </c>
      <c r="DM51">
        <v>66.943548387099995</v>
      </c>
      <c r="DN51">
        <v>433</v>
      </c>
      <c r="DO51">
        <v>8</v>
      </c>
      <c r="DP51">
        <v>171.6558891455</v>
      </c>
      <c r="DQ51">
        <v>153.25</v>
      </c>
    </row>
    <row r="52" spans="2:121" x14ac:dyDescent="0.2">
      <c r="B52" t="s">
        <v>109</v>
      </c>
      <c r="C52">
        <v>1518</v>
      </c>
      <c r="D52">
        <v>392</v>
      </c>
      <c r="F52" t="s">
        <v>45</v>
      </c>
      <c r="G52">
        <v>3084</v>
      </c>
      <c r="H52">
        <v>231.44066147859999</v>
      </c>
      <c r="I52">
        <v>7097</v>
      </c>
      <c r="J52">
        <v>2040</v>
      </c>
      <c r="K52">
        <v>6327</v>
      </c>
      <c r="L52">
        <v>2511</v>
      </c>
      <c r="M52">
        <v>1017</v>
      </c>
      <c r="N52">
        <v>771</v>
      </c>
      <c r="O52">
        <v>651</v>
      </c>
      <c r="P52">
        <v>418</v>
      </c>
      <c r="Q52">
        <v>3</v>
      </c>
      <c r="R52">
        <v>204</v>
      </c>
      <c r="AH52" t="s">
        <v>83</v>
      </c>
      <c r="AI52">
        <v>14227</v>
      </c>
      <c r="AJ52">
        <v>399.31102832639999</v>
      </c>
      <c r="AK52">
        <v>7141</v>
      </c>
      <c r="AL52">
        <v>1814</v>
      </c>
      <c r="AM52">
        <v>20469</v>
      </c>
      <c r="AN52">
        <v>13552</v>
      </c>
      <c r="AO52">
        <v>3550</v>
      </c>
      <c r="AP52">
        <v>3153</v>
      </c>
      <c r="AQ52">
        <v>5242</v>
      </c>
      <c r="AR52">
        <v>4182</v>
      </c>
      <c r="AS52">
        <v>9</v>
      </c>
      <c r="AT52">
        <v>144</v>
      </c>
      <c r="AV52" t="s">
        <v>402</v>
      </c>
      <c r="AW52">
        <v>221</v>
      </c>
      <c r="AX52">
        <v>62.7375565611</v>
      </c>
      <c r="AY52">
        <v>540</v>
      </c>
      <c r="AZ52">
        <v>51</v>
      </c>
      <c r="BA52">
        <v>436</v>
      </c>
      <c r="BB52">
        <v>46</v>
      </c>
      <c r="BC52">
        <v>3</v>
      </c>
      <c r="BD52">
        <v>3</v>
      </c>
      <c r="BE52">
        <v>39</v>
      </c>
      <c r="BF52">
        <v>19</v>
      </c>
      <c r="BG52">
        <v>370</v>
      </c>
      <c r="BH52">
        <v>44</v>
      </c>
      <c r="BJ52" t="s">
        <v>625</v>
      </c>
      <c r="BK52" t="s">
        <v>414</v>
      </c>
      <c r="BL52">
        <v>833</v>
      </c>
      <c r="BM52">
        <v>270</v>
      </c>
      <c r="BN52">
        <v>119.3481392557</v>
      </c>
      <c r="BO52">
        <v>3826</v>
      </c>
      <c r="BP52">
        <v>22</v>
      </c>
      <c r="BQ52">
        <v>163.3363826451</v>
      </c>
      <c r="BR52">
        <v>142.2272727273</v>
      </c>
      <c r="BS52">
        <v>1323</v>
      </c>
      <c r="BT52">
        <v>604</v>
      </c>
      <c r="BU52">
        <v>164.99622071050001</v>
      </c>
      <c r="BV52">
        <v>7133</v>
      </c>
      <c r="BW52">
        <v>30</v>
      </c>
      <c r="BX52">
        <v>209.40754240850001</v>
      </c>
      <c r="BY52">
        <v>198.73333333330001</v>
      </c>
      <c r="CA52" t="s">
        <v>417</v>
      </c>
      <c r="CB52" t="s">
        <v>900</v>
      </c>
      <c r="CC52" t="s">
        <v>1029</v>
      </c>
      <c r="CD52">
        <v>30017</v>
      </c>
      <c r="CE52">
        <v>7862</v>
      </c>
      <c r="CF52">
        <v>103.318619449</v>
      </c>
      <c r="CG52">
        <v>101287</v>
      </c>
      <c r="CH52">
        <v>1372</v>
      </c>
      <c r="CI52">
        <v>194.20253339519999</v>
      </c>
      <c r="CJ52">
        <v>161.2704081633</v>
      </c>
      <c r="CL52" t="s">
        <v>417</v>
      </c>
      <c r="CM52" t="s">
        <v>881</v>
      </c>
      <c r="CN52" t="s">
        <v>883</v>
      </c>
      <c r="CO52">
        <v>2284</v>
      </c>
      <c r="CP52">
        <v>128</v>
      </c>
      <c r="CQ52">
        <v>48.271891418599999</v>
      </c>
      <c r="CR52">
        <v>14069</v>
      </c>
      <c r="CS52">
        <v>245</v>
      </c>
      <c r="CT52">
        <v>62.933826142599997</v>
      </c>
      <c r="CU52">
        <v>52.853061224500003</v>
      </c>
      <c r="CW52" t="s">
        <v>417</v>
      </c>
      <c r="CX52" t="s">
        <v>891</v>
      </c>
      <c r="CY52" t="s">
        <v>893</v>
      </c>
      <c r="CZ52">
        <v>1346</v>
      </c>
      <c r="DA52">
        <v>156</v>
      </c>
      <c r="DB52">
        <v>59.999257057900003</v>
      </c>
      <c r="DC52">
        <v>3733</v>
      </c>
      <c r="DD52">
        <v>42</v>
      </c>
      <c r="DE52">
        <v>116.45861237610001</v>
      </c>
      <c r="DF52">
        <v>122</v>
      </c>
      <c r="DH52" t="s">
        <v>417</v>
      </c>
      <c r="DI52" t="s">
        <v>871</v>
      </c>
      <c r="DJ52" t="s">
        <v>873</v>
      </c>
      <c r="DK52">
        <v>788</v>
      </c>
      <c r="DL52">
        <v>58</v>
      </c>
      <c r="DM52">
        <v>55.048223350299999</v>
      </c>
      <c r="DN52">
        <v>1820</v>
      </c>
      <c r="DO52">
        <v>14</v>
      </c>
      <c r="DP52">
        <v>161.81703296699999</v>
      </c>
      <c r="DQ52">
        <v>109.1428571429</v>
      </c>
    </row>
    <row r="53" spans="2:121" x14ac:dyDescent="0.2">
      <c r="B53" t="s">
        <v>126</v>
      </c>
      <c r="C53">
        <v>537</v>
      </c>
      <c r="D53">
        <v>527</v>
      </c>
      <c r="F53" t="s">
        <v>79</v>
      </c>
      <c r="G53">
        <v>4751</v>
      </c>
      <c r="H53">
        <v>335.65354662179999</v>
      </c>
      <c r="I53">
        <v>10319</v>
      </c>
      <c r="J53">
        <v>2178</v>
      </c>
      <c r="K53">
        <v>12668</v>
      </c>
      <c r="L53">
        <v>4180</v>
      </c>
      <c r="M53">
        <v>471</v>
      </c>
      <c r="N53">
        <v>324</v>
      </c>
      <c r="O53">
        <v>1400</v>
      </c>
      <c r="P53">
        <v>722</v>
      </c>
      <c r="Q53">
        <v>22</v>
      </c>
      <c r="R53">
        <v>0</v>
      </c>
      <c r="AH53" t="s">
        <v>389</v>
      </c>
      <c r="AI53">
        <v>2336</v>
      </c>
      <c r="AJ53">
        <v>249.17679794520001</v>
      </c>
      <c r="AK53">
        <v>2249</v>
      </c>
      <c r="AL53">
        <v>517</v>
      </c>
      <c r="AM53">
        <v>3548</v>
      </c>
      <c r="AN53">
        <v>1883</v>
      </c>
      <c r="AO53">
        <v>322</v>
      </c>
      <c r="AP53">
        <v>264</v>
      </c>
      <c r="AQ53">
        <v>1140</v>
      </c>
      <c r="AR53">
        <v>701</v>
      </c>
      <c r="AS53">
        <v>275</v>
      </c>
      <c r="AT53">
        <v>19</v>
      </c>
      <c r="AV53" t="s">
        <v>411</v>
      </c>
      <c r="AW53">
        <v>115</v>
      </c>
      <c r="AX53">
        <v>31.069565217400001</v>
      </c>
      <c r="AY53">
        <v>313</v>
      </c>
      <c r="AZ53">
        <v>13</v>
      </c>
      <c r="BA53">
        <v>179</v>
      </c>
      <c r="BB53">
        <v>3</v>
      </c>
      <c r="BC53">
        <v>1</v>
      </c>
      <c r="BD53">
        <v>1</v>
      </c>
      <c r="BE53">
        <v>5</v>
      </c>
      <c r="BF53">
        <v>2</v>
      </c>
      <c r="BG53">
        <v>418</v>
      </c>
      <c r="BH53">
        <v>43</v>
      </c>
      <c r="BJ53" t="s">
        <v>601</v>
      </c>
      <c r="BK53" t="s">
        <v>414</v>
      </c>
      <c r="BL53">
        <v>11016</v>
      </c>
      <c r="BM53">
        <v>3041</v>
      </c>
      <c r="BN53">
        <v>105.7830428468</v>
      </c>
      <c r="BO53">
        <v>35941</v>
      </c>
      <c r="BP53">
        <v>495</v>
      </c>
      <c r="BQ53">
        <v>223.06327035979999</v>
      </c>
      <c r="BR53">
        <v>209.4242424242</v>
      </c>
      <c r="BS53">
        <v>7048</v>
      </c>
      <c r="BT53">
        <v>1134</v>
      </c>
      <c r="BU53">
        <v>78.929057888800003</v>
      </c>
      <c r="BV53">
        <v>21142</v>
      </c>
      <c r="BW53">
        <v>232</v>
      </c>
      <c r="BX53">
        <v>229.29467410839999</v>
      </c>
      <c r="BY53">
        <v>223.8836206897</v>
      </c>
      <c r="CA53" t="s">
        <v>438</v>
      </c>
      <c r="CB53" t="s">
        <v>900</v>
      </c>
      <c r="CC53" t="s">
        <v>1030</v>
      </c>
      <c r="CD53">
        <v>2005</v>
      </c>
      <c r="CE53">
        <v>415</v>
      </c>
      <c r="CF53">
        <v>94.331670822899994</v>
      </c>
      <c r="CG53">
        <v>7571</v>
      </c>
      <c r="CH53">
        <v>74</v>
      </c>
      <c r="CI53">
        <v>165.6399418835</v>
      </c>
      <c r="CJ53">
        <v>185.3648648649</v>
      </c>
      <c r="CL53" t="s">
        <v>438</v>
      </c>
      <c r="CM53" t="s">
        <v>881</v>
      </c>
      <c r="CN53" t="s">
        <v>884</v>
      </c>
      <c r="CO53">
        <v>66</v>
      </c>
      <c r="CP53">
        <v>6</v>
      </c>
      <c r="CQ53">
        <v>51.636363636399999</v>
      </c>
      <c r="CR53">
        <v>366</v>
      </c>
      <c r="CS53">
        <v>8</v>
      </c>
      <c r="CT53">
        <v>67.142076502699993</v>
      </c>
      <c r="CU53">
        <v>53.125</v>
      </c>
      <c r="CW53" t="s">
        <v>438</v>
      </c>
      <c r="CX53" t="s">
        <v>891</v>
      </c>
      <c r="CY53" t="s">
        <v>894</v>
      </c>
      <c r="CZ53">
        <v>32</v>
      </c>
      <c r="DA53">
        <v>4</v>
      </c>
      <c r="DB53">
        <v>58.15625</v>
      </c>
      <c r="DC53">
        <v>108</v>
      </c>
      <c r="DD53">
        <v>0</v>
      </c>
      <c r="DE53">
        <v>127.2314814815</v>
      </c>
      <c r="DF53">
        <v>0</v>
      </c>
      <c r="DH53" t="s">
        <v>438</v>
      </c>
      <c r="DI53" t="s">
        <v>871</v>
      </c>
      <c r="DJ53" t="s">
        <v>874</v>
      </c>
      <c r="DK53">
        <v>93</v>
      </c>
      <c r="DL53">
        <v>7</v>
      </c>
      <c r="DM53">
        <v>49.043010752699999</v>
      </c>
      <c r="DN53">
        <v>245</v>
      </c>
      <c r="DO53">
        <v>2</v>
      </c>
      <c r="DP53">
        <v>161.28163265309999</v>
      </c>
      <c r="DQ53">
        <v>135</v>
      </c>
    </row>
    <row r="54" spans="2:121" x14ac:dyDescent="0.2">
      <c r="F54" t="s">
        <v>75</v>
      </c>
      <c r="G54">
        <v>2226</v>
      </c>
      <c r="H54">
        <v>256.40610961369998</v>
      </c>
      <c r="I54">
        <v>2799</v>
      </c>
      <c r="J54">
        <v>878</v>
      </c>
      <c r="K54">
        <v>3714</v>
      </c>
      <c r="L54">
        <v>2627</v>
      </c>
      <c r="M54">
        <v>686</v>
      </c>
      <c r="N54">
        <v>615</v>
      </c>
      <c r="O54">
        <v>1365</v>
      </c>
      <c r="P54">
        <v>756</v>
      </c>
      <c r="Q54">
        <v>0</v>
      </c>
      <c r="R54">
        <v>5</v>
      </c>
      <c r="AH54" t="s">
        <v>406</v>
      </c>
      <c r="AI54">
        <v>5036</v>
      </c>
      <c r="AJ54">
        <v>237.5228355838</v>
      </c>
      <c r="AK54">
        <v>3922</v>
      </c>
      <c r="AL54">
        <v>969</v>
      </c>
      <c r="AM54">
        <v>6830</v>
      </c>
      <c r="AN54">
        <v>3509</v>
      </c>
      <c r="AO54">
        <v>334</v>
      </c>
      <c r="AP54">
        <v>259</v>
      </c>
      <c r="AQ54">
        <v>748</v>
      </c>
      <c r="AR54">
        <v>394</v>
      </c>
      <c r="AS54">
        <v>7</v>
      </c>
      <c r="AT54">
        <v>9</v>
      </c>
      <c r="AV54" t="s">
        <v>434</v>
      </c>
      <c r="AW54">
        <v>6</v>
      </c>
      <c r="AX54">
        <v>20.5</v>
      </c>
      <c r="AY54">
        <v>10</v>
      </c>
      <c r="BA54">
        <v>16</v>
      </c>
      <c r="BB54">
        <v>1</v>
      </c>
      <c r="BC54">
        <v>0</v>
      </c>
      <c r="BE54">
        <v>0</v>
      </c>
      <c r="BG54">
        <v>26</v>
      </c>
      <c r="BH54">
        <v>7</v>
      </c>
      <c r="BJ54" t="s">
        <v>414</v>
      </c>
      <c r="BK54" t="s">
        <v>414</v>
      </c>
      <c r="BL54">
        <v>61581</v>
      </c>
      <c r="BM54">
        <v>16096</v>
      </c>
      <c r="BN54">
        <v>101.1397996135</v>
      </c>
      <c r="BO54">
        <v>240394</v>
      </c>
      <c r="BP54">
        <v>3112</v>
      </c>
      <c r="BQ54">
        <v>174.8507866253</v>
      </c>
      <c r="BR54">
        <v>141.9858611825</v>
      </c>
      <c r="BS54">
        <v>57145</v>
      </c>
      <c r="BT54">
        <v>13586</v>
      </c>
      <c r="BU54">
        <v>96.245533292499999</v>
      </c>
      <c r="BV54">
        <v>221533</v>
      </c>
      <c r="BW54">
        <v>2922</v>
      </c>
      <c r="BX54">
        <v>172.3970830531</v>
      </c>
      <c r="BY54">
        <v>137.54106776180001</v>
      </c>
      <c r="CA54" t="s">
        <v>418</v>
      </c>
      <c r="CB54" t="s">
        <v>900</v>
      </c>
      <c r="CC54" t="s">
        <v>1031</v>
      </c>
      <c r="CD54">
        <v>1605</v>
      </c>
      <c r="CE54">
        <v>387</v>
      </c>
      <c r="CF54">
        <v>92.623676012499999</v>
      </c>
      <c r="CG54">
        <v>5014</v>
      </c>
      <c r="CH54">
        <v>89</v>
      </c>
      <c r="CI54">
        <v>148.4118468289</v>
      </c>
      <c r="CJ54">
        <v>151.01123595510001</v>
      </c>
      <c r="CL54" t="s">
        <v>418</v>
      </c>
      <c r="CM54" t="s">
        <v>881</v>
      </c>
      <c r="CN54" t="s">
        <v>885</v>
      </c>
      <c r="CO54">
        <v>87</v>
      </c>
      <c r="CP54">
        <v>11</v>
      </c>
      <c r="CQ54">
        <v>62.080459770099999</v>
      </c>
      <c r="CR54">
        <v>817</v>
      </c>
      <c r="CS54">
        <v>16</v>
      </c>
      <c r="CT54">
        <v>59.254589963299999</v>
      </c>
      <c r="CU54">
        <v>59.1875</v>
      </c>
      <c r="CW54" t="s">
        <v>418</v>
      </c>
      <c r="CX54" t="s">
        <v>891</v>
      </c>
      <c r="CY54" t="s">
        <v>895</v>
      </c>
      <c r="CZ54">
        <v>36</v>
      </c>
      <c r="DA54">
        <v>3</v>
      </c>
      <c r="DB54">
        <v>55.277777777799997</v>
      </c>
      <c r="DC54">
        <v>117</v>
      </c>
      <c r="DD54">
        <v>0</v>
      </c>
      <c r="DE54">
        <v>128.90598290599999</v>
      </c>
      <c r="DF54">
        <v>0</v>
      </c>
      <c r="DH54" t="s">
        <v>418</v>
      </c>
      <c r="DI54" t="s">
        <v>871</v>
      </c>
      <c r="DJ54" t="s">
        <v>875</v>
      </c>
      <c r="DK54">
        <v>53</v>
      </c>
      <c r="DL54">
        <v>2</v>
      </c>
      <c r="DM54">
        <v>45.584905660399997</v>
      </c>
      <c r="DN54">
        <v>72</v>
      </c>
      <c r="DO54">
        <v>1</v>
      </c>
      <c r="DP54">
        <v>163.93055555559999</v>
      </c>
      <c r="DQ54">
        <v>143</v>
      </c>
    </row>
    <row r="55" spans="2:121" x14ac:dyDescent="0.2">
      <c r="F55" t="s">
        <v>440</v>
      </c>
      <c r="G55">
        <v>37718</v>
      </c>
      <c r="H55">
        <v>459.13855453629998</v>
      </c>
      <c r="I55">
        <v>729</v>
      </c>
      <c r="J55">
        <v>287</v>
      </c>
      <c r="K55">
        <v>38247</v>
      </c>
      <c r="L55">
        <v>37222</v>
      </c>
      <c r="M55">
        <v>122</v>
      </c>
      <c r="N55">
        <v>111</v>
      </c>
      <c r="O55">
        <v>1559</v>
      </c>
      <c r="P55">
        <v>1397</v>
      </c>
      <c r="Q55">
        <v>0</v>
      </c>
      <c r="R55">
        <v>2</v>
      </c>
      <c r="AH55" t="s">
        <v>431</v>
      </c>
      <c r="AI55">
        <v>729</v>
      </c>
      <c r="AJ55">
        <v>281.32098765429998</v>
      </c>
      <c r="AK55">
        <v>935</v>
      </c>
      <c r="AL55">
        <v>209</v>
      </c>
      <c r="AM55">
        <v>1161</v>
      </c>
      <c r="AN55">
        <v>533</v>
      </c>
      <c r="AO55">
        <v>191</v>
      </c>
      <c r="AP55">
        <v>111</v>
      </c>
      <c r="AQ55">
        <v>181</v>
      </c>
      <c r="AR55">
        <v>73</v>
      </c>
      <c r="AS55">
        <v>18</v>
      </c>
      <c r="AT55">
        <v>6</v>
      </c>
      <c r="AV55" t="s">
        <v>389</v>
      </c>
      <c r="AW55">
        <v>252</v>
      </c>
      <c r="AX55">
        <v>101.376984127</v>
      </c>
      <c r="AY55">
        <v>198</v>
      </c>
      <c r="AZ55">
        <v>40</v>
      </c>
      <c r="BA55">
        <v>361</v>
      </c>
      <c r="BB55">
        <v>112</v>
      </c>
      <c r="BC55">
        <v>9</v>
      </c>
      <c r="BD55">
        <v>8</v>
      </c>
      <c r="BE55">
        <v>77</v>
      </c>
      <c r="BF55">
        <v>13</v>
      </c>
      <c r="BG55">
        <v>45</v>
      </c>
      <c r="BH55">
        <v>70</v>
      </c>
      <c r="BJ55" t="s">
        <v>605</v>
      </c>
      <c r="BK55" t="s">
        <v>414</v>
      </c>
      <c r="BL55">
        <v>5098</v>
      </c>
      <c r="BM55">
        <v>1223</v>
      </c>
      <c r="BN55">
        <v>95.390153001200005</v>
      </c>
      <c r="BO55">
        <v>18889</v>
      </c>
      <c r="BP55">
        <v>236</v>
      </c>
      <c r="BQ55">
        <v>171.7154957912</v>
      </c>
      <c r="BR55">
        <v>158.44915254239999</v>
      </c>
      <c r="BS55">
        <v>7330</v>
      </c>
      <c r="BT55">
        <v>1982</v>
      </c>
      <c r="BU55">
        <v>106.6289222374</v>
      </c>
      <c r="BV55">
        <v>27117</v>
      </c>
      <c r="BW55">
        <v>374</v>
      </c>
      <c r="BX55">
        <v>186.98100822360001</v>
      </c>
      <c r="BY55">
        <v>167.95721925129999</v>
      </c>
      <c r="CA55" t="s">
        <v>423</v>
      </c>
      <c r="CB55" t="s">
        <v>900</v>
      </c>
      <c r="CC55" t="s">
        <v>1032</v>
      </c>
      <c r="CD55">
        <v>3897</v>
      </c>
      <c r="CE55">
        <v>1234</v>
      </c>
      <c r="CF55">
        <v>116.2704644598</v>
      </c>
      <c r="CG55">
        <v>12383</v>
      </c>
      <c r="CH55">
        <v>165</v>
      </c>
      <c r="CI55">
        <v>224.6703545183</v>
      </c>
      <c r="CJ55">
        <v>181.87878787880001</v>
      </c>
      <c r="CL55" t="s">
        <v>423</v>
      </c>
      <c r="CM55" t="s">
        <v>881</v>
      </c>
      <c r="CN55" t="s">
        <v>886</v>
      </c>
      <c r="CO55">
        <v>246</v>
      </c>
      <c r="CP55">
        <v>12</v>
      </c>
      <c r="CQ55">
        <v>47.337398374000003</v>
      </c>
      <c r="CR55">
        <v>1591</v>
      </c>
      <c r="CS55">
        <v>32</v>
      </c>
      <c r="CT55">
        <v>70.739786297899997</v>
      </c>
      <c r="CU55">
        <v>69.03125</v>
      </c>
      <c r="CW55" t="s">
        <v>423</v>
      </c>
      <c r="CX55" t="s">
        <v>891</v>
      </c>
      <c r="CY55" t="s">
        <v>896</v>
      </c>
      <c r="CZ55">
        <v>94</v>
      </c>
      <c r="DA55">
        <v>11</v>
      </c>
      <c r="DB55">
        <v>64.095744680899998</v>
      </c>
      <c r="DC55">
        <v>263</v>
      </c>
      <c r="DD55">
        <v>1</v>
      </c>
      <c r="DE55">
        <v>122.5589353612</v>
      </c>
      <c r="DF55">
        <v>66</v>
      </c>
      <c r="DH55" t="s">
        <v>423</v>
      </c>
      <c r="DI55" t="s">
        <v>871</v>
      </c>
      <c r="DJ55" t="s">
        <v>876</v>
      </c>
      <c r="DK55">
        <v>84</v>
      </c>
      <c r="DL55">
        <v>8</v>
      </c>
      <c r="DM55">
        <v>60.571428571399998</v>
      </c>
      <c r="DN55">
        <v>289</v>
      </c>
      <c r="DO55">
        <v>1</v>
      </c>
      <c r="DP55">
        <v>164.9861591696</v>
      </c>
      <c r="DQ55">
        <v>125</v>
      </c>
    </row>
    <row r="56" spans="2:121" x14ac:dyDescent="0.2">
      <c r="F56" t="s">
        <v>65</v>
      </c>
      <c r="G56">
        <v>11246</v>
      </c>
      <c r="H56">
        <v>377.10519295749998</v>
      </c>
      <c r="I56">
        <v>11002</v>
      </c>
      <c r="J56">
        <v>2992</v>
      </c>
      <c r="K56">
        <v>14653</v>
      </c>
      <c r="L56">
        <v>10084</v>
      </c>
      <c r="M56">
        <v>5128</v>
      </c>
      <c r="N56">
        <v>3765</v>
      </c>
      <c r="O56">
        <v>3532</v>
      </c>
      <c r="P56">
        <v>2630</v>
      </c>
      <c r="Q56">
        <v>0</v>
      </c>
      <c r="R56">
        <v>46</v>
      </c>
      <c r="BJ56" t="s">
        <v>613</v>
      </c>
      <c r="BK56" t="s">
        <v>414</v>
      </c>
      <c r="BL56">
        <v>5362</v>
      </c>
      <c r="BM56">
        <v>1859</v>
      </c>
      <c r="BN56">
        <v>113.0154792988</v>
      </c>
      <c r="BO56">
        <v>17123</v>
      </c>
      <c r="BP56">
        <v>193</v>
      </c>
      <c r="BQ56">
        <v>186.8896805466</v>
      </c>
      <c r="BR56">
        <v>136.30051813470001</v>
      </c>
      <c r="BS56">
        <v>4893</v>
      </c>
      <c r="BT56">
        <v>1588</v>
      </c>
      <c r="BU56">
        <v>111.34661761700001</v>
      </c>
      <c r="BV56">
        <v>16855</v>
      </c>
      <c r="BW56">
        <v>172</v>
      </c>
      <c r="BX56">
        <v>188.71830317409999</v>
      </c>
      <c r="BY56">
        <v>144.5</v>
      </c>
      <c r="CA56" t="s">
        <v>415</v>
      </c>
      <c r="CB56" t="s">
        <v>900</v>
      </c>
      <c r="CC56" t="s">
        <v>1033</v>
      </c>
      <c r="CD56">
        <v>2856</v>
      </c>
      <c r="CE56">
        <v>826</v>
      </c>
      <c r="CF56">
        <v>106.8644957983</v>
      </c>
      <c r="CG56">
        <v>9062</v>
      </c>
      <c r="CH56">
        <v>96</v>
      </c>
      <c r="CI56">
        <v>172.41392628560001</v>
      </c>
      <c r="CJ56">
        <v>186.28125</v>
      </c>
      <c r="CL56" t="s">
        <v>415</v>
      </c>
      <c r="CM56" t="s">
        <v>881</v>
      </c>
      <c r="CN56" t="s">
        <v>887</v>
      </c>
      <c r="CO56">
        <v>185</v>
      </c>
      <c r="CP56">
        <v>16</v>
      </c>
      <c r="CQ56">
        <v>55.113513513500003</v>
      </c>
      <c r="CR56">
        <v>1278</v>
      </c>
      <c r="CS56">
        <v>26</v>
      </c>
      <c r="CT56">
        <v>61.0453834116</v>
      </c>
      <c r="CU56">
        <v>45.038461538500002</v>
      </c>
      <c r="CW56" t="s">
        <v>415</v>
      </c>
      <c r="CX56" t="s">
        <v>891</v>
      </c>
      <c r="CY56" t="s">
        <v>897</v>
      </c>
      <c r="CZ56">
        <v>62</v>
      </c>
      <c r="DA56">
        <v>16</v>
      </c>
      <c r="DB56">
        <v>89.854838709700005</v>
      </c>
      <c r="DC56">
        <v>146</v>
      </c>
      <c r="DD56">
        <v>3</v>
      </c>
      <c r="DE56">
        <v>127.1849315068</v>
      </c>
      <c r="DF56">
        <v>110.6666666667</v>
      </c>
      <c r="DH56" t="s">
        <v>415</v>
      </c>
      <c r="DI56" t="s">
        <v>871</v>
      </c>
      <c r="DJ56" t="s">
        <v>877</v>
      </c>
      <c r="DK56">
        <v>62</v>
      </c>
      <c r="DL56">
        <v>8</v>
      </c>
      <c r="DM56">
        <v>67.451612903200001</v>
      </c>
      <c r="DN56">
        <v>154</v>
      </c>
      <c r="DO56">
        <v>3</v>
      </c>
      <c r="DP56">
        <v>162.3441558442</v>
      </c>
      <c r="DQ56">
        <v>114</v>
      </c>
    </row>
    <row r="57" spans="2:121" x14ac:dyDescent="0.2">
      <c r="F57" t="s">
        <v>67</v>
      </c>
      <c r="G57">
        <v>5450</v>
      </c>
      <c r="H57">
        <v>264.73284403669999</v>
      </c>
      <c r="I57">
        <v>4945</v>
      </c>
      <c r="J57">
        <v>1171</v>
      </c>
      <c r="K57">
        <v>6466</v>
      </c>
      <c r="L57">
        <v>3611</v>
      </c>
      <c r="M57">
        <v>273</v>
      </c>
      <c r="N57">
        <v>193</v>
      </c>
      <c r="O57">
        <v>2800</v>
      </c>
      <c r="P57">
        <v>2211</v>
      </c>
      <c r="Q57">
        <v>0</v>
      </c>
      <c r="R57">
        <v>71</v>
      </c>
      <c r="BJ57" t="s">
        <v>621</v>
      </c>
      <c r="BK57" t="s">
        <v>414</v>
      </c>
      <c r="BL57">
        <v>3708</v>
      </c>
      <c r="BM57">
        <v>1192</v>
      </c>
      <c r="BN57">
        <v>115.48274002159999</v>
      </c>
      <c r="BO57">
        <v>11682</v>
      </c>
      <c r="BP57">
        <v>158</v>
      </c>
      <c r="BQ57">
        <v>234.8083376134</v>
      </c>
      <c r="BR57">
        <v>191.49367088610001</v>
      </c>
      <c r="BS57">
        <v>2606</v>
      </c>
      <c r="BT57">
        <v>473</v>
      </c>
      <c r="BU57">
        <v>87.915963161899995</v>
      </c>
      <c r="BV57">
        <v>5840</v>
      </c>
      <c r="BW57">
        <v>94</v>
      </c>
      <c r="BX57">
        <v>260.31438356159998</v>
      </c>
      <c r="BY57">
        <v>186.5</v>
      </c>
      <c r="CA57" t="s">
        <v>419</v>
      </c>
      <c r="CB57" t="s">
        <v>900</v>
      </c>
      <c r="CC57" t="s">
        <v>1034</v>
      </c>
      <c r="CD57">
        <v>5353</v>
      </c>
      <c r="CE57">
        <v>1883</v>
      </c>
      <c r="CF57">
        <v>113.0267139922</v>
      </c>
      <c r="CG57">
        <v>17658</v>
      </c>
      <c r="CH57">
        <v>190</v>
      </c>
      <c r="CI57">
        <v>185.69758749580001</v>
      </c>
      <c r="CJ57">
        <v>136.05263157889999</v>
      </c>
      <c r="CL57" t="s">
        <v>419</v>
      </c>
      <c r="CM57" t="s">
        <v>881</v>
      </c>
      <c r="CN57" t="s">
        <v>888</v>
      </c>
      <c r="CO57">
        <v>315</v>
      </c>
      <c r="CP57">
        <v>24</v>
      </c>
      <c r="CQ57">
        <v>56.926984126999997</v>
      </c>
      <c r="CR57">
        <v>2224</v>
      </c>
      <c r="CS57">
        <v>35</v>
      </c>
      <c r="CT57">
        <v>65.163219424499999</v>
      </c>
      <c r="CU57">
        <v>60.942857142900003</v>
      </c>
      <c r="CW57" t="s">
        <v>419</v>
      </c>
      <c r="CX57" t="s">
        <v>891</v>
      </c>
      <c r="CY57" t="s">
        <v>898</v>
      </c>
      <c r="CZ57">
        <v>103</v>
      </c>
      <c r="DA57">
        <v>9</v>
      </c>
      <c r="DB57">
        <v>62.2524271845</v>
      </c>
      <c r="DC57">
        <v>242</v>
      </c>
      <c r="DD57">
        <v>3</v>
      </c>
      <c r="DE57">
        <v>114.3140495868</v>
      </c>
      <c r="DF57">
        <v>76.333333333300004</v>
      </c>
      <c r="DH57" t="s">
        <v>419</v>
      </c>
      <c r="DI57" t="s">
        <v>871</v>
      </c>
      <c r="DJ57" t="s">
        <v>878</v>
      </c>
      <c r="DK57">
        <v>36</v>
      </c>
      <c r="DL57">
        <v>5</v>
      </c>
      <c r="DM57">
        <v>59.777777777799997</v>
      </c>
      <c r="DN57">
        <v>152</v>
      </c>
      <c r="DO57">
        <v>3</v>
      </c>
      <c r="DP57">
        <v>158.36184210530001</v>
      </c>
      <c r="DQ57">
        <v>146.3333333333</v>
      </c>
    </row>
    <row r="58" spans="2:121" x14ac:dyDescent="0.2">
      <c r="F58" t="s">
        <v>57</v>
      </c>
      <c r="G58">
        <v>1758</v>
      </c>
      <c r="H58">
        <v>383.47440273040002</v>
      </c>
      <c r="I58">
        <v>1098</v>
      </c>
      <c r="J58">
        <v>245</v>
      </c>
      <c r="K58">
        <v>2170</v>
      </c>
      <c r="L58">
        <v>1474</v>
      </c>
      <c r="M58">
        <v>546</v>
      </c>
      <c r="N58">
        <v>525</v>
      </c>
      <c r="O58">
        <v>140</v>
      </c>
      <c r="P58">
        <v>84</v>
      </c>
      <c r="Q58">
        <v>0</v>
      </c>
      <c r="R58">
        <v>1</v>
      </c>
      <c r="BJ58" t="s">
        <v>634</v>
      </c>
      <c r="BK58" t="s">
        <v>414</v>
      </c>
      <c r="BL58">
        <v>9712</v>
      </c>
      <c r="BM58">
        <v>1810</v>
      </c>
      <c r="BN58">
        <v>85.369130971999994</v>
      </c>
      <c r="BO58">
        <v>30785</v>
      </c>
      <c r="BP58">
        <v>444</v>
      </c>
      <c r="BQ58">
        <v>155.28624330029999</v>
      </c>
      <c r="BR58">
        <v>128.34009009010001</v>
      </c>
      <c r="BS58">
        <v>10866</v>
      </c>
      <c r="BT58">
        <v>2659</v>
      </c>
      <c r="BU58">
        <v>99.666666666699996</v>
      </c>
      <c r="BV58">
        <v>37874</v>
      </c>
      <c r="BW58">
        <v>517</v>
      </c>
      <c r="BX58">
        <v>171.83582404820001</v>
      </c>
      <c r="BY58">
        <v>139.98839458410001</v>
      </c>
      <c r="CA58" t="s">
        <v>83</v>
      </c>
      <c r="CB58" t="s">
        <v>900</v>
      </c>
      <c r="CC58" t="s">
        <v>1035</v>
      </c>
      <c r="CD58">
        <v>6582</v>
      </c>
      <c r="CE58">
        <v>1775</v>
      </c>
      <c r="CF58">
        <v>107.17775752049999</v>
      </c>
      <c r="CG58">
        <v>30497</v>
      </c>
      <c r="CH58">
        <v>366</v>
      </c>
      <c r="CI58">
        <v>218.7515165426</v>
      </c>
      <c r="CJ58">
        <v>132.40163934430001</v>
      </c>
      <c r="CL58" t="s">
        <v>83</v>
      </c>
      <c r="CM58" t="s">
        <v>881</v>
      </c>
      <c r="CN58" t="s">
        <v>889</v>
      </c>
      <c r="CO58">
        <v>543</v>
      </c>
      <c r="CP58">
        <v>41</v>
      </c>
      <c r="CQ58">
        <v>55.3112338858</v>
      </c>
      <c r="CR58">
        <v>3499</v>
      </c>
      <c r="CS58">
        <v>79</v>
      </c>
      <c r="CT58">
        <v>68.5727350672</v>
      </c>
      <c r="CU58">
        <v>60.354430379699998</v>
      </c>
      <c r="CW58" t="s">
        <v>83</v>
      </c>
      <c r="CX58" t="s">
        <v>891</v>
      </c>
      <c r="CY58" t="s">
        <v>899</v>
      </c>
      <c r="CZ58">
        <v>243</v>
      </c>
      <c r="DA58">
        <v>26</v>
      </c>
      <c r="DB58">
        <v>56.065843621399999</v>
      </c>
      <c r="DC58">
        <v>867</v>
      </c>
      <c r="DD58">
        <v>9</v>
      </c>
      <c r="DE58">
        <v>122.92272203</v>
      </c>
      <c r="DF58">
        <v>104</v>
      </c>
      <c r="DH58" t="s">
        <v>83</v>
      </c>
      <c r="DI58" t="s">
        <v>871</v>
      </c>
      <c r="DJ58" t="s">
        <v>879</v>
      </c>
      <c r="DK58">
        <v>484</v>
      </c>
      <c r="DL58">
        <v>46</v>
      </c>
      <c r="DM58">
        <v>57.404958677700002</v>
      </c>
      <c r="DN58">
        <v>1251</v>
      </c>
      <c r="DO58">
        <v>14</v>
      </c>
      <c r="DP58">
        <v>160.5451638689</v>
      </c>
      <c r="DQ58">
        <v>119.92857142859999</v>
      </c>
    </row>
    <row r="59" spans="2:121" x14ac:dyDescent="0.2">
      <c r="F59" t="s">
        <v>49</v>
      </c>
      <c r="G59">
        <v>13136</v>
      </c>
      <c r="H59">
        <v>340.34264616320002</v>
      </c>
      <c r="I59">
        <v>16779</v>
      </c>
      <c r="J59">
        <v>5037</v>
      </c>
      <c r="K59">
        <v>17348</v>
      </c>
      <c r="L59">
        <v>11495</v>
      </c>
      <c r="M59">
        <v>1782</v>
      </c>
      <c r="N59">
        <v>1466</v>
      </c>
      <c r="O59">
        <v>4107</v>
      </c>
      <c r="P59">
        <v>3035</v>
      </c>
      <c r="Q59">
        <v>0</v>
      </c>
      <c r="R59">
        <v>242</v>
      </c>
      <c r="BJ59" t="s">
        <v>607</v>
      </c>
      <c r="BK59" t="s">
        <v>414</v>
      </c>
      <c r="BL59">
        <v>8055</v>
      </c>
      <c r="BM59">
        <v>1766</v>
      </c>
      <c r="BN59">
        <v>91.779764121699998</v>
      </c>
      <c r="BO59">
        <v>65724</v>
      </c>
      <c r="BP59">
        <v>782</v>
      </c>
      <c r="BQ59">
        <v>126.0380530704</v>
      </c>
      <c r="BR59">
        <v>77.877237851700002</v>
      </c>
      <c r="BS59">
        <v>7833</v>
      </c>
      <c r="BT59">
        <v>1569</v>
      </c>
      <c r="BU59">
        <v>84.182560960000004</v>
      </c>
      <c r="BV59">
        <v>59940</v>
      </c>
      <c r="BW59">
        <v>820</v>
      </c>
      <c r="BX59">
        <v>111.35572238909999</v>
      </c>
      <c r="BY59">
        <v>76.012195121999994</v>
      </c>
      <c r="CA59" t="s">
        <v>414</v>
      </c>
      <c r="CB59" t="s">
        <v>900</v>
      </c>
      <c r="CD59">
        <v>59380</v>
      </c>
      <c r="CE59">
        <v>15978</v>
      </c>
      <c r="CF59">
        <v>103.8042606938</v>
      </c>
      <c r="CG59">
        <v>209307</v>
      </c>
      <c r="CH59">
        <v>2738</v>
      </c>
      <c r="CI59">
        <v>191.7181651832</v>
      </c>
      <c r="CJ59">
        <v>156.30971512049999</v>
      </c>
      <c r="CL59" t="s">
        <v>414</v>
      </c>
      <c r="CM59" t="s">
        <v>881</v>
      </c>
      <c r="CO59">
        <v>4309</v>
      </c>
      <c r="CP59">
        <v>287</v>
      </c>
      <c r="CQ59">
        <v>51.220004641400003</v>
      </c>
      <c r="CR59">
        <v>27576</v>
      </c>
      <c r="CS59">
        <v>505</v>
      </c>
      <c r="CT59">
        <v>64.959058601699994</v>
      </c>
      <c r="CU59">
        <v>56.548514851500002</v>
      </c>
      <c r="CW59" t="s">
        <v>414</v>
      </c>
      <c r="CX59" t="s">
        <v>891</v>
      </c>
      <c r="CZ59">
        <v>2132</v>
      </c>
      <c r="DA59">
        <v>255</v>
      </c>
      <c r="DB59">
        <v>62.001407129500002</v>
      </c>
      <c r="DC59">
        <v>6077</v>
      </c>
      <c r="DD59">
        <v>65</v>
      </c>
      <c r="DE59">
        <v>120.3692611486</v>
      </c>
      <c r="DF59">
        <v>117.2</v>
      </c>
      <c r="DH59" t="s">
        <v>414</v>
      </c>
      <c r="DI59" t="s">
        <v>871</v>
      </c>
      <c r="DK59">
        <v>1770</v>
      </c>
      <c r="DL59">
        <v>159</v>
      </c>
      <c r="DM59">
        <v>57.075706214699998</v>
      </c>
      <c r="DN59">
        <v>4534</v>
      </c>
      <c r="DO59">
        <v>46</v>
      </c>
      <c r="DP59">
        <v>162.7139391266</v>
      </c>
      <c r="DQ59">
        <v>125.0434782609</v>
      </c>
    </row>
    <row r="60" spans="2:121" x14ac:dyDescent="0.2">
      <c r="F60" t="s">
        <v>141</v>
      </c>
      <c r="G60">
        <v>465</v>
      </c>
      <c r="H60">
        <v>332.09247311830001</v>
      </c>
      <c r="I60">
        <v>376</v>
      </c>
      <c r="J60">
        <v>116</v>
      </c>
      <c r="K60">
        <v>640</v>
      </c>
      <c r="L60">
        <v>424</v>
      </c>
      <c r="M60">
        <v>73</v>
      </c>
      <c r="N60">
        <v>64</v>
      </c>
      <c r="O60">
        <v>99</v>
      </c>
      <c r="P60">
        <v>77</v>
      </c>
      <c r="Q60">
        <v>0</v>
      </c>
      <c r="R60">
        <v>1</v>
      </c>
      <c r="BJ60" t="s">
        <v>549</v>
      </c>
      <c r="BK60" t="s">
        <v>390</v>
      </c>
      <c r="BL60">
        <v>16509</v>
      </c>
      <c r="BM60">
        <v>4279</v>
      </c>
      <c r="BN60">
        <v>99.469986068200001</v>
      </c>
      <c r="BO60">
        <v>51697</v>
      </c>
      <c r="BP60">
        <v>655</v>
      </c>
      <c r="BQ60">
        <v>195.2912741552</v>
      </c>
      <c r="BR60">
        <v>167.32366412210001</v>
      </c>
      <c r="BS60">
        <v>15418</v>
      </c>
      <c r="BT60">
        <v>3223</v>
      </c>
      <c r="BU60">
        <v>90.312881048099996</v>
      </c>
      <c r="BV60">
        <v>43709</v>
      </c>
      <c r="BW60">
        <v>563</v>
      </c>
      <c r="BX60">
        <v>189.4160470384</v>
      </c>
      <c r="BY60">
        <v>158.60213143870001</v>
      </c>
      <c r="CA60" t="s">
        <v>398</v>
      </c>
      <c r="CB60" t="s">
        <v>925</v>
      </c>
      <c r="CC60" t="s">
        <v>1036</v>
      </c>
      <c r="CD60">
        <v>7577</v>
      </c>
      <c r="CE60">
        <v>1564</v>
      </c>
      <c r="CF60">
        <v>92.548634023999995</v>
      </c>
      <c r="CG60">
        <v>25621</v>
      </c>
      <c r="CH60">
        <v>201</v>
      </c>
      <c r="CI60">
        <v>194.52441356700001</v>
      </c>
      <c r="CJ60">
        <v>201.58706467659999</v>
      </c>
      <c r="CL60" t="s">
        <v>398</v>
      </c>
      <c r="CM60" t="s">
        <v>910</v>
      </c>
      <c r="CN60" t="s">
        <v>909</v>
      </c>
      <c r="CO60">
        <v>541</v>
      </c>
      <c r="CP60">
        <v>51</v>
      </c>
      <c r="CQ60">
        <v>55.876155267999998</v>
      </c>
      <c r="CR60">
        <v>4402</v>
      </c>
      <c r="CS60">
        <v>54</v>
      </c>
      <c r="CT60">
        <v>49.766015447500003</v>
      </c>
      <c r="CU60">
        <v>54.648148148099999</v>
      </c>
      <c r="CW60" t="s">
        <v>398</v>
      </c>
      <c r="CX60" t="s">
        <v>918</v>
      </c>
      <c r="CY60" t="s">
        <v>917</v>
      </c>
      <c r="CZ60">
        <v>168</v>
      </c>
      <c r="DA60">
        <v>31</v>
      </c>
      <c r="DB60">
        <v>64.357142857100001</v>
      </c>
      <c r="DC60">
        <v>376</v>
      </c>
      <c r="DD60">
        <v>6</v>
      </c>
      <c r="DE60">
        <v>140.66223404260001</v>
      </c>
      <c r="DF60">
        <v>130</v>
      </c>
      <c r="DH60" t="s">
        <v>398</v>
      </c>
      <c r="DI60" t="s">
        <v>902</v>
      </c>
      <c r="DJ60" t="s">
        <v>901</v>
      </c>
      <c r="DK60">
        <v>182</v>
      </c>
      <c r="DL60">
        <v>23</v>
      </c>
      <c r="DM60">
        <v>64.961538461499998</v>
      </c>
      <c r="DN60">
        <v>376</v>
      </c>
      <c r="DO60">
        <v>3</v>
      </c>
      <c r="DP60">
        <v>144.5319148936</v>
      </c>
      <c r="DQ60">
        <v>114.6666666667</v>
      </c>
    </row>
    <row r="61" spans="2:121" x14ac:dyDescent="0.2">
      <c r="F61" t="s">
        <v>59</v>
      </c>
      <c r="G61">
        <v>7492</v>
      </c>
      <c r="H61">
        <v>244.890950347</v>
      </c>
      <c r="I61">
        <v>5842</v>
      </c>
      <c r="J61">
        <v>1263</v>
      </c>
      <c r="K61">
        <v>9723</v>
      </c>
      <c r="L61">
        <v>4695</v>
      </c>
      <c r="M61">
        <v>334</v>
      </c>
      <c r="N61">
        <v>222</v>
      </c>
      <c r="O61">
        <v>446</v>
      </c>
      <c r="P61">
        <v>200</v>
      </c>
      <c r="Q61">
        <v>71</v>
      </c>
      <c r="R61">
        <v>0</v>
      </c>
      <c r="BJ61" t="s">
        <v>557</v>
      </c>
      <c r="BK61" t="s">
        <v>390</v>
      </c>
      <c r="BL61">
        <v>8824</v>
      </c>
      <c r="BM61">
        <v>2307</v>
      </c>
      <c r="BN61">
        <v>100.58952855850001</v>
      </c>
      <c r="BO61">
        <v>30619</v>
      </c>
      <c r="BP61">
        <v>390</v>
      </c>
      <c r="BQ61">
        <v>192.81589862499999</v>
      </c>
      <c r="BR61">
        <v>151.95128205130001</v>
      </c>
      <c r="BS61">
        <v>8687</v>
      </c>
      <c r="BT61">
        <v>2433</v>
      </c>
      <c r="BU61">
        <v>103.3848279038</v>
      </c>
      <c r="BV61">
        <v>29151</v>
      </c>
      <c r="BW61">
        <v>394</v>
      </c>
      <c r="BX61">
        <v>189.5914376865</v>
      </c>
      <c r="BY61">
        <v>158.00507614209999</v>
      </c>
      <c r="CA61" t="s">
        <v>435</v>
      </c>
      <c r="CB61" t="s">
        <v>925</v>
      </c>
      <c r="CC61" t="s">
        <v>1037</v>
      </c>
      <c r="CD61">
        <v>23019</v>
      </c>
      <c r="CE61">
        <v>7615</v>
      </c>
      <c r="CF61">
        <v>120.92441026980001</v>
      </c>
      <c r="CG61">
        <v>81424</v>
      </c>
      <c r="CH61">
        <v>1038</v>
      </c>
      <c r="CI61">
        <v>203.64878905480001</v>
      </c>
      <c r="CJ61">
        <v>159.6319845857</v>
      </c>
      <c r="CL61" t="s">
        <v>435</v>
      </c>
      <c r="CM61" t="s">
        <v>910</v>
      </c>
      <c r="CN61" t="s">
        <v>911</v>
      </c>
      <c r="CO61">
        <v>1331</v>
      </c>
      <c r="CP61">
        <v>144</v>
      </c>
      <c r="CQ61">
        <v>63.910593538699999</v>
      </c>
      <c r="CR61">
        <v>10787</v>
      </c>
      <c r="CS61">
        <v>157</v>
      </c>
      <c r="CT61">
        <v>73.702234170799997</v>
      </c>
      <c r="CU61">
        <v>66.203821656100004</v>
      </c>
      <c r="CW61" t="s">
        <v>435</v>
      </c>
      <c r="CX61" t="s">
        <v>918</v>
      </c>
      <c r="CY61" t="s">
        <v>919</v>
      </c>
      <c r="CZ61">
        <v>732</v>
      </c>
      <c r="DA61">
        <v>118</v>
      </c>
      <c r="DB61">
        <v>72.098360655700006</v>
      </c>
      <c r="DC61">
        <v>1921</v>
      </c>
      <c r="DD61">
        <v>32</v>
      </c>
      <c r="DE61">
        <v>142.5809474232</v>
      </c>
      <c r="DF61">
        <v>159.1875</v>
      </c>
      <c r="DH61" t="s">
        <v>435</v>
      </c>
      <c r="DI61" t="s">
        <v>902</v>
      </c>
      <c r="DJ61" t="s">
        <v>903</v>
      </c>
      <c r="DK61">
        <v>988</v>
      </c>
      <c r="DL61">
        <v>157</v>
      </c>
      <c r="DM61">
        <v>66.496963562800005</v>
      </c>
      <c r="DN61">
        <v>2009</v>
      </c>
      <c r="DO61">
        <v>21</v>
      </c>
      <c r="DP61">
        <v>141.33349925339999</v>
      </c>
      <c r="DQ61">
        <v>143.42857142860001</v>
      </c>
    </row>
    <row r="62" spans="2:121" x14ac:dyDescent="0.2">
      <c r="BJ62" t="s">
        <v>573</v>
      </c>
      <c r="BK62" t="s">
        <v>390</v>
      </c>
      <c r="BL62">
        <v>6591</v>
      </c>
      <c r="BM62">
        <v>2762</v>
      </c>
      <c r="BN62">
        <v>155.40327719620001</v>
      </c>
      <c r="BO62">
        <v>19533</v>
      </c>
      <c r="BP62">
        <v>209</v>
      </c>
      <c r="BQ62">
        <v>223.8373521732</v>
      </c>
      <c r="BR62">
        <v>203.17224880379999</v>
      </c>
      <c r="BS62">
        <v>7140</v>
      </c>
      <c r="BT62">
        <v>3057</v>
      </c>
      <c r="BU62">
        <v>153.03837535010001</v>
      </c>
      <c r="BV62">
        <v>20279</v>
      </c>
      <c r="BW62">
        <v>223</v>
      </c>
      <c r="BX62">
        <v>224.27876128010001</v>
      </c>
      <c r="BY62">
        <v>198.3811659193</v>
      </c>
      <c r="CA62" t="s">
        <v>391</v>
      </c>
      <c r="CB62" t="s">
        <v>925</v>
      </c>
      <c r="CC62" t="s">
        <v>1038</v>
      </c>
      <c r="CD62">
        <v>17297</v>
      </c>
      <c r="CE62">
        <v>4411</v>
      </c>
      <c r="CF62">
        <v>99.693472856599996</v>
      </c>
      <c r="CG62">
        <v>57447</v>
      </c>
      <c r="CH62">
        <v>748</v>
      </c>
      <c r="CI62">
        <v>187.117534423</v>
      </c>
      <c r="CJ62">
        <v>155.47860962569999</v>
      </c>
      <c r="CL62" t="s">
        <v>391</v>
      </c>
      <c r="CM62" t="s">
        <v>910</v>
      </c>
      <c r="CN62" t="s">
        <v>912</v>
      </c>
      <c r="CO62">
        <v>639</v>
      </c>
      <c r="CP62">
        <v>91</v>
      </c>
      <c r="CQ62">
        <v>75.286384976500003</v>
      </c>
      <c r="CR62">
        <v>5152</v>
      </c>
      <c r="CS62">
        <v>100</v>
      </c>
      <c r="CT62">
        <v>75.061335403699999</v>
      </c>
      <c r="CU62">
        <v>67.819999999999993</v>
      </c>
      <c r="CW62" t="s">
        <v>391</v>
      </c>
      <c r="CX62" t="s">
        <v>918</v>
      </c>
      <c r="CY62" t="s">
        <v>920</v>
      </c>
      <c r="CZ62">
        <v>429</v>
      </c>
      <c r="DA62">
        <v>81</v>
      </c>
      <c r="DB62">
        <v>74.701631701599993</v>
      </c>
      <c r="DC62">
        <v>1047</v>
      </c>
      <c r="DD62">
        <v>13</v>
      </c>
      <c r="DE62">
        <v>151.90066857689999</v>
      </c>
      <c r="DF62">
        <v>145.69230769230001</v>
      </c>
      <c r="DH62" t="s">
        <v>391</v>
      </c>
      <c r="DI62" t="s">
        <v>902</v>
      </c>
      <c r="DJ62" t="s">
        <v>904</v>
      </c>
      <c r="DK62">
        <v>531</v>
      </c>
      <c r="DL62">
        <v>81</v>
      </c>
      <c r="DM62">
        <v>65.013182674199996</v>
      </c>
      <c r="DN62">
        <v>1066</v>
      </c>
      <c r="DO62">
        <v>12</v>
      </c>
      <c r="DP62">
        <v>149.2861163227</v>
      </c>
      <c r="DQ62">
        <v>145.5833333333</v>
      </c>
    </row>
    <row r="63" spans="2:121" x14ac:dyDescent="0.2">
      <c r="BJ63" t="s">
        <v>563</v>
      </c>
      <c r="BK63" t="s">
        <v>390</v>
      </c>
      <c r="BL63">
        <v>7448</v>
      </c>
      <c r="BM63">
        <v>1397</v>
      </c>
      <c r="BN63">
        <v>87.020273899000003</v>
      </c>
      <c r="BO63">
        <v>23634</v>
      </c>
      <c r="BP63">
        <v>181</v>
      </c>
      <c r="BQ63">
        <v>201.9089870526</v>
      </c>
      <c r="BR63">
        <v>197.9944751381</v>
      </c>
      <c r="BS63">
        <v>7256</v>
      </c>
      <c r="BT63">
        <v>1112</v>
      </c>
      <c r="BU63">
        <v>80.772050716600006</v>
      </c>
      <c r="BV63">
        <v>23301</v>
      </c>
      <c r="BW63">
        <v>155</v>
      </c>
      <c r="BX63">
        <v>203.24265052999999</v>
      </c>
      <c r="BY63">
        <v>184.0193548387</v>
      </c>
      <c r="CA63" t="s">
        <v>403</v>
      </c>
      <c r="CB63" t="s">
        <v>925</v>
      </c>
      <c r="CC63" t="s">
        <v>1039</v>
      </c>
      <c r="CD63">
        <v>4563</v>
      </c>
      <c r="CE63">
        <v>1163</v>
      </c>
      <c r="CF63">
        <v>106.8536050844</v>
      </c>
      <c r="CG63">
        <v>15532</v>
      </c>
      <c r="CH63">
        <v>158</v>
      </c>
      <c r="CI63">
        <v>169.27472315220001</v>
      </c>
      <c r="CJ63">
        <v>135.57594936710001</v>
      </c>
      <c r="CL63" t="s">
        <v>403</v>
      </c>
      <c r="CM63" t="s">
        <v>910</v>
      </c>
      <c r="CN63" t="s">
        <v>913</v>
      </c>
      <c r="CO63">
        <v>316</v>
      </c>
      <c r="CP63">
        <v>37</v>
      </c>
      <c r="CQ63">
        <v>57.161392405100003</v>
      </c>
      <c r="CR63">
        <v>2227</v>
      </c>
      <c r="CS63">
        <v>34</v>
      </c>
      <c r="CT63">
        <v>56.010776829800001</v>
      </c>
      <c r="CU63">
        <v>84.529411764700001</v>
      </c>
      <c r="CW63" t="s">
        <v>403</v>
      </c>
      <c r="CX63" t="s">
        <v>918</v>
      </c>
      <c r="CY63" t="s">
        <v>921</v>
      </c>
      <c r="CZ63">
        <v>88</v>
      </c>
      <c r="DA63">
        <v>7</v>
      </c>
      <c r="DB63">
        <v>63.352272727299997</v>
      </c>
      <c r="DC63">
        <v>264</v>
      </c>
      <c r="DD63">
        <v>2</v>
      </c>
      <c r="DE63">
        <v>137.42045454550001</v>
      </c>
      <c r="DF63">
        <v>287.5</v>
      </c>
      <c r="DH63" t="s">
        <v>403</v>
      </c>
      <c r="DI63" t="s">
        <v>902</v>
      </c>
      <c r="DJ63" t="s">
        <v>905</v>
      </c>
      <c r="DK63">
        <v>155</v>
      </c>
      <c r="DL63">
        <v>19</v>
      </c>
      <c r="DM63">
        <v>60.9612903226</v>
      </c>
      <c r="DN63">
        <v>307</v>
      </c>
      <c r="DO63">
        <v>5</v>
      </c>
      <c r="DP63">
        <v>131.3029315961</v>
      </c>
      <c r="DQ63">
        <v>134.6</v>
      </c>
    </row>
    <row r="64" spans="2:121" x14ac:dyDescent="0.2">
      <c r="BJ64" t="s">
        <v>559</v>
      </c>
      <c r="BK64" t="s">
        <v>390</v>
      </c>
      <c r="BL64">
        <v>9826</v>
      </c>
      <c r="BM64">
        <v>2126</v>
      </c>
      <c r="BN64">
        <v>90.631284347600001</v>
      </c>
      <c r="BO64">
        <v>28747</v>
      </c>
      <c r="BP64">
        <v>338</v>
      </c>
      <c r="BQ64">
        <v>154.16519984690001</v>
      </c>
      <c r="BR64">
        <v>143.82544378700001</v>
      </c>
      <c r="BS64">
        <v>10245</v>
      </c>
      <c r="BT64">
        <v>2594</v>
      </c>
      <c r="BU64">
        <v>103.83055148850001</v>
      </c>
      <c r="BV64">
        <v>32911</v>
      </c>
      <c r="BW64">
        <v>367</v>
      </c>
      <c r="BX64">
        <v>169.7473489107</v>
      </c>
      <c r="BY64">
        <v>159.9727520436</v>
      </c>
      <c r="CA64" t="s">
        <v>437</v>
      </c>
      <c r="CB64" t="s">
        <v>925</v>
      </c>
      <c r="CC64" t="s">
        <v>1040</v>
      </c>
      <c r="CD64">
        <v>2814</v>
      </c>
      <c r="CE64">
        <v>853</v>
      </c>
      <c r="CF64">
        <v>105.5604122246</v>
      </c>
      <c r="CG64">
        <v>9220</v>
      </c>
      <c r="CH64">
        <v>73</v>
      </c>
      <c r="CI64">
        <v>158.1040130152</v>
      </c>
      <c r="CJ64">
        <v>191.31506849319999</v>
      </c>
      <c r="CL64" t="s">
        <v>437</v>
      </c>
      <c r="CM64" t="s">
        <v>910</v>
      </c>
      <c r="CN64" t="s">
        <v>914</v>
      </c>
      <c r="CO64">
        <v>272</v>
      </c>
      <c r="CP64">
        <v>30</v>
      </c>
      <c r="CQ64">
        <v>71.191176470599999</v>
      </c>
      <c r="CR64">
        <v>2324</v>
      </c>
      <c r="CS64">
        <v>30</v>
      </c>
      <c r="CT64">
        <v>81.172547332199997</v>
      </c>
      <c r="CU64">
        <v>73.166666666699996</v>
      </c>
      <c r="CW64" t="s">
        <v>437</v>
      </c>
      <c r="CX64" t="s">
        <v>918</v>
      </c>
      <c r="CY64" t="s">
        <v>922</v>
      </c>
      <c r="CZ64">
        <v>10</v>
      </c>
      <c r="DA64">
        <v>2</v>
      </c>
      <c r="DB64">
        <v>73.3</v>
      </c>
      <c r="DC64">
        <v>28</v>
      </c>
      <c r="DD64">
        <v>0</v>
      </c>
      <c r="DE64">
        <v>118.2857142857</v>
      </c>
      <c r="DF64">
        <v>0</v>
      </c>
      <c r="DH64" t="s">
        <v>437</v>
      </c>
      <c r="DI64" t="s">
        <v>902</v>
      </c>
      <c r="DJ64" t="s">
        <v>906</v>
      </c>
      <c r="DK64">
        <v>10</v>
      </c>
      <c r="DL64">
        <v>1</v>
      </c>
      <c r="DM64">
        <v>62.1</v>
      </c>
      <c r="DN64">
        <v>43</v>
      </c>
      <c r="DO64">
        <v>0</v>
      </c>
      <c r="DP64">
        <v>151.44186046510001</v>
      </c>
      <c r="DQ64">
        <v>0</v>
      </c>
    </row>
    <row r="65" spans="62:121" x14ac:dyDescent="0.2">
      <c r="BJ65" t="s">
        <v>623</v>
      </c>
      <c r="BK65" t="s">
        <v>390</v>
      </c>
      <c r="BL65">
        <v>2833</v>
      </c>
      <c r="BM65">
        <v>887</v>
      </c>
      <c r="BN65">
        <v>106.8573949876</v>
      </c>
      <c r="BO65">
        <v>8976</v>
      </c>
      <c r="BP65">
        <v>67</v>
      </c>
      <c r="BQ65">
        <v>159.5257352941</v>
      </c>
      <c r="BR65">
        <v>205.0895522388</v>
      </c>
      <c r="BS65">
        <v>3167</v>
      </c>
      <c r="BT65">
        <v>1216</v>
      </c>
      <c r="BU65">
        <v>126.38648563309999</v>
      </c>
      <c r="BV65">
        <v>11145</v>
      </c>
      <c r="BW65">
        <v>81</v>
      </c>
      <c r="BX65">
        <v>169.67563930009999</v>
      </c>
      <c r="BY65">
        <v>213.56790123459999</v>
      </c>
      <c r="CA65" t="s">
        <v>393</v>
      </c>
      <c r="CB65" t="s">
        <v>925</v>
      </c>
      <c r="CC65" t="s">
        <v>1041</v>
      </c>
      <c r="CD65">
        <v>9394</v>
      </c>
      <c r="CE65">
        <v>2396</v>
      </c>
      <c r="CF65">
        <v>99.847030019200005</v>
      </c>
      <c r="CG65">
        <v>32356</v>
      </c>
      <c r="CH65">
        <v>409</v>
      </c>
      <c r="CI65">
        <v>188.8155519842</v>
      </c>
      <c r="CJ65">
        <v>148.71149144250001</v>
      </c>
      <c r="CL65" t="s">
        <v>393</v>
      </c>
      <c r="CM65" t="s">
        <v>910</v>
      </c>
      <c r="CN65" t="s">
        <v>915</v>
      </c>
      <c r="CO65">
        <v>432</v>
      </c>
      <c r="CP65">
        <v>54</v>
      </c>
      <c r="CQ65">
        <v>67.449074074099997</v>
      </c>
      <c r="CR65">
        <v>3236</v>
      </c>
      <c r="CS65">
        <v>53</v>
      </c>
      <c r="CT65">
        <v>72.067367119899998</v>
      </c>
      <c r="CU65">
        <v>72.396226415100003</v>
      </c>
      <c r="CW65" t="s">
        <v>393</v>
      </c>
      <c r="CX65" t="s">
        <v>918</v>
      </c>
      <c r="CY65" t="s">
        <v>923</v>
      </c>
      <c r="CZ65">
        <v>252</v>
      </c>
      <c r="DA65">
        <v>29</v>
      </c>
      <c r="DB65">
        <v>63.0674603175</v>
      </c>
      <c r="DC65">
        <v>630</v>
      </c>
      <c r="DD65">
        <v>4</v>
      </c>
      <c r="DE65">
        <v>151.7015873016</v>
      </c>
      <c r="DF65">
        <v>171</v>
      </c>
      <c r="DH65" t="s">
        <v>393</v>
      </c>
      <c r="DI65" t="s">
        <v>902</v>
      </c>
      <c r="DJ65" t="s">
        <v>907</v>
      </c>
      <c r="DK65">
        <v>258</v>
      </c>
      <c r="DL65">
        <v>44</v>
      </c>
      <c r="DM65">
        <v>65.542635658899997</v>
      </c>
      <c r="DN65">
        <v>511</v>
      </c>
      <c r="DO65">
        <v>6</v>
      </c>
      <c r="DP65">
        <v>140.81800391389999</v>
      </c>
      <c r="DQ65">
        <v>140.6666666667</v>
      </c>
    </row>
    <row r="66" spans="62:121" x14ac:dyDescent="0.2">
      <c r="BJ66" t="s">
        <v>390</v>
      </c>
      <c r="BK66" t="s">
        <v>390</v>
      </c>
      <c r="BL66">
        <v>73715</v>
      </c>
      <c r="BM66">
        <v>20865</v>
      </c>
      <c r="BN66">
        <v>108.61515295389999</v>
      </c>
      <c r="BO66">
        <v>239680</v>
      </c>
      <c r="BP66">
        <v>2815</v>
      </c>
      <c r="BQ66">
        <v>196.06734813080001</v>
      </c>
      <c r="BR66">
        <v>166.5115452931</v>
      </c>
      <c r="BS66">
        <v>71803</v>
      </c>
      <c r="BT66">
        <v>19148</v>
      </c>
      <c r="BU66">
        <v>105.6432878849</v>
      </c>
      <c r="BV66">
        <v>222527</v>
      </c>
      <c r="BW66">
        <v>2645</v>
      </c>
      <c r="BX66">
        <v>194.5717463499</v>
      </c>
      <c r="BY66">
        <v>162.78865784499999</v>
      </c>
      <c r="CA66" t="s">
        <v>394</v>
      </c>
      <c r="CB66" t="s">
        <v>925</v>
      </c>
      <c r="CC66" t="s">
        <v>1042</v>
      </c>
      <c r="CD66">
        <v>9833</v>
      </c>
      <c r="CE66">
        <v>2232</v>
      </c>
      <c r="CF66">
        <v>92.990847147400004</v>
      </c>
      <c r="CG66">
        <v>30813</v>
      </c>
      <c r="CH66">
        <v>350</v>
      </c>
      <c r="CI66">
        <v>150.5623924967</v>
      </c>
      <c r="CJ66">
        <v>141.96</v>
      </c>
      <c r="CL66" t="s">
        <v>394</v>
      </c>
      <c r="CM66" t="s">
        <v>910</v>
      </c>
      <c r="CN66" t="s">
        <v>916</v>
      </c>
      <c r="CO66">
        <v>528</v>
      </c>
      <c r="CP66">
        <v>50</v>
      </c>
      <c r="CQ66">
        <v>54.9734848485</v>
      </c>
      <c r="CR66">
        <v>4237</v>
      </c>
      <c r="CS66">
        <v>43</v>
      </c>
      <c r="CT66">
        <v>51.451026669800001</v>
      </c>
      <c r="CU66">
        <v>65.627906976700004</v>
      </c>
      <c r="CW66" t="s">
        <v>394</v>
      </c>
      <c r="CX66" t="s">
        <v>918</v>
      </c>
      <c r="CY66" t="s">
        <v>924</v>
      </c>
      <c r="CZ66">
        <v>204</v>
      </c>
      <c r="DA66">
        <v>33</v>
      </c>
      <c r="DB66">
        <v>71.857843137299994</v>
      </c>
      <c r="DC66">
        <v>498</v>
      </c>
      <c r="DD66">
        <v>4</v>
      </c>
      <c r="DE66">
        <v>147.58433734939999</v>
      </c>
      <c r="DF66">
        <v>141.5</v>
      </c>
      <c r="DH66" t="s">
        <v>394</v>
      </c>
      <c r="DI66" t="s">
        <v>902</v>
      </c>
      <c r="DJ66" t="s">
        <v>908</v>
      </c>
      <c r="DK66">
        <v>382</v>
      </c>
      <c r="DL66">
        <v>58</v>
      </c>
      <c r="DM66">
        <v>66.670157068099996</v>
      </c>
      <c r="DN66">
        <v>715</v>
      </c>
      <c r="DO66">
        <v>8</v>
      </c>
      <c r="DP66">
        <v>133.26853146849999</v>
      </c>
      <c r="DQ66">
        <v>133.5</v>
      </c>
    </row>
    <row r="67" spans="62:121" x14ac:dyDescent="0.2">
      <c r="BJ67" t="s">
        <v>551</v>
      </c>
      <c r="BK67" t="s">
        <v>390</v>
      </c>
      <c r="BL67">
        <v>21684</v>
      </c>
      <c r="BM67">
        <v>7107</v>
      </c>
      <c r="BN67">
        <v>120.4184652278</v>
      </c>
      <c r="BO67">
        <v>76474</v>
      </c>
      <c r="BP67">
        <v>975</v>
      </c>
      <c r="BQ67">
        <v>209.03571148360001</v>
      </c>
      <c r="BR67">
        <v>163.30051282049999</v>
      </c>
      <c r="BS67">
        <v>19890</v>
      </c>
      <c r="BT67">
        <v>5513</v>
      </c>
      <c r="BU67">
        <v>108.203670186</v>
      </c>
      <c r="BV67">
        <v>62031</v>
      </c>
      <c r="BW67">
        <v>862</v>
      </c>
      <c r="BX67">
        <v>205.2200512647</v>
      </c>
      <c r="BY67">
        <v>151.11136890949999</v>
      </c>
      <c r="CA67" t="s">
        <v>390</v>
      </c>
      <c r="CB67" t="s">
        <v>925</v>
      </c>
      <c r="CD67">
        <v>74497</v>
      </c>
      <c r="CE67">
        <v>20234</v>
      </c>
      <c r="CF67">
        <v>105.32182503990001</v>
      </c>
      <c r="CG67">
        <v>252413</v>
      </c>
      <c r="CH67">
        <v>2977</v>
      </c>
      <c r="CI67">
        <v>186.79956658329999</v>
      </c>
      <c r="CJ67">
        <v>157.34329862280001</v>
      </c>
      <c r="CL67" t="s">
        <v>390</v>
      </c>
      <c r="CM67" t="s">
        <v>910</v>
      </c>
      <c r="CO67">
        <v>4059</v>
      </c>
      <c r="CP67">
        <v>457</v>
      </c>
      <c r="CQ67">
        <v>63.807095343699999</v>
      </c>
      <c r="CR67">
        <v>32365</v>
      </c>
      <c r="CS67">
        <v>471</v>
      </c>
      <c r="CT67">
        <v>66.905638807399995</v>
      </c>
      <c r="CU67">
        <v>67.632696390700005</v>
      </c>
      <c r="CW67" t="s">
        <v>390</v>
      </c>
      <c r="CX67" t="s">
        <v>918</v>
      </c>
      <c r="CZ67">
        <v>1883</v>
      </c>
      <c r="DA67">
        <v>301</v>
      </c>
      <c r="DB67">
        <v>70.363781200199995</v>
      </c>
      <c r="DC67">
        <v>4764</v>
      </c>
      <c r="DD67">
        <v>61</v>
      </c>
      <c r="DE67">
        <v>145.7781276238</v>
      </c>
      <c r="DF67">
        <v>157.26229508200001</v>
      </c>
      <c r="DH67" t="s">
        <v>390</v>
      </c>
      <c r="DI67" t="s">
        <v>902</v>
      </c>
      <c r="DK67">
        <v>2506</v>
      </c>
      <c r="DL67">
        <v>383</v>
      </c>
      <c r="DM67">
        <v>65.639265762199997</v>
      </c>
      <c r="DN67">
        <v>5027</v>
      </c>
      <c r="DO67">
        <v>55</v>
      </c>
      <c r="DP67">
        <v>141.53351899739999</v>
      </c>
      <c r="DQ67">
        <v>139.78181818179999</v>
      </c>
    </row>
    <row r="68" spans="62:121" x14ac:dyDescent="0.2">
      <c r="BJ68" t="s">
        <v>317</v>
      </c>
      <c r="BK68" t="s">
        <v>705</v>
      </c>
      <c r="BL68">
        <v>2421</v>
      </c>
      <c r="BM68">
        <v>247</v>
      </c>
      <c r="BN68">
        <v>51.598513011199998</v>
      </c>
      <c r="BO68">
        <v>2437</v>
      </c>
      <c r="BP68">
        <v>45</v>
      </c>
      <c r="BQ68">
        <v>143.40664751739999</v>
      </c>
      <c r="BR68">
        <v>127.6</v>
      </c>
      <c r="BS68">
        <v>691</v>
      </c>
      <c r="BT68">
        <v>86</v>
      </c>
      <c r="BU68">
        <v>61.004341533999998</v>
      </c>
      <c r="BV68">
        <v>1923</v>
      </c>
      <c r="BW68">
        <v>17</v>
      </c>
      <c r="BX68">
        <v>144.41965678630001</v>
      </c>
      <c r="BY68">
        <v>103.4705882353</v>
      </c>
      <c r="CA68" t="s">
        <v>708</v>
      </c>
      <c r="CD68">
        <v>366703</v>
      </c>
      <c r="CE68">
        <v>91764</v>
      </c>
      <c r="CF68">
        <v>99.672825147300003</v>
      </c>
      <c r="CG68">
        <v>1296846</v>
      </c>
      <c r="CH68">
        <v>16052</v>
      </c>
      <c r="CI68">
        <v>171.00234646210001</v>
      </c>
      <c r="CJ68">
        <v>143.27952903069999</v>
      </c>
      <c r="CL68" t="s">
        <v>708</v>
      </c>
      <c r="CO68">
        <v>366703</v>
      </c>
      <c r="CP68">
        <v>91764</v>
      </c>
      <c r="CQ68">
        <v>99.672825147300003</v>
      </c>
      <c r="CR68">
        <v>1296846</v>
      </c>
      <c r="CS68">
        <v>16052</v>
      </c>
      <c r="CT68">
        <v>171.00234646210001</v>
      </c>
      <c r="CU68">
        <v>143.27952903069999</v>
      </c>
      <c r="CW68" t="s">
        <v>708</v>
      </c>
      <c r="CZ68">
        <v>366703</v>
      </c>
      <c r="DA68">
        <v>91764</v>
      </c>
      <c r="DB68">
        <v>99.672825147300003</v>
      </c>
      <c r="DC68">
        <v>1296846</v>
      </c>
      <c r="DD68">
        <v>16052</v>
      </c>
      <c r="DE68">
        <v>171.00234646210001</v>
      </c>
      <c r="DF68">
        <v>143.27952903069999</v>
      </c>
      <c r="DH68" t="s">
        <v>708</v>
      </c>
      <c r="DK68">
        <v>366703</v>
      </c>
      <c r="DL68">
        <v>91764</v>
      </c>
      <c r="DM68">
        <v>99.672825147300003</v>
      </c>
      <c r="DN68">
        <v>1296846</v>
      </c>
      <c r="DO68">
        <v>16052</v>
      </c>
      <c r="DP68">
        <v>171.00234646210001</v>
      </c>
      <c r="DQ68">
        <v>143.27952903069999</v>
      </c>
    </row>
    <row r="69" spans="62:121" x14ac:dyDescent="0.2">
      <c r="BJ69" t="s">
        <v>219</v>
      </c>
      <c r="BK69" t="s">
        <v>705</v>
      </c>
      <c r="BL69">
        <v>3563</v>
      </c>
      <c r="BM69">
        <v>297</v>
      </c>
      <c r="BN69">
        <v>57.438955935999999</v>
      </c>
      <c r="BO69">
        <v>12332</v>
      </c>
      <c r="BP69">
        <v>119</v>
      </c>
      <c r="BQ69">
        <v>166.74635095689999</v>
      </c>
      <c r="BR69">
        <v>128.54621848740001</v>
      </c>
      <c r="BS69">
        <v>3951</v>
      </c>
      <c r="BT69">
        <v>303</v>
      </c>
      <c r="BU69">
        <v>55.398380156899997</v>
      </c>
      <c r="BV69">
        <v>12340</v>
      </c>
      <c r="BW69">
        <v>120</v>
      </c>
      <c r="BX69">
        <v>166.92674230150001</v>
      </c>
      <c r="BY69">
        <v>128.75</v>
      </c>
    </row>
    <row r="70" spans="62:121" x14ac:dyDescent="0.2">
      <c r="BJ70" t="s">
        <v>705</v>
      </c>
      <c r="BK70" t="s">
        <v>705</v>
      </c>
      <c r="BL70">
        <v>10607</v>
      </c>
      <c r="BM70">
        <v>1270</v>
      </c>
      <c r="BN70">
        <v>60.803337418700004</v>
      </c>
      <c r="BO70">
        <v>23860</v>
      </c>
      <c r="BP70">
        <v>244</v>
      </c>
      <c r="BQ70">
        <v>150.68985750210001</v>
      </c>
      <c r="BR70">
        <v>134.78688524590001</v>
      </c>
      <c r="BS70">
        <v>10607</v>
      </c>
      <c r="BT70">
        <v>1270</v>
      </c>
      <c r="BU70">
        <v>60.803337418700004</v>
      </c>
      <c r="BV70">
        <v>23860</v>
      </c>
      <c r="BW70">
        <v>244</v>
      </c>
      <c r="BX70">
        <v>150.68985750210001</v>
      </c>
      <c r="BY70">
        <v>134.78688524590001</v>
      </c>
    </row>
    <row r="71" spans="62:121" x14ac:dyDescent="0.2">
      <c r="BJ71" t="s">
        <v>221</v>
      </c>
      <c r="BK71" t="s">
        <v>705</v>
      </c>
      <c r="BL71">
        <v>4623</v>
      </c>
      <c r="BM71">
        <v>726</v>
      </c>
      <c r="BN71">
        <v>68.216742375099997</v>
      </c>
      <c r="BO71">
        <v>9091</v>
      </c>
      <c r="BP71">
        <v>80</v>
      </c>
      <c r="BQ71">
        <v>130.86151138490001</v>
      </c>
      <c r="BR71">
        <v>148.11250000000001</v>
      </c>
      <c r="BS71">
        <v>5965</v>
      </c>
      <c r="BT71">
        <v>881</v>
      </c>
      <c r="BU71">
        <v>64.360100586800002</v>
      </c>
      <c r="BV71">
        <v>9597</v>
      </c>
      <c r="BW71">
        <v>107</v>
      </c>
      <c r="BX71">
        <v>131.06856309259999</v>
      </c>
      <c r="BY71">
        <v>146.53271028040001</v>
      </c>
    </row>
    <row r="72" spans="62:121" x14ac:dyDescent="0.2">
      <c r="BJ72" t="s">
        <v>217</v>
      </c>
      <c r="BK72" t="s">
        <v>706</v>
      </c>
      <c r="BL72">
        <v>5166</v>
      </c>
      <c r="BM72">
        <v>469</v>
      </c>
      <c r="BN72">
        <v>55.3478513357</v>
      </c>
      <c r="BO72">
        <v>40039</v>
      </c>
      <c r="BP72">
        <v>512</v>
      </c>
      <c r="BQ72">
        <v>54.885186942700003</v>
      </c>
      <c r="BR72">
        <v>64.064453125</v>
      </c>
      <c r="BS72">
        <v>5176</v>
      </c>
      <c r="BT72">
        <v>472</v>
      </c>
      <c r="BU72">
        <v>55.437210200899997</v>
      </c>
      <c r="BV72">
        <v>40134</v>
      </c>
      <c r="BW72">
        <v>515</v>
      </c>
      <c r="BX72">
        <v>55.197762495600003</v>
      </c>
      <c r="BY72">
        <v>64.636893203900001</v>
      </c>
    </row>
    <row r="73" spans="62:121" x14ac:dyDescent="0.2">
      <c r="BJ73" t="s">
        <v>232</v>
      </c>
      <c r="BK73" t="s">
        <v>706</v>
      </c>
      <c r="BL73">
        <v>515</v>
      </c>
      <c r="BM73">
        <v>223</v>
      </c>
      <c r="BN73">
        <v>158.75922330099999</v>
      </c>
      <c r="BO73">
        <v>5260</v>
      </c>
      <c r="BP73">
        <v>59</v>
      </c>
      <c r="BQ73">
        <v>68.080228136900004</v>
      </c>
      <c r="BR73">
        <v>105.7118644068</v>
      </c>
      <c r="BS73">
        <v>454</v>
      </c>
      <c r="BT73">
        <v>210</v>
      </c>
      <c r="BU73">
        <v>167.83700440530001</v>
      </c>
      <c r="BV73">
        <v>4903</v>
      </c>
      <c r="BW73">
        <v>47</v>
      </c>
      <c r="BX73">
        <v>60.155007138499997</v>
      </c>
      <c r="BY73">
        <v>89.659574468100004</v>
      </c>
    </row>
    <row r="74" spans="62:121" x14ac:dyDescent="0.2">
      <c r="BJ74" t="s">
        <v>218</v>
      </c>
      <c r="BK74" t="s">
        <v>706</v>
      </c>
      <c r="BL74">
        <v>6359</v>
      </c>
      <c r="BM74">
        <v>660</v>
      </c>
      <c r="BN74">
        <v>63.942915552800002</v>
      </c>
      <c r="BO74">
        <v>45393</v>
      </c>
      <c r="BP74">
        <v>761</v>
      </c>
      <c r="BQ74">
        <v>72.386513339100006</v>
      </c>
      <c r="BR74">
        <v>67.345597897499999</v>
      </c>
      <c r="BS74">
        <v>6391</v>
      </c>
      <c r="BT74">
        <v>670</v>
      </c>
      <c r="BU74">
        <v>64.175089970299993</v>
      </c>
      <c r="BV74">
        <v>45511</v>
      </c>
      <c r="BW74">
        <v>765</v>
      </c>
      <c r="BX74">
        <v>72.697787348099993</v>
      </c>
      <c r="BY74">
        <v>68.377777777800006</v>
      </c>
    </row>
    <row r="75" spans="62:121" x14ac:dyDescent="0.2">
      <c r="BJ75" t="s">
        <v>220</v>
      </c>
      <c r="BK75" t="s">
        <v>706</v>
      </c>
      <c r="BL75">
        <v>8012</v>
      </c>
      <c r="BM75">
        <v>521</v>
      </c>
      <c r="BN75">
        <v>51.332501248100002</v>
      </c>
      <c r="BO75">
        <v>52223</v>
      </c>
      <c r="BP75">
        <v>914</v>
      </c>
      <c r="BQ75">
        <v>64.616337629</v>
      </c>
      <c r="BR75">
        <v>57.266958424499997</v>
      </c>
      <c r="BS75">
        <v>8031</v>
      </c>
      <c r="BT75">
        <v>521</v>
      </c>
      <c r="BU75">
        <v>51.337691445600001</v>
      </c>
      <c r="BV75">
        <v>52368</v>
      </c>
      <c r="BW75">
        <v>919</v>
      </c>
      <c r="BX75">
        <v>64.879029178099998</v>
      </c>
      <c r="BY75">
        <v>57.474428726900001</v>
      </c>
    </row>
    <row r="76" spans="62:121" x14ac:dyDescent="0.2">
      <c r="BJ76" t="s">
        <v>706</v>
      </c>
      <c r="BK76" t="s">
        <v>706</v>
      </c>
      <c r="BL76">
        <v>20052</v>
      </c>
      <c r="BM76">
        <v>1873</v>
      </c>
      <c r="BN76">
        <v>59.125124675800002</v>
      </c>
      <c r="BO76">
        <v>142915</v>
      </c>
      <c r="BP76">
        <v>2246</v>
      </c>
      <c r="BQ76">
        <v>64.485533359000001</v>
      </c>
      <c r="BR76">
        <v>63.504007123800001</v>
      </c>
      <c r="BS76">
        <v>20052</v>
      </c>
      <c r="BT76">
        <v>1873</v>
      </c>
      <c r="BU76">
        <v>59.125124675800002</v>
      </c>
      <c r="BV76">
        <v>142916</v>
      </c>
      <c r="BW76">
        <v>2246</v>
      </c>
      <c r="BX76">
        <v>64.488097903699995</v>
      </c>
      <c r="BY76">
        <v>63.504007123800001</v>
      </c>
    </row>
    <row r="77" spans="62:121" x14ac:dyDescent="0.2">
      <c r="BJ77" t="s">
        <v>316</v>
      </c>
      <c r="BK77" t="s">
        <v>707</v>
      </c>
      <c r="BL77">
        <v>3031</v>
      </c>
      <c r="BM77">
        <v>366</v>
      </c>
      <c r="BN77">
        <v>59.821181128299997</v>
      </c>
      <c r="BO77">
        <v>3853</v>
      </c>
      <c r="BP77">
        <v>81</v>
      </c>
      <c r="BQ77">
        <v>123.615883727</v>
      </c>
      <c r="BR77">
        <v>138.2962962963</v>
      </c>
      <c r="BS77">
        <v>659</v>
      </c>
      <c r="BT77">
        <v>42</v>
      </c>
      <c r="BU77">
        <v>43.4476479514</v>
      </c>
      <c r="BV77">
        <v>625</v>
      </c>
      <c r="BW77">
        <v>9</v>
      </c>
      <c r="BX77">
        <v>189.12479999999999</v>
      </c>
      <c r="BY77">
        <v>180.3333333333</v>
      </c>
    </row>
    <row r="78" spans="62:121" x14ac:dyDescent="0.2">
      <c r="BJ78" t="s">
        <v>968</v>
      </c>
      <c r="BK78" t="s">
        <v>707</v>
      </c>
      <c r="BL78">
        <v>2879</v>
      </c>
      <c r="BM78">
        <v>329</v>
      </c>
      <c r="BN78">
        <v>60.493226814899998</v>
      </c>
      <c r="BO78">
        <v>10010</v>
      </c>
      <c r="BP78">
        <v>123</v>
      </c>
      <c r="BQ78">
        <v>118.09780219779999</v>
      </c>
      <c r="BR78">
        <v>104.0325203252</v>
      </c>
      <c r="BS78">
        <v>3868</v>
      </c>
      <c r="BT78">
        <v>452</v>
      </c>
      <c r="BU78">
        <v>60.188986556400003</v>
      </c>
      <c r="BV78">
        <v>12499</v>
      </c>
      <c r="BW78">
        <v>158</v>
      </c>
      <c r="BX78">
        <v>115.2670613649</v>
      </c>
      <c r="BY78">
        <v>108.1392405063</v>
      </c>
    </row>
    <row r="79" spans="62:121" x14ac:dyDescent="0.2">
      <c r="BJ79" t="s">
        <v>707</v>
      </c>
      <c r="BK79" t="s">
        <v>707</v>
      </c>
      <c r="BL79">
        <v>8845</v>
      </c>
      <c r="BM79">
        <v>1207</v>
      </c>
      <c r="BN79">
        <v>65.520293951400006</v>
      </c>
      <c r="BO79">
        <v>24004</v>
      </c>
      <c r="BP79">
        <v>268</v>
      </c>
      <c r="BQ79">
        <v>132.96525579070001</v>
      </c>
      <c r="BR79">
        <v>127.921641791</v>
      </c>
      <c r="BS79">
        <v>8845</v>
      </c>
      <c r="BT79">
        <v>1207</v>
      </c>
      <c r="BU79">
        <v>65.520293951400006</v>
      </c>
      <c r="BV79">
        <v>24004</v>
      </c>
      <c r="BW79">
        <v>268</v>
      </c>
      <c r="BX79">
        <v>132.96525579070001</v>
      </c>
      <c r="BY79">
        <v>127.921641791</v>
      </c>
    </row>
    <row r="80" spans="62:121" x14ac:dyDescent="0.2">
      <c r="BJ80" t="s">
        <v>969</v>
      </c>
      <c r="BK80" t="s">
        <v>707</v>
      </c>
      <c r="BL80">
        <v>2935</v>
      </c>
      <c r="BM80">
        <v>512</v>
      </c>
      <c r="BN80">
        <v>76.336967631999997</v>
      </c>
      <c r="BO80">
        <v>10141</v>
      </c>
      <c r="BP80">
        <v>64</v>
      </c>
      <c r="BQ80">
        <v>151.19288038650001</v>
      </c>
      <c r="BR80">
        <v>160.703125</v>
      </c>
      <c r="BS80">
        <v>4318</v>
      </c>
      <c r="BT80">
        <v>713</v>
      </c>
      <c r="BU80">
        <v>73.664659564600001</v>
      </c>
      <c r="BV80">
        <v>10880</v>
      </c>
      <c r="BW80">
        <v>101</v>
      </c>
      <c r="BX80">
        <v>150.0709558824</v>
      </c>
      <c r="BY80">
        <v>154.198019802</v>
      </c>
    </row>
    <row r="81" spans="62:77" x14ac:dyDescent="0.2">
      <c r="BJ81" t="s">
        <v>708</v>
      </c>
      <c r="BL81">
        <v>366703</v>
      </c>
      <c r="BM81">
        <v>91764</v>
      </c>
      <c r="BN81" s="154">
        <v>99.672825147300003</v>
      </c>
      <c r="BO81">
        <v>1296846</v>
      </c>
      <c r="BP81">
        <v>16052</v>
      </c>
      <c r="BQ81">
        <v>171.00234646210001</v>
      </c>
      <c r="BR81">
        <v>143.27952903069999</v>
      </c>
      <c r="BS81">
        <v>366703</v>
      </c>
      <c r="BT81">
        <v>91764</v>
      </c>
      <c r="BU81">
        <v>99.672825147300003</v>
      </c>
      <c r="BV81">
        <v>1296846</v>
      </c>
      <c r="BW81">
        <v>16052</v>
      </c>
      <c r="BX81">
        <v>171.00234646210001</v>
      </c>
      <c r="BY81">
        <v>143.27952903069999</v>
      </c>
    </row>
  </sheetData>
  <sheetProtection autoFilter="0"/>
  <dataConsolidate/>
  <pageMargins left="0.7" right="0.7" top="0.75" bottom="0.75" header="0.3" footer="0.3"/>
  <pageSetup orientation="portrait" r:id="rId1"/>
  <tableParts count="13">
    <tablePart r:id="rId2"/>
    <tablePart r:id="rId3"/>
    <tablePart r:id="rId4"/>
    <tablePart r:id="rId5"/>
    <tablePart r:id="rId6"/>
    <tablePart r:id="rId7"/>
    <tablePart r:id="rId8"/>
    <tablePart r:id="rId9"/>
    <tablePart r:id="rId10"/>
    <tablePart r:id="rId11"/>
    <tablePart r:id="rId12"/>
    <tablePart r:id="rId13"/>
    <tablePart r:id="rId1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Calendar_Year xmlns="c9744be7-b815-40bc-84fa-afc9c406d9bc">2015</Calendar_Year>
    <CP_Inventory xmlns="c9744be7-b815-40bc-84fa-afc9c406d9bc">366703</CP_Inventory>
    <Fiscal_Year xmlns="c9744be7-b815-40bc-84fa-afc9c406d9bc">2015</Fiscal_Year>
    <CP_Backlog xmlns="c9744be7-b815-40bc-84fa-afc9c406d9bc">91764</CP_Backlog>
    <Creation_date xmlns="c9744be7-b815-40bc-84fa-afc9c406d9bc">2015-09-08T00:00:00-04:00</Creation_date>
    <Data_date xmlns="c9744be7-b815-40bc-84fa-afc9c406d9bc">2015-09-05T00:00:00-04:00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Props1.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32F0326-63C8-4A60-891B-55B82B8D9BC0}">
  <ds:schemaRefs>
    <ds:schemaRef ds:uri="http://schemas.microsoft.com/sharepoint/v3/contenttype/forms"/>
  </ds:schemaRefs>
</ds:datastoreItem>
</file>

<file path=customXml/itemProps3.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4.xml><?xml version="1.0" encoding="utf-8"?>
<ds:datastoreItem xmlns:ds="http://schemas.openxmlformats.org/officeDocument/2006/customXml" ds:itemID="{702957D3-0785-447F-B2B9-DE4BF4DA9AC1}">
  <ds:schemaRefs>
    <ds:schemaRef ds:uri="c9744be7-b815-40bc-84fa-afc9c406d9bc"/>
    <ds:schemaRef ds:uri="http://schemas.microsoft.com/office/2006/documentManagement/types"/>
    <ds:schemaRef ds:uri="http://schemas.openxmlformats.org/package/2006/metadata/core-properties"/>
    <ds:schemaRef ds:uri="http://schemas.microsoft.com/office/2006/metadata/properties"/>
    <ds:schemaRef ds:uri="http://purl.org/dc/dcmitype/"/>
    <ds:schemaRef ds:uri="http://purl.org/dc/elements/1.1/"/>
    <ds:schemaRef ds:uri="http://purl.org/dc/terms/"/>
    <ds:schemaRef ds:uri="fef9c9dc-374b-4157-9e06-089f148416e5"/>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19</vt:i4>
      </vt:variant>
    </vt:vector>
  </HeadingPairs>
  <TitlesOfParts>
    <vt:vector size="26" baseType="lpstr">
      <vt:lpstr>Finding Data</vt:lpstr>
      <vt:lpstr>Transformation</vt:lpstr>
      <vt:lpstr>Rating Bundle Measures - SOJ</vt:lpstr>
      <vt:lpstr>Rating Bundle Measures - SOO</vt:lpstr>
      <vt:lpstr>Rating Bundle Measures - STATE</vt:lpstr>
      <vt:lpstr>Traditional Aggregate (TA)</vt:lpstr>
      <vt:lpstr>TA-Regional Office</vt:lpstr>
      <vt:lpstr>Districts</vt:lpstr>
      <vt:lpstr>'Finding Data'!Print_Area</vt:lpstr>
      <vt:lpstr>'Rating Bundle Measures - SOJ'!Print_Area</vt:lpstr>
      <vt:lpstr>'Rating Bundle Measures - SOO'!Print_Area</vt:lpstr>
      <vt:lpstr>'Rating Bundle Measures - STATE'!Print_Area</vt:lpstr>
      <vt:lpstr>'Traditional Aggregate (TA)'!Print_Area</vt:lpstr>
      <vt:lpstr>Transformation!Print_Area</vt:lpstr>
      <vt:lpstr>'Rating Bundle Measures - SOJ'!Print_Titles</vt:lpstr>
      <vt:lpstr>'Rating Bundle Measures - SOO'!Print_Titles</vt:lpstr>
      <vt:lpstr>'Rating Bundle Measures - STATE'!Print_Titles</vt:lpstr>
      <vt:lpstr>'TA-Regional Office'!Print_Titles</vt:lpstr>
      <vt:lpstr>'TA-State'!Print_Titles</vt:lpstr>
      <vt:lpstr>'Traditional Aggregate (TA)'!Print_Titles</vt:lpstr>
      <vt:lpstr>RB_SOJ</vt:lpstr>
      <vt:lpstr>RB_SOO</vt:lpstr>
      <vt:lpstr>RB_STATE</vt:lpstr>
      <vt:lpstr>TRAD_AGG_NAT</vt:lpstr>
      <vt:lpstr>TRAD_AGG_RO</vt:lpstr>
      <vt:lpstr>TRAD_AGG_STATE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September 7, 2015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Neal, James  VBACO</cp:lastModifiedBy>
  <cp:lastPrinted>2015-06-19T18:10:05Z</cp:lastPrinted>
  <dcterms:created xsi:type="dcterms:W3CDTF">2009-08-25T18:46:26Z</dcterms:created>
  <dcterms:modified xsi:type="dcterms:W3CDTF">2015-09-08T13:13:18Z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Date Reviewed">
    <vt:lpwstr>20150302</vt:lpwstr>
  </property>
  <property fmtid="{D5CDD505-2E9C-101B-9397-08002B2CF9AE}" pid="6" name="Type">
    <vt:lpwstr>Report</vt:lpwstr>
  </property>
  <property fmtid="{D5CDD505-2E9C-101B-9397-08002B2CF9AE}" pid="7" name="ContentTypeId">
    <vt:lpwstr>0x0101005FE5213B5EDB884398141553EBAD7133</vt:lpwstr>
  </property>
  <property fmtid="{D5CDD505-2E9C-101B-9397-08002B2CF9AE}" pid="8" name="_dlc_DocIdItemGuid">
    <vt:lpwstr>b35c4e0f-4bb3-4860-9a7e-1b9831f94b05</vt:lpwstr>
  </property>
</Properties>
</file>