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3195" yWindow="690" windowWidth="15330"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H22" i="35" s="1"/>
  <c r="I5" i="7"/>
  <c r="L11" i="35"/>
  <c r="G7" i="35"/>
  <c r="H30" i="35" l="1"/>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<sst xmlns="http://schemas.openxmlformats.org/spreadsheetml/2006/main" count="4090" uniqueCount="1066">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</sst>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2">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8" fillId="0" borderId="20" xfId="0" applyFont="1" applyFill="1" applyBorder="1" applyAlignment="1" applyProtection="1">
      <alignment horizontal="center"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8" fillId="38" borderId="8" xfId="0" applyFont="1" applyFill="1" applyBorder="1" applyProtection="1">
      <protection hidden="1"/>
    </xf>
    <xf numFmtId="0" fontId="8" fillId="38" borderId="0" xfId="0" applyFont="1" applyFill="1" applyBorder="1" applyProtection="1">
      <protection hidden="1"/>
    </xf>
    <xf numFmtId="0" fontId="8" fillId="38" borderId="4" xfId="0" applyFont="1" applyFill="1" applyBorder="1" applyProtection="1">
      <protection hidden="1"/>
    </xf>
    <xf numFmtId="4" fontId="8" fillId="38" borderId="8" xfId="0" applyNumberFormat="1" applyFont="1" applyFill="1" applyBorder="1" applyProtection="1">
      <protection hidden="1"/>
    </xf>
    <xf numFmtId="4" fontId="8" fillId="38" borderId="0" xfId="0" applyNumberFormat="1" applyFont="1" applyFill="1" applyBorder="1" applyProtection="1">
      <protection hidden="1"/>
    </xf>
    <xf numFmtId="4" fontId="8" fillId="38" borderId="4" xfId="0" applyNumberFormat="1" applyFont="1" applyFill="1" applyBorder="1" applyProtection="1">
      <protection hidden="1"/>
    </xf>
    <xf numFmtId="4" fontId="8" fillId="38" borderId="15" xfId="0" applyNumberFormat="1" applyFont="1" applyFill="1" applyBorder="1" applyProtection="1">
      <protection hidden="1"/>
    </xf>
    <xf numFmtId="4" fontId="8" fillId="38" borderId="16" xfId="0" applyNumberFormat="1" applyFont="1" applyFill="1" applyBorder="1" applyProtection="1">
      <protection hidden="1"/>
    </xf>
    <xf numFmtId="4" fontId="8"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8" fillId="38" borderId="53" xfId="0" applyNumberFormat="1" applyFont="1" applyFill="1" applyBorder="1" applyProtection="1">
      <protection hidden="1"/>
    </xf>
    <xf numFmtId="4" fontId="8" fillId="38" borderId="50" xfId="0" applyNumberFormat="1" applyFont="1" applyFill="1" applyBorder="1" applyProtection="1">
      <protection hidden="1"/>
    </xf>
    <xf numFmtId="4" fontId="8" fillId="38" borderId="51" xfId="0" applyNumberFormat="1" applyFont="1" applyFill="1" applyBorder="1" applyProtection="1">
      <protection hidden="1"/>
    </xf>
    <xf numFmtId="4" fontId="8" fillId="38" borderId="25" xfId="0" applyNumberFormat="1" applyFont="1" applyFill="1" applyBorder="1" applyProtection="1">
      <protection hidden="1"/>
    </xf>
    <xf numFmtId="4" fontId="8" fillId="38" borderId="43" xfId="0" applyNumberFormat="1" applyFont="1" applyFill="1" applyBorder="1" applyProtection="1">
      <protection hidden="1"/>
    </xf>
    <xf numFmtId="4" fontId="8"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172" formatCode="m/d/yyyy\ h:mm"/>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73" formatCode="m/d/yyyy"/>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5"/>
    <tableColumn id="4" uniqueName="4" name="RO" queryTableFieldId="4"/>
    <tableColumn id="5" uniqueName="5" name="COMP3_ISSUES_WGHTED_ACC" queryTableFieldId="5" dataDxfId="14"/>
    <tableColumn id="6" uniqueName="6" name="COMP3_RTNG_CLM_WGHTED_ACC" queryTableFieldId="6" dataDxfId="13"/>
    <tableColumn id="7" uniqueName="7" name="COMP12_RTNG_CLM_WGHTED_ACC" queryTableFieldId="7" dataDxfId="12"/>
    <tableColumn id="8" uniqueName="8" name="COMP12_RTNG_CLM_MOE" queryTableFieldId="8" dataDxfId="11"/>
    <tableColumn id="9" uniqueName="9" name="COMP12_AUTH_CLM_WGHTED_ACC" queryTableFieldId="9" dataDxfId="10"/>
    <tableColumn id="10" uniqueName="10" name="COMP12_AUTH_CLM_MOE" queryTableFieldId="10" dataDxfId="9"/>
    <tableColumn id="11" uniqueName="11" name="PMC3_RTNG_CLM_WGHTED_ACC" queryTableFieldId="11" dataDxfId="8"/>
    <tableColumn id="12" uniqueName="12" name="PMC12_RTNG_CLM_WGHTED_ACC" queryTableFieldId="12" dataDxfId="7"/>
    <tableColumn id="13" uniqueName="13" name="PMC12_RTNG_CLM_MOE" queryTableFieldId="13" dataDxfId="6"/>
    <tableColumn id="14" uniqueName="14" name="PMC12_AUTH_CLM_WGHTED_ACC" queryTableFieldId="14" dataDxfId="5"/>
    <tableColumn id="15" uniqueName="15" name="PMC12_AUTH_CLM_MOE" queryTableFieldId="15" dataDxfId="4"/>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4" t="s">
        <v>310</v>
      </c>
      <c r="B1" s="275"/>
      <c r="C1" s="275"/>
      <c r="D1" s="275"/>
      <c r="E1" s="275"/>
      <c r="F1" s="275"/>
      <c r="G1" s="275"/>
      <c r="H1" s="275"/>
      <c r="I1" s="275"/>
      <c r="J1" s="275"/>
      <c r="K1" s="275"/>
      <c r="L1" s="275"/>
      <c r="M1" s="275"/>
      <c r="N1" s="275"/>
      <c r="O1" s="275"/>
      <c r="P1" s="276"/>
    </row>
    <row r="2" spans="1:16" ht="29.25" customHeight="1" x14ac:dyDescent="0.2">
      <c r="A2" s="268" t="s">
        <v>312</v>
      </c>
      <c r="B2" s="269"/>
      <c r="C2" s="269"/>
      <c r="D2" s="269"/>
      <c r="E2" s="269"/>
      <c r="F2" s="269"/>
      <c r="G2" s="269"/>
      <c r="H2" s="269"/>
      <c r="I2" s="269"/>
      <c r="J2" s="269"/>
      <c r="K2" s="269"/>
      <c r="L2" s="269"/>
      <c r="M2" s="269"/>
      <c r="N2" s="270"/>
      <c r="O2" s="277"/>
      <c r="P2" s="278"/>
    </row>
    <row r="3" spans="1:16" x14ac:dyDescent="0.2">
      <c r="A3" s="268"/>
      <c r="B3" s="269"/>
      <c r="C3" s="269"/>
      <c r="D3" s="269"/>
      <c r="E3" s="269"/>
      <c r="F3" s="269"/>
      <c r="G3" s="269"/>
      <c r="H3" s="269"/>
      <c r="I3" s="269"/>
      <c r="J3" s="269"/>
      <c r="K3" s="269"/>
      <c r="L3" s="269"/>
      <c r="M3" s="269"/>
      <c r="N3" s="270"/>
      <c r="O3" s="279"/>
      <c r="P3" s="280"/>
    </row>
    <row r="4" spans="1:16" x14ac:dyDescent="0.2">
      <c r="A4" s="268"/>
      <c r="B4" s="269"/>
      <c r="C4" s="269"/>
      <c r="D4" s="269"/>
      <c r="E4" s="269"/>
      <c r="F4" s="269"/>
      <c r="G4" s="269"/>
      <c r="H4" s="269"/>
      <c r="I4" s="269"/>
      <c r="J4" s="269"/>
      <c r="K4" s="269"/>
      <c r="L4" s="269"/>
      <c r="M4" s="269"/>
      <c r="N4" s="270"/>
      <c r="O4" s="279"/>
      <c r="P4" s="280"/>
    </row>
    <row r="5" spans="1:16" x14ac:dyDescent="0.2">
      <c r="A5" s="268"/>
      <c r="B5" s="269"/>
      <c r="C5" s="269"/>
      <c r="D5" s="269"/>
      <c r="E5" s="269"/>
      <c r="F5" s="269"/>
      <c r="G5" s="269"/>
      <c r="H5" s="269"/>
      <c r="I5" s="269"/>
      <c r="J5" s="269"/>
      <c r="K5" s="269"/>
      <c r="L5" s="269"/>
      <c r="M5" s="269"/>
      <c r="N5" s="270"/>
      <c r="O5" s="279"/>
      <c r="P5" s="280"/>
    </row>
    <row r="6" spans="1:16" x14ac:dyDescent="0.2">
      <c r="A6" s="268"/>
      <c r="B6" s="269"/>
      <c r="C6" s="269"/>
      <c r="D6" s="269"/>
      <c r="E6" s="269"/>
      <c r="F6" s="269"/>
      <c r="G6" s="269"/>
      <c r="H6" s="269"/>
      <c r="I6" s="269"/>
      <c r="J6" s="269"/>
      <c r="K6" s="269"/>
      <c r="L6" s="269"/>
      <c r="M6" s="269"/>
      <c r="N6" s="270"/>
      <c r="O6" s="279"/>
      <c r="P6" s="280"/>
    </row>
    <row r="7" spans="1:16" ht="18" customHeight="1" thickBot="1" x14ac:dyDescent="0.25">
      <c r="A7" s="271"/>
      <c r="B7" s="272"/>
      <c r="C7" s="272"/>
      <c r="D7" s="272"/>
      <c r="E7" s="272"/>
      <c r="F7" s="272"/>
      <c r="G7" s="272"/>
      <c r="H7" s="272"/>
      <c r="I7" s="272"/>
      <c r="J7" s="272"/>
      <c r="K7" s="272"/>
      <c r="L7" s="272"/>
      <c r="M7" s="272"/>
      <c r="N7" s="273"/>
      <c r="O7" s="281"/>
      <c r="P7" s="282"/>
    </row>
    <row r="8" spans="1:16" ht="18.75" thickBot="1" x14ac:dyDescent="0.25">
      <c r="A8" s="265" t="s">
        <v>308</v>
      </c>
      <c r="B8" s="266"/>
      <c r="C8" s="266"/>
      <c r="D8" s="266"/>
      <c r="E8" s="266"/>
      <c r="F8" s="266"/>
      <c r="G8" s="267"/>
      <c r="H8" s="265" t="s">
        <v>309</v>
      </c>
      <c r="I8" s="266"/>
      <c r="J8" s="266"/>
      <c r="K8" s="266"/>
      <c r="L8" s="266"/>
      <c r="M8" s="266"/>
      <c r="N8" s="266"/>
      <c r="O8" s="266"/>
      <c r="P8" s="267"/>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1057</v>
      </c>
      <c r="C2" t="s">
        <v>510</v>
      </c>
      <c r="D2" t="s">
        <v>926</v>
      </c>
      <c r="E2" t="s">
        <v>927</v>
      </c>
      <c r="F2" t="s">
        <v>928</v>
      </c>
      <c r="G2" t="s">
        <v>929</v>
      </c>
      <c r="H2" t="s">
        <v>931</v>
      </c>
      <c r="I2" t="s">
        <v>1051</v>
      </c>
      <c r="J2" t="s">
        <v>932</v>
      </c>
      <c r="K2" t="s">
        <v>933</v>
      </c>
      <c r="L2" t="s">
        <v>930</v>
      </c>
      <c r="M2" t="s">
        <v>935</v>
      </c>
      <c r="N2" t="s">
        <v>936</v>
      </c>
      <c r="O2" t="s">
        <v>937</v>
      </c>
      <c r="P2" t="s">
        <v>938</v>
      </c>
    </row>
    <row r="3" spans="2:16" x14ac:dyDescent="0.2">
      <c r="B3" t="s">
        <v>594</v>
      </c>
      <c r="C3" t="s">
        <v>412</v>
      </c>
      <c r="D3" s="18">
        <v>42264.529374999998</v>
      </c>
      <c r="E3" t="s">
        <v>169</v>
      </c>
      <c r="F3" s="19">
        <v>0.97451259407044455</v>
      </c>
      <c r="G3" s="19">
        <v>0.89350251317886475</v>
      </c>
      <c r="H3" s="19">
        <v>0.90170531267695597</v>
      </c>
      <c r="I3" s="19">
        <v>4.7308012989205964E-2</v>
      </c>
      <c r="J3" s="19">
        <v>0.93942775103295273</v>
      </c>
      <c r="K3" s="19">
        <v>3.5451532024109868E-2</v>
      </c>
      <c r="L3" s="19"/>
      <c r="M3" s="19"/>
      <c r="N3" s="19"/>
      <c r="O3" s="19"/>
      <c r="P3" s="19"/>
    </row>
    <row r="4" spans="2:16" x14ac:dyDescent="0.2">
      <c r="B4" t="s">
        <v>653</v>
      </c>
      <c r="C4" t="s">
        <v>412</v>
      </c>
      <c r="D4" s="18">
        <v>42264.529374999998</v>
      </c>
      <c r="E4" t="s">
        <v>194</v>
      </c>
      <c r="F4" s="19">
        <v>0.86421433928996716</v>
      </c>
      <c r="G4" s="19">
        <v>0.85311229496705454</v>
      </c>
      <c r="H4" s="19">
        <v>0.86918776578723145</v>
      </c>
      <c r="I4" s="19">
        <v>4.7630981322871052E-2</v>
      </c>
      <c r="J4" s="19">
        <v>0.94321759272761663</v>
      </c>
      <c r="K4" s="19">
        <v>3.4927279991864353E-2</v>
      </c>
      <c r="L4" s="19"/>
      <c r="M4" s="19"/>
      <c r="N4" s="19"/>
      <c r="O4" s="19"/>
      <c r="P4" s="19"/>
    </row>
    <row r="5" spans="2:16" x14ac:dyDescent="0.2">
      <c r="B5" t="s">
        <v>547</v>
      </c>
      <c r="C5" t="s">
        <v>388</v>
      </c>
      <c r="D5" s="18">
        <v>42264.529374999998</v>
      </c>
      <c r="E5" t="s">
        <v>151</v>
      </c>
      <c r="F5" s="19">
        <v>0.96131538970761654</v>
      </c>
      <c r="G5" s="19">
        <v>0.86017056810867576</v>
      </c>
      <c r="H5" s="19">
        <v>0.89921632132111506</v>
      </c>
      <c r="I5" s="19">
        <v>4.3657751396860289E-2</v>
      </c>
      <c r="J5" s="19">
        <v>0.83797821599828648</v>
      </c>
      <c r="K5" s="19">
        <v>5.2172084507133863E-2</v>
      </c>
      <c r="L5" s="19"/>
      <c r="M5" s="19"/>
      <c r="N5" s="19"/>
      <c r="O5" s="19"/>
      <c r="P5" s="19"/>
    </row>
    <row r="6" spans="2:16" x14ac:dyDescent="0.2">
      <c r="B6" t="s">
        <v>541</v>
      </c>
      <c r="C6" t="s">
        <v>377</v>
      </c>
      <c r="D6" s="18">
        <v>42264.529374999998</v>
      </c>
      <c r="E6" t="s">
        <v>149</v>
      </c>
      <c r="F6" s="19">
        <v>0.94848971413170813</v>
      </c>
      <c r="G6" s="19">
        <v>0.81051553268534404</v>
      </c>
      <c r="H6" s="19">
        <v>0.83324962708019168</v>
      </c>
      <c r="I6" s="19">
        <v>4.8290081345219706E-2</v>
      </c>
      <c r="J6" s="19">
        <v>0.84338225152880331</v>
      </c>
      <c r="K6" s="19">
        <v>5.365842347724744E-2</v>
      </c>
      <c r="L6" s="19"/>
      <c r="M6" s="19"/>
      <c r="N6" s="19"/>
      <c r="O6" s="19"/>
      <c r="P6" s="19"/>
    </row>
    <row r="7" spans="2:16" x14ac:dyDescent="0.2">
      <c r="B7" t="s">
        <v>609</v>
      </c>
      <c r="C7" t="s">
        <v>412</v>
      </c>
      <c r="D7" s="18">
        <v>42264.529374999998</v>
      </c>
      <c r="E7" t="s">
        <v>175</v>
      </c>
      <c r="F7" s="19">
        <v>0.98286472051283624</v>
      </c>
      <c r="G7" s="19">
        <v>0.9248257372654155</v>
      </c>
      <c r="H7" s="19">
        <v>0.92016678551620312</v>
      </c>
      <c r="I7" s="19">
        <v>4.6545719975794736E-2</v>
      </c>
      <c r="J7" s="19">
        <v>0.97068777486168256</v>
      </c>
      <c r="K7" s="19">
        <v>2.635344026174323E-2</v>
      </c>
      <c r="L7" s="19"/>
      <c r="M7" s="19"/>
      <c r="N7" s="19"/>
      <c r="O7" s="19"/>
      <c r="P7" s="19"/>
    </row>
    <row r="8" spans="2:16" x14ac:dyDescent="0.2">
      <c r="B8" t="s">
        <v>520</v>
      </c>
      <c r="C8" t="s">
        <v>377</v>
      </c>
      <c r="D8" s="18">
        <v>42264.529374999998</v>
      </c>
      <c r="E8" t="s">
        <v>142</v>
      </c>
      <c r="F8" s="19">
        <v>0.86809564584887078</v>
      </c>
      <c r="G8" s="19">
        <v>0.75807019603239822</v>
      </c>
      <c r="H8" s="19">
        <v>0.83051908217150094</v>
      </c>
      <c r="I8" s="19">
        <v>5.7853653568502139E-2</v>
      </c>
      <c r="J8" s="19">
        <v>0.9009942095054968</v>
      </c>
      <c r="K8" s="19">
        <v>5.588256051773989E-2</v>
      </c>
      <c r="L8" s="19"/>
      <c r="M8" s="19"/>
      <c r="N8" s="19"/>
      <c r="O8" s="19"/>
      <c r="P8" s="19"/>
    </row>
    <row r="9" spans="2:16" x14ac:dyDescent="0.2">
      <c r="B9" t="s">
        <v>528</v>
      </c>
      <c r="C9" t="s">
        <v>377</v>
      </c>
      <c r="D9" s="18">
        <v>42264.529374999998</v>
      </c>
      <c r="E9" t="s">
        <v>145</v>
      </c>
      <c r="F9" s="19">
        <v>0.95347640889941976</v>
      </c>
      <c r="G9" s="19">
        <v>0.85593254528583529</v>
      </c>
      <c r="H9" s="19">
        <v>0.88603611226754297</v>
      </c>
      <c r="I9" s="19">
        <v>4.7189400750131651E-2</v>
      </c>
      <c r="J9" s="19">
        <v>0.88386871550414847</v>
      </c>
      <c r="K9" s="19">
        <v>4.4963005748574363E-2</v>
      </c>
      <c r="L9" s="19"/>
      <c r="M9" s="19"/>
      <c r="N9" s="19"/>
      <c r="O9" s="19"/>
      <c r="P9" s="19"/>
    </row>
    <row r="10" spans="2:16" x14ac:dyDescent="0.2">
      <c r="B10" t="s">
        <v>645</v>
      </c>
      <c r="C10" t="s">
        <v>393</v>
      </c>
      <c r="D10" s="18">
        <v>42264.529374999998</v>
      </c>
      <c r="E10" t="s">
        <v>681</v>
      </c>
      <c r="F10" s="19">
        <v>0.96640129220643611</v>
      </c>
      <c r="G10" s="19">
        <v>0.85064799642484734</v>
      </c>
      <c r="H10" s="19">
        <v>0.86689712650362694</v>
      </c>
      <c r="I10" s="19">
        <v>5.3474236049866446E-2</v>
      </c>
      <c r="J10" s="19">
        <v>0.94528352618305855</v>
      </c>
      <c r="K10" s="19">
        <v>3.1542854696820014E-2</v>
      </c>
      <c r="L10" s="19"/>
      <c r="M10" s="19"/>
      <c r="N10" s="19"/>
      <c r="O10" s="19"/>
      <c r="P10" s="19"/>
    </row>
    <row r="11" spans="2:16" x14ac:dyDescent="0.2">
      <c r="B11" t="s">
        <v>575</v>
      </c>
      <c r="C11" t="s">
        <v>398</v>
      </c>
      <c r="D11" s="18">
        <v>42264.529374999998</v>
      </c>
      <c r="E11" t="s">
        <v>161</v>
      </c>
      <c r="F11" s="19">
        <v>0.93537310586687183</v>
      </c>
      <c r="G11" s="19">
        <v>0.86998835570264144</v>
      </c>
      <c r="H11" s="19">
        <v>0.8834651037175747</v>
      </c>
      <c r="I11" s="19">
        <v>4.4663540865191254E-2</v>
      </c>
      <c r="J11" s="19">
        <v>0.84913991045118808</v>
      </c>
      <c r="K11" s="19">
        <v>5.2372043630710866E-2</v>
      </c>
      <c r="L11" s="254"/>
      <c r="M11" s="254"/>
      <c r="N11" s="254"/>
      <c r="O11" s="254"/>
      <c r="P11" s="254"/>
    </row>
    <row r="12" spans="2:16" x14ac:dyDescent="0.2">
      <c r="B12" t="s">
        <v>567</v>
      </c>
      <c r="C12" t="s">
        <v>398</v>
      </c>
      <c r="D12" s="18">
        <v>42264.529374999998</v>
      </c>
      <c r="E12" t="s">
        <v>158</v>
      </c>
      <c r="F12" s="19">
        <v>0.97330503436079119</v>
      </c>
      <c r="G12" s="19">
        <v>0.90064456721915287</v>
      </c>
      <c r="H12" s="19">
        <v>0.93612561284032936</v>
      </c>
      <c r="I12" s="19">
        <v>3.6830070131558867E-2</v>
      </c>
      <c r="J12" s="19">
        <v>0.88711911645075792</v>
      </c>
      <c r="K12" s="19">
        <v>5.3966556826567355E-2</v>
      </c>
      <c r="L12" s="19"/>
      <c r="M12" s="19"/>
      <c r="N12" s="19"/>
      <c r="O12" s="19"/>
      <c r="P12" s="19"/>
    </row>
    <row r="13" spans="2:16" x14ac:dyDescent="0.2">
      <c r="B13" t="s">
        <v>555</v>
      </c>
      <c r="C13" t="s">
        <v>388</v>
      </c>
      <c r="D13" s="18">
        <v>42264.529374999998</v>
      </c>
      <c r="E13" t="s">
        <v>154</v>
      </c>
      <c r="F13" s="19">
        <v>0.99349869751994058</v>
      </c>
      <c r="G13" s="19">
        <v>0.96544030891343979</v>
      </c>
      <c r="H13" s="19">
        <v>0.9465631416900453</v>
      </c>
      <c r="I13" s="19">
        <v>4.2122343347994758E-2</v>
      </c>
      <c r="J13" s="19">
        <v>0.94523538376757454</v>
      </c>
      <c r="K13" s="19">
        <v>3.8398443962053296E-2</v>
      </c>
      <c r="L13" s="19"/>
      <c r="M13" s="19"/>
      <c r="N13" s="19"/>
      <c r="O13" s="19"/>
      <c r="P13" s="19"/>
    </row>
    <row r="14" spans="2:16" x14ac:dyDescent="0.2">
      <c r="B14" t="s">
        <v>393</v>
      </c>
      <c r="C14" t="s">
        <v>393</v>
      </c>
      <c r="D14" s="18">
        <v>42264.529374999998</v>
      </c>
      <c r="E14" t="s">
        <v>672</v>
      </c>
      <c r="F14" s="19">
        <v>0.96080521958205112</v>
      </c>
      <c r="G14" s="19">
        <v>0.88181373048102363</v>
      </c>
      <c r="H14" s="19">
        <v>0.91278815689131454</v>
      </c>
      <c r="I14" s="19">
        <v>1.5710370856840045E-2</v>
      </c>
      <c r="J14" s="19">
        <v>0.93373324239788258</v>
      </c>
      <c r="K14" s="19">
        <v>1.5990206009962406E-2</v>
      </c>
      <c r="L14" s="19"/>
      <c r="M14" s="19"/>
      <c r="N14" s="19"/>
      <c r="O14" s="19"/>
      <c r="P14" s="19"/>
    </row>
    <row r="15" spans="2:16" x14ac:dyDescent="0.2">
      <c r="B15" t="s">
        <v>592</v>
      </c>
      <c r="C15" t="s">
        <v>393</v>
      </c>
      <c r="D15" s="18">
        <v>42264.529374999998</v>
      </c>
      <c r="E15" t="s">
        <v>168</v>
      </c>
      <c r="F15" s="19">
        <v>0.97007642777294778</v>
      </c>
      <c r="G15" s="19">
        <v>0.87972545953561854</v>
      </c>
      <c r="H15" s="19">
        <v>0.92889710123122438</v>
      </c>
      <c r="I15" s="19">
        <v>4.0095950494880551E-2</v>
      </c>
      <c r="J15" s="19">
        <v>0.92517424854270902</v>
      </c>
      <c r="K15" s="19">
        <v>4.0318865815105055E-2</v>
      </c>
      <c r="L15" s="19"/>
      <c r="M15" s="19"/>
      <c r="N15" s="19"/>
      <c r="O15" s="19"/>
      <c r="P15" s="19"/>
    </row>
    <row r="16" spans="2:16" x14ac:dyDescent="0.2">
      <c r="B16" t="s">
        <v>584</v>
      </c>
      <c r="C16" t="s">
        <v>398</v>
      </c>
      <c r="D16" s="18">
        <v>42264.529374999998</v>
      </c>
      <c r="E16" t="s">
        <v>165</v>
      </c>
      <c r="F16" s="19">
        <v>0.99263432542889463</v>
      </c>
      <c r="G16" s="19">
        <v>1</v>
      </c>
      <c r="H16" s="19">
        <v>0.98200741847976536</v>
      </c>
      <c r="I16" s="19">
        <v>1.6027546802010236E-2</v>
      </c>
      <c r="J16" s="19">
        <v>0.97627150045460775</v>
      </c>
      <c r="K16" s="19">
        <v>2.0918914650465369E-2</v>
      </c>
      <c r="L16" s="254"/>
      <c r="M16" s="254"/>
      <c r="N16" s="254"/>
      <c r="O16" s="254"/>
      <c r="P16" s="254"/>
    </row>
    <row r="17" spans="2:16" x14ac:dyDescent="0.2">
      <c r="B17" t="s">
        <v>577</v>
      </c>
      <c r="C17" t="s">
        <v>398</v>
      </c>
      <c r="D17" s="18">
        <v>42264.529374999998</v>
      </c>
      <c r="E17" t="s">
        <v>162</v>
      </c>
      <c r="F17" s="19">
        <v>0.96187451418936876</v>
      </c>
      <c r="G17" s="19">
        <v>0.89387536268449608</v>
      </c>
      <c r="H17" s="19">
        <v>0.89124772434735344</v>
      </c>
      <c r="I17" s="19">
        <v>4.3973792053137471E-2</v>
      </c>
      <c r="J17" s="19">
        <v>0.8976361590082057</v>
      </c>
      <c r="K17" s="19">
        <v>4.7808604626766282E-2</v>
      </c>
      <c r="L17" s="19"/>
      <c r="M17" s="19"/>
      <c r="N17" s="19"/>
      <c r="O17" s="19"/>
      <c r="P17" s="19"/>
    </row>
    <row r="18" spans="2:16" x14ac:dyDescent="0.2">
      <c r="B18" t="s">
        <v>641</v>
      </c>
      <c r="C18" t="s">
        <v>398</v>
      </c>
      <c r="D18" s="18">
        <v>42264.529374999998</v>
      </c>
      <c r="E18" t="s">
        <v>189</v>
      </c>
      <c r="F18" s="19">
        <v>0.97586877953850437</v>
      </c>
      <c r="G18" s="19">
        <v>0.90131878126421094</v>
      </c>
      <c r="H18" s="19">
        <v>0.95496835476479058</v>
      </c>
      <c r="I18" s="19">
        <v>3.3470114767565985E-2</v>
      </c>
      <c r="J18" s="19">
        <v>0.96568194306979005</v>
      </c>
      <c r="K18" s="19">
        <v>2.8173336967409101E-2</v>
      </c>
      <c r="L18" s="19"/>
      <c r="M18" s="19"/>
      <c r="N18" s="19"/>
      <c r="O18" s="19"/>
      <c r="P18" s="19"/>
    </row>
    <row r="19" spans="2:16" x14ac:dyDescent="0.2">
      <c r="B19" t="s">
        <v>639</v>
      </c>
      <c r="C19" t="s">
        <v>393</v>
      </c>
      <c r="D19" s="18">
        <v>42264.529374999998</v>
      </c>
      <c r="E19" t="s">
        <v>188</v>
      </c>
      <c r="F19" s="19">
        <v>0.96405070305465113</v>
      </c>
      <c r="G19" s="19">
        <v>0.8710299340436326</v>
      </c>
      <c r="H19" s="19">
        <v>0.91799109654196731</v>
      </c>
      <c r="I19" s="19">
        <v>4.7038502124687583E-2</v>
      </c>
      <c r="J19" s="19">
        <v>0.96379004215441777</v>
      </c>
      <c r="K19" s="19">
        <v>2.6012727888333986E-2</v>
      </c>
      <c r="L19" s="19"/>
      <c r="M19" s="19"/>
      <c r="N19" s="19"/>
      <c r="O19" s="19"/>
      <c r="P19" s="19"/>
    </row>
    <row r="20" spans="2:16" x14ac:dyDescent="0.2">
      <c r="B20" t="s">
        <v>530</v>
      </c>
      <c r="C20" t="s">
        <v>377</v>
      </c>
      <c r="D20" s="18">
        <v>42264.529374999998</v>
      </c>
      <c r="E20" t="s">
        <v>146</v>
      </c>
      <c r="F20" s="19">
        <v>0.94957430903608731</v>
      </c>
      <c r="G20" s="19">
        <v>0.84864864864864875</v>
      </c>
      <c r="H20" s="19">
        <v>0.91445426890472381</v>
      </c>
      <c r="I20" s="19">
        <v>4.4264182063287263E-2</v>
      </c>
      <c r="J20" s="19">
        <v>0.98450809545484108</v>
      </c>
      <c r="K20" s="19">
        <v>1.9352567533817505E-2</v>
      </c>
      <c r="L20" s="19"/>
      <c r="M20" s="19"/>
      <c r="N20" s="19"/>
      <c r="O20" s="19"/>
      <c r="P20" s="19"/>
    </row>
    <row r="21" spans="2:16" x14ac:dyDescent="0.2">
      <c r="B21" t="s">
        <v>649</v>
      </c>
      <c r="C21" t="s">
        <v>412</v>
      </c>
      <c r="D21" s="18">
        <v>42264.529374999998</v>
      </c>
      <c r="E21" t="s">
        <v>192</v>
      </c>
      <c r="F21" s="19">
        <v>0.96206480334832956</v>
      </c>
      <c r="G21" s="19">
        <v>0.84994192799070878</v>
      </c>
      <c r="H21" s="19">
        <v>0.88682491576153455</v>
      </c>
      <c r="I21" s="19">
        <v>4.5912442378926527E-2</v>
      </c>
      <c r="J21" s="19">
        <v>0.94962282780410734</v>
      </c>
      <c r="K21" s="19">
        <v>3.9406993727264424E-2</v>
      </c>
      <c r="L21" s="19"/>
      <c r="M21" s="19"/>
      <c r="N21" s="19"/>
      <c r="O21" s="19"/>
      <c r="P21" s="19"/>
    </row>
    <row r="22" spans="2:16" x14ac:dyDescent="0.2">
      <c r="B22" t="s">
        <v>627</v>
      </c>
      <c r="C22" t="s">
        <v>393</v>
      </c>
      <c r="D22" s="18">
        <v>42264.529374999998</v>
      </c>
      <c r="E22" t="s">
        <v>183</v>
      </c>
      <c r="F22" s="19">
        <v>0.95146057533943751</v>
      </c>
      <c r="G22" s="19">
        <v>0.85842549601255347</v>
      </c>
      <c r="H22" s="19">
        <v>0.89294998998814445</v>
      </c>
      <c r="I22" s="19">
        <v>4.0436616752015479E-2</v>
      </c>
      <c r="J22" s="19">
        <v>0.90915960667305251</v>
      </c>
      <c r="K22" s="19">
        <v>4.6216261200958043E-2</v>
      </c>
      <c r="L22" s="19"/>
      <c r="M22" s="19"/>
      <c r="N22" s="19"/>
      <c r="O22" s="19"/>
      <c r="P22" s="19"/>
    </row>
    <row r="23" spans="2:16" x14ac:dyDescent="0.2">
      <c r="B23" t="s">
        <v>545</v>
      </c>
      <c r="C23" t="s">
        <v>377</v>
      </c>
      <c r="D23" s="18">
        <v>42264.529374999998</v>
      </c>
      <c r="E23" t="s">
        <v>150</v>
      </c>
      <c r="F23" s="19">
        <v>0.92705238972070947</v>
      </c>
      <c r="G23" s="19">
        <v>0.83964880952380971</v>
      </c>
      <c r="H23" s="19">
        <v>0.897261413005362</v>
      </c>
      <c r="I23" s="19">
        <v>4.3730700715829872E-2</v>
      </c>
      <c r="J23" s="19">
        <v>0.90983668876273982</v>
      </c>
      <c r="K23" s="19">
        <v>4.6903178248512416E-2</v>
      </c>
      <c r="L23" s="19"/>
      <c r="M23" s="19"/>
      <c r="N23" s="19"/>
      <c r="O23" s="19"/>
      <c r="P23" s="19"/>
    </row>
    <row r="24" spans="2:16" x14ac:dyDescent="0.2">
      <c r="B24" t="s">
        <v>569</v>
      </c>
      <c r="C24" t="s">
        <v>398</v>
      </c>
      <c r="D24" s="18">
        <v>42264.529374999998</v>
      </c>
      <c r="E24" t="s">
        <v>159</v>
      </c>
      <c r="F24" s="19">
        <v>0.98313467497440099</v>
      </c>
      <c r="G24" s="19">
        <v>0.92587363219202257</v>
      </c>
      <c r="H24" s="19">
        <v>0.92424211099624776</v>
      </c>
      <c r="I24" s="19">
        <v>3.8415889766509108E-2</v>
      </c>
      <c r="J24" s="19">
        <v>0.95028355197538661</v>
      </c>
      <c r="K24" s="19">
        <v>2.8199956701695186E-2</v>
      </c>
      <c r="L24" s="19"/>
      <c r="M24" s="19"/>
      <c r="N24" s="19"/>
      <c r="O24" s="19"/>
      <c r="P24" s="19"/>
    </row>
    <row r="25" spans="2:16" x14ac:dyDescent="0.2">
      <c r="B25" t="s">
        <v>563</v>
      </c>
      <c r="C25" t="s">
        <v>393</v>
      </c>
      <c r="D25" s="18">
        <v>42264.529374999998</v>
      </c>
      <c r="E25" t="s">
        <v>157</v>
      </c>
      <c r="F25" s="19">
        <v>0.94686292864388044</v>
      </c>
      <c r="G25" s="19">
        <v>0.79475476345721963</v>
      </c>
      <c r="H25" s="19">
        <v>0.90070957507868887</v>
      </c>
      <c r="I25" s="19">
        <v>4.0400553976484094E-2</v>
      </c>
      <c r="J25" s="19">
        <v>0.88448345838448883</v>
      </c>
      <c r="K25" s="19">
        <v>5.0673013777452029E-2</v>
      </c>
      <c r="L25" s="19"/>
      <c r="M25" s="19"/>
      <c r="N25" s="19"/>
      <c r="O25" s="19"/>
      <c r="P25" s="19"/>
    </row>
    <row r="26" spans="2:16" x14ac:dyDescent="0.2">
      <c r="B26" t="s">
        <v>586</v>
      </c>
      <c r="C26" t="s">
        <v>398</v>
      </c>
      <c r="D26" s="18">
        <v>42264.529374999998</v>
      </c>
      <c r="E26" t="s">
        <v>166</v>
      </c>
      <c r="F26" s="19">
        <v>1</v>
      </c>
      <c r="G26" s="19">
        <v>1</v>
      </c>
      <c r="H26" s="19">
        <v>0.97681859694054818</v>
      </c>
      <c r="I26" s="19">
        <v>2.5446899112169276E-2</v>
      </c>
      <c r="J26" s="19">
        <v>0.96793856554967661</v>
      </c>
      <c r="K26" s="19">
        <v>3.1349259725104585E-2</v>
      </c>
      <c r="L26" s="19"/>
      <c r="M26" s="19"/>
      <c r="N26" s="19"/>
      <c r="O26" s="19"/>
      <c r="P26" s="19"/>
    </row>
    <row r="27" spans="2:16" x14ac:dyDescent="0.2">
      <c r="B27" t="s">
        <v>615</v>
      </c>
      <c r="C27" t="s">
        <v>393</v>
      </c>
      <c r="D27" s="18">
        <v>42264.529374999998</v>
      </c>
      <c r="E27" t="s">
        <v>178</v>
      </c>
      <c r="F27" s="19">
        <v>0.96441910971037825</v>
      </c>
      <c r="G27" s="19">
        <v>0.89642567018683994</v>
      </c>
      <c r="H27" s="19">
        <v>0.90070110651095137</v>
      </c>
      <c r="I27" s="19">
        <v>4.7237748915268017E-2</v>
      </c>
      <c r="J27" s="19">
        <v>0.92764510529968514</v>
      </c>
      <c r="K27" s="19">
        <v>4.7583030593253355E-2</v>
      </c>
      <c r="L27" s="19"/>
      <c r="M27" s="19"/>
      <c r="N27" s="19"/>
      <c r="O27" s="19"/>
      <c r="P27" s="19"/>
    </row>
    <row r="28" spans="2:16" x14ac:dyDescent="0.2">
      <c r="B28" t="s">
        <v>601</v>
      </c>
      <c r="C28" t="s">
        <v>412</v>
      </c>
      <c r="D28" s="18">
        <v>42264.529374999998</v>
      </c>
      <c r="E28" t="s">
        <v>172</v>
      </c>
      <c r="F28" s="19">
        <v>0.90202187443631099</v>
      </c>
      <c r="G28" s="19">
        <v>0.84888502399827426</v>
      </c>
      <c r="H28" s="19">
        <v>0.87019553744679401</v>
      </c>
      <c r="I28" s="19">
        <v>4.7954328128424352E-2</v>
      </c>
      <c r="J28" s="19">
        <v>0.89992837007114246</v>
      </c>
      <c r="K28" s="19">
        <v>4.6105903120077729E-2</v>
      </c>
      <c r="L28" s="19"/>
      <c r="M28" s="19"/>
      <c r="N28" s="19"/>
      <c r="O28" s="19"/>
      <c r="P28" s="19"/>
    </row>
    <row r="29" spans="2:16" x14ac:dyDescent="0.2">
      <c r="B29" t="s">
        <v>571</v>
      </c>
      <c r="C29" t="s">
        <v>388</v>
      </c>
      <c r="D29" s="18">
        <v>42264.529374999998</v>
      </c>
      <c r="E29" t="s">
        <v>160</v>
      </c>
      <c r="F29" s="19">
        <v>0.97233856816598607</v>
      </c>
      <c r="G29" s="19">
        <v>0.91334809084065616</v>
      </c>
      <c r="H29" s="19">
        <v>0.91921735557428708</v>
      </c>
      <c r="I29" s="19">
        <v>4.2134766283520551E-2</v>
      </c>
      <c r="J29" s="19">
        <v>0.92383688277149401</v>
      </c>
      <c r="K29" s="19">
        <v>3.4880429189098831E-2</v>
      </c>
      <c r="L29" s="19"/>
      <c r="M29" s="19"/>
      <c r="N29" s="19"/>
      <c r="O29" s="19"/>
      <c r="P29" s="19"/>
    </row>
    <row r="30" spans="2:16" x14ac:dyDescent="0.2">
      <c r="B30" t="s">
        <v>630</v>
      </c>
      <c r="C30" t="s">
        <v>377</v>
      </c>
      <c r="D30" s="18">
        <v>42264.529374999998</v>
      </c>
      <c r="E30" t="s">
        <v>184</v>
      </c>
      <c r="F30" s="19">
        <v>0.97817487015258753</v>
      </c>
      <c r="G30" s="19">
        <v>0.96179998216515061</v>
      </c>
      <c r="H30" s="19">
        <v>0.91674856993204445</v>
      </c>
      <c r="I30" s="19">
        <v>3.9221948038425866E-2</v>
      </c>
      <c r="J30" s="19">
        <v>0.94409539311296276</v>
      </c>
      <c r="K30" s="19">
        <v>2.9968566142803254E-2</v>
      </c>
      <c r="L30" s="19"/>
      <c r="M30" s="19"/>
      <c r="N30" s="19"/>
      <c r="O30" s="19"/>
      <c r="P30" s="19"/>
    </row>
    <row r="31" spans="2:16" x14ac:dyDescent="0.2">
      <c r="B31" t="s">
        <v>623</v>
      </c>
      <c r="C31" t="s">
        <v>412</v>
      </c>
      <c r="D31" s="18">
        <v>42264.529374999998</v>
      </c>
      <c r="E31" t="s">
        <v>182</v>
      </c>
      <c r="F31" s="19">
        <v>0.95827892718479746</v>
      </c>
      <c r="G31" s="19">
        <v>0.94554484370435299</v>
      </c>
      <c r="H31" s="19">
        <v>0.9497466135316307</v>
      </c>
      <c r="I31" s="19">
        <v>3.6812859786819557E-2</v>
      </c>
      <c r="J31" s="19">
        <v>0.96484906717911756</v>
      </c>
      <c r="K31" s="19">
        <v>2.7493306722278989E-2</v>
      </c>
      <c r="L31" s="19"/>
      <c r="M31" s="19"/>
      <c r="N31" s="19"/>
      <c r="O31" s="19"/>
      <c r="P31" s="19"/>
    </row>
    <row r="32" spans="2:16" x14ac:dyDescent="0.2">
      <c r="B32" t="s">
        <v>398</v>
      </c>
      <c r="C32" t="s">
        <v>398</v>
      </c>
      <c r="D32" s="18">
        <v>42264.529374999998</v>
      </c>
      <c r="E32" t="s">
        <v>671</v>
      </c>
      <c r="F32" s="19">
        <v>0.97150630000541283</v>
      </c>
      <c r="G32" s="19">
        <v>0.92303353364941698</v>
      </c>
      <c r="H32" s="19">
        <v>0.93031880076561324</v>
      </c>
      <c r="I32" s="19">
        <v>1.2545540769932514E-2</v>
      </c>
      <c r="J32" s="19">
        <v>0.90525075622669737</v>
      </c>
      <c r="K32" s="19">
        <v>2.0875320791274205E-2</v>
      </c>
      <c r="L32" s="19"/>
      <c r="M32" s="19"/>
      <c r="N32" s="19"/>
      <c r="O32" s="19"/>
      <c r="P32" s="19"/>
    </row>
    <row r="33" spans="2:16" x14ac:dyDescent="0.2">
      <c r="B33" t="s">
        <v>215</v>
      </c>
      <c r="C33" t="s">
        <v>398</v>
      </c>
      <c r="D33" s="18">
        <v>42264.529374999998</v>
      </c>
      <c r="E33" t="s">
        <v>163</v>
      </c>
      <c r="F33" s="19">
        <v>0.99318727138587526</v>
      </c>
      <c r="G33" s="19">
        <v>1</v>
      </c>
      <c r="H33" s="19">
        <v>0.96697611825656937</v>
      </c>
      <c r="I33" s="19">
        <v>3.1818960466582953E-2</v>
      </c>
      <c r="J33" s="19">
        <v>0.92490059085776588</v>
      </c>
      <c r="K33" s="19">
        <v>4.90567615709184E-2</v>
      </c>
      <c r="L33" s="19">
        <v>0.91427933013453755</v>
      </c>
      <c r="M33" s="19">
        <v>0.94397517283711296</v>
      </c>
      <c r="N33" s="19">
        <v>3.5545985256554079E-2</v>
      </c>
      <c r="O33" s="19">
        <v>0.98944157871517291</v>
      </c>
      <c r="P33" s="19">
        <v>1.3096480252679754E-2</v>
      </c>
    </row>
    <row r="34" spans="2:16" x14ac:dyDescent="0.2">
      <c r="B34" t="s">
        <v>579</v>
      </c>
      <c r="C34" t="s">
        <v>398</v>
      </c>
      <c r="D34" s="18">
        <v>42264.529374999998</v>
      </c>
      <c r="E34" t="s">
        <v>163</v>
      </c>
      <c r="F34" s="19">
        <v>0.99318727138587526</v>
      </c>
      <c r="G34" s="19">
        <v>1</v>
      </c>
      <c r="H34" s="19">
        <v>0.96697611825656937</v>
      </c>
      <c r="I34" s="19">
        <v>3.1818960466582953E-2</v>
      </c>
      <c r="J34" s="19">
        <v>0.92490059085776588</v>
      </c>
      <c r="K34" s="19">
        <v>4.90567615709184E-2</v>
      </c>
      <c r="L34" s="19">
        <v>0.91427933013453755</v>
      </c>
      <c r="M34" s="19">
        <v>0.94397517283711296</v>
      </c>
      <c r="N34" s="19">
        <v>3.5545985256554079E-2</v>
      </c>
      <c r="O34" s="19">
        <v>0.98944157871517291</v>
      </c>
      <c r="P34" s="19">
        <v>1.3096480252679754E-2</v>
      </c>
    </row>
    <row r="35" spans="2:16" x14ac:dyDescent="0.2">
      <c r="B35" t="s">
        <v>561</v>
      </c>
      <c r="C35" t="s">
        <v>388</v>
      </c>
      <c r="D35" s="18">
        <v>42264.529374999998</v>
      </c>
      <c r="E35" t="s">
        <v>156</v>
      </c>
      <c r="F35" s="19">
        <v>0.9453300335911522</v>
      </c>
      <c r="G35" s="19">
        <v>0.86335771289443686</v>
      </c>
      <c r="H35" s="19">
        <v>0.90767504861570625</v>
      </c>
      <c r="I35" s="19">
        <v>4.0436617693905816E-2</v>
      </c>
      <c r="J35" s="19">
        <v>0.92120886115320588</v>
      </c>
      <c r="K35" s="19">
        <v>3.6361256935794943E-2</v>
      </c>
      <c r="L35" s="19"/>
      <c r="M35" s="19"/>
      <c r="N35" s="19"/>
      <c r="O35" s="19"/>
      <c r="P35" s="19"/>
    </row>
    <row r="36" spans="2:16" x14ac:dyDescent="0.2">
      <c r="B36" t="s">
        <v>617</v>
      </c>
      <c r="C36" t="s">
        <v>393</v>
      </c>
      <c r="D36" s="18">
        <v>42264.529374999998</v>
      </c>
      <c r="E36" t="s">
        <v>179</v>
      </c>
      <c r="F36" s="19">
        <v>0.95999357406043928</v>
      </c>
      <c r="G36" s="19">
        <v>0.89823345259391774</v>
      </c>
      <c r="H36" s="19">
        <v>0.92736183050893817</v>
      </c>
      <c r="I36" s="19">
        <v>4.741840153844365E-2</v>
      </c>
      <c r="J36" s="19">
        <v>0.96641782055708025</v>
      </c>
      <c r="K36" s="19">
        <v>3.4873659816392927E-2</v>
      </c>
      <c r="L36" s="19"/>
      <c r="M36" s="19"/>
      <c r="N36" s="19"/>
      <c r="O36" s="19"/>
      <c r="P36" s="19"/>
    </row>
    <row r="37" spans="2:16" x14ac:dyDescent="0.2">
      <c r="B37" t="s">
        <v>557</v>
      </c>
      <c r="C37" t="s">
        <v>388</v>
      </c>
      <c r="D37" s="18">
        <v>42264.529374999998</v>
      </c>
      <c r="E37" t="s">
        <v>94</v>
      </c>
      <c r="F37" s="19">
        <v>0.97892132189362313</v>
      </c>
      <c r="G37" s="19">
        <v>0.95067527891955383</v>
      </c>
      <c r="H37" s="19">
        <v>0.92880116645536759</v>
      </c>
      <c r="I37" s="19">
        <v>3.6693968406235913E-2</v>
      </c>
      <c r="J37" s="19">
        <v>0.93706662408113028</v>
      </c>
      <c r="K37" s="19">
        <v>3.7202450443988865E-2</v>
      </c>
      <c r="L37" s="19"/>
      <c r="M37" s="19"/>
      <c r="N37" s="19"/>
      <c r="O37" s="19"/>
      <c r="P37" s="19"/>
    </row>
    <row r="38" spans="2:16" x14ac:dyDescent="0.2">
      <c r="B38" t="s">
        <v>559</v>
      </c>
      <c r="C38" t="s">
        <v>393</v>
      </c>
      <c r="D38" s="18">
        <v>42264.529374999998</v>
      </c>
      <c r="E38" t="s">
        <v>155</v>
      </c>
      <c r="F38" s="19">
        <v>0.92566174440835758</v>
      </c>
      <c r="G38" s="19">
        <v>0.92500406702456484</v>
      </c>
      <c r="H38" s="19">
        <v>0.9208266682291818</v>
      </c>
      <c r="I38" s="19">
        <v>4.1836532020163943E-2</v>
      </c>
      <c r="J38" s="19">
        <v>0.94551750528378775</v>
      </c>
      <c r="K38" s="19">
        <v>3.3297171545615498E-2</v>
      </c>
      <c r="L38" s="19"/>
      <c r="M38" s="19"/>
      <c r="N38" s="19"/>
      <c r="O38" s="19"/>
      <c r="P38" s="19"/>
    </row>
    <row r="39" spans="2:16" x14ac:dyDescent="0.2">
      <c r="B39" t="s">
        <v>526</v>
      </c>
      <c r="C39" t="s">
        <v>377</v>
      </c>
      <c r="D39" s="18">
        <v>42264.529374999998</v>
      </c>
      <c r="E39" t="s">
        <v>144</v>
      </c>
      <c r="F39" s="19">
        <v>0.94720431172667174</v>
      </c>
      <c r="G39" s="19">
        <v>0.93088561589510344</v>
      </c>
      <c r="H39" s="19">
        <v>0.92043271045637287</v>
      </c>
      <c r="I39" s="19">
        <v>4.2089169272360533E-2</v>
      </c>
      <c r="J39" s="19">
        <v>0.90720876302990494</v>
      </c>
      <c r="K39" s="19">
        <v>4.5337460631108467E-2</v>
      </c>
      <c r="L39" s="19"/>
      <c r="M39" s="19"/>
      <c r="N39" s="19"/>
      <c r="O39" s="19"/>
      <c r="P39" s="19"/>
    </row>
    <row r="40" spans="2:16" x14ac:dyDescent="0.2">
      <c r="B40" t="s">
        <v>532</v>
      </c>
      <c r="C40" t="s">
        <v>377</v>
      </c>
      <c r="D40" s="18">
        <v>42264.529374999998</v>
      </c>
      <c r="E40" t="s">
        <v>147</v>
      </c>
      <c r="F40" s="19">
        <v>0.9686831972356329</v>
      </c>
      <c r="G40" s="19">
        <v>0.92343857422391462</v>
      </c>
      <c r="H40" s="19">
        <v>0.88745641472847447</v>
      </c>
      <c r="I40" s="19">
        <v>4.2277160648820103E-2</v>
      </c>
      <c r="J40" s="19">
        <v>0.88563274354596055</v>
      </c>
      <c r="K40" s="19">
        <v>3.8629279170776909E-2</v>
      </c>
      <c r="L40" s="19"/>
      <c r="M40" s="19"/>
      <c r="N40" s="19"/>
      <c r="O40" s="19"/>
      <c r="P40" s="19"/>
    </row>
    <row r="41" spans="2:16" x14ac:dyDescent="0.2">
      <c r="B41" t="s">
        <v>377</v>
      </c>
      <c r="C41" t="s">
        <v>377</v>
      </c>
      <c r="D41" s="18">
        <v>42264.529374999998</v>
      </c>
      <c r="E41" t="s">
        <v>670</v>
      </c>
      <c r="F41" s="19">
        <v>0.95566149543916568</v>
      </c>
      <c r="G41" s="19">
        <v>0.87261636065690129</v>
      </c>
      <c r="H41" s="19">
        <v>0.87970467698610177</v>
      </c>
      <c r="I41" s="19">
        <v>1.5909832645357155E-2</v>
      </c>
      <c r="J41" s="19">
        <v>0.90187379843879556</v>
      </c>
      <c r="K41" s="19">
        <v>1.4862588137023919E-2</v>
      </c>
      <c r="L41" s="19"/>
      <c r="M41" s="19"/>
      <c r="N41" s="19"/>
      <c r="O41" s="19"/>
      <c r="P41" s="19"/>
    </row>
    <row r="42" spans="2:16" x14ac:dyDescent="0.2">
      <c r="B42" t="s">
        <v>599</v>
      </c>
      <c r="C42" t="s">
        <v>412</v>
      </c>
      <c r="D42" s="18">
        <v>42264.529374999998</v>
      </c>
      <c r="E42" t="s">
        <v>171</v>
      </c>
      <c r="F42" s="19">
        <v>0.94537390385378539</v>
      </c>
      <c r="G42" s="19">
        <v>0.8842907590309308</v>
      </c>
      <c r="H42" s="19">
        <v>0.93213363389021098</v>
      </c>
      <c r="I42" s="19">
        <v>3.5092762052327232E-2</v>
      </c>
      <c r="J42" s="19">
        <v>0.88950572689601759</v>
      </c>
      <c r="K42" s="19">
        <v>5.4590154743603986E-2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412</v>
      </c>
      <c r="C44" t="s">
        <v>412</v>
      </c>
      <c r="D44" s="18">
        <v>42264.529374999998</v>
      </c>
      <c r="E44" t="s">
        <v>673</v>
      </c>
      <c r="F44" s="19">
        <v>0.95596725745311673</v>
      </c>
      <c r="G44" s="19">
        <v>0.87668422686286651</v>
      </c>
      <c r="H44" s="19">
        <v>0.90885356752194013</v>
      </c>
      <c r="I44" s="19">
        <v>1.5562038179903511E-2</v>
      </c>
      <c r="J44" s="19">
        <v>0.93326211655371916</v>
      </c>
      <c r="K44" s="19">
        <v>1.5237938750872289E-2</v>
      </c>
      <c r="L44" s="19"/>
      <c r="M44" s="19"/>
      <c r="N44" s="19"/>
      <c r="O44" s="19"/>
      <c r="P44" s="19"/>
    </row>
    <row r="45" spans="2:16" x14ac:dyDescent="0.2">
      <c r="B45" t="s">
        <v>216</v>
      </c>
      <c r="C45" t="s">
        <v>377</v>
      </c>
      <c r="D45" s="18">
        <v>42264.529374999998</v>
      </c>
      <c r="E45" t="s">
        <v>102</v>
      </c>
      <c r="F45" s="19">
        <v>0.94152928425324545</v>
      </c>
      <c r="G45" s="19">
        <v>0.86798344947735184</v>
      </c>
      <c r="H45" s="19">
        <v>0.86358372645198767</v>
      </c>
      <c r="I45" s="19">
        <v>4.9358215277094504E-2</v>
      </c>
      <c r="J45" s="19">
        <v>0.89958478313619794</v>
      </c>
      <c r="K45" s="19">
        <v>4.9315787865483143E-2</v>
      </c>
      <c r="L45" s="19">
        <v>0.88511880843312152</v>
      </c>
      <c r="M45" s="19">
        <v>0.95065478863082864</v>
      </c>
      <c r="N45" s="19">
        <v>3.6478520423184835E-2</v>
      </c>
      <c r="O45" s="19">
        <v>0.92815943607499451</v>
      </c>
      <c r="P45" s="19">
        <v>4.6405181586036973E-2</v>
      </c>
    </row>
    <row r="46" spans="2:16" x14ac:dyDescent="0.2">
      <c r="B46" t="s">
        <v>534</v>
      </c>
      <c r="C46" t="s">
        <v>377</v>
      </c>
      <c r="D46" s="18">
        <v>42264.529374999998</v>
      </c>
      <c r="E46" t="s">
        <v>102</v>
      </c>
      <c r="F46" s="19">
        <v>0.94152928425324545</v>
      </c>
      <c r="G46" s="19">
        <v>0.86798344947735184</v>
      </c>
      <c r="H46" s="19">
        <v>0.86358372645198767</v>
      </c>
      <c r="I46" s="19">
        <v>4.9358215277094504E-2</v>
      </c>
      <c r="J46" s="19">
        <v>0.89958478313619794</v>
      </c>
      <c r="K46" s="19">
        <v>4.9315787865483143E-2</v>
      </c>
      <c r="L46" s="19">
        <v>0.88511880843312152</v>
      </c>
      <c r="M46" s="19">
        <v>0.95065478863082864</v>
      </c>
      <c r="N46" s="19">
        <v>3.6478520423184835E-2</v>
      </c>
      <c r="O46" s="19">
        <v>0.92815943607499451</v>
      </c>
      <c r="P46" s="19">
        <v>4.6405181586036973E-2</v>
      </c>
    </row>
    <row r="47" spans="2:16" x14ac:dyDescent="0.2">
      <c r="B47" t="s">
        <v>603</v>
      </c>
      <c r="C47" t="s">
        <v>412</v>
      </c>
      <c r="D47" s="18">
        <v>42264.529374999998</v>
      </c>
      <c r="E47" t="s">
        <v>173</v>
      </c>
      <c r="F47" s="19">
        <v>0.89353762168271322</v>
      </c>
      <c r="G47" s="19">
        <v>0.82907810082254263</v>
      </c>
      <c r="H47" s="19">
        <v>0.91218210846311776</v>
      </c>
      <c r="I47" s="19">
        <v>4.5818613713029491E-2</v>
      </c>
      <c r="J47" s="19">
        <v>0.93924902201162308</v>
      </c>
      <c r="K47" s="19">
        <v>3.6742928777630864E-2</v>
      </c>
      <c r="L47" s="19"/>
      <c r="M47" s="19"/>
      <c r="N47" s="19"/>
      <c r="O47" s="19"/>
      <c r="P47" s="19"/>
    </row>
    <row r="48" spans="2:16" x14ac:dyDescent="0.2">
      <c r="B48" t="s">
        <v>537</v>
      </c>
      <c r="C48" t="s">
        <v>377</v>
      </c>
      <c r="D48" s="18">
        <v>42264.529374999998</v>
      </c>
      <c r="E48" t="s">
        <v>148</v>
      </c>
      <c r="F48" s="19">
        <v>0.9751261715933669</v>
      </c>
      <c r="G48" s="19">
        <v>0.89840078477893881</v>
      </c>
      <c r="H48" s="19">
        <v>0.90400027862764498</v>
      </c>
      <c r="I48" s="19">
        <v>4.5121010978512642E-2</v>
      </c>
      <c r="J48" s="19">
        <v>0.93871099098682609</v>
      </c>
      <c r="K48" s="19">
        <v>3.8666913302825921E-2</v>
      </c>
      <c r="L48" s="19"/>
      <c r="M48" s="19"/>
      <c r="N48" s="19"/>
      <c r="O48" s="19"/>
      <c r="P48" s="19"/>
    </row>
    <row r="49" spans="2:16" x14ac:dyDescent="0.2">
      <c r="B49" t="s">
        <v>611</v>
      </c>
      <c r="C49" t="s">
        <v>412</v>
      </c>
      <c r="D49" s="18">
        <v>42264.529374999998</v>
      </c>
      <c r="E49" t="s">
        <v>176</v>
      </c>
      <c r="F49" s="19">
        <v>0.9270626733064129</v>
      </c>
      <c r="G49" s="19">
        <v>0.87530931257166988</v>
      </c>
      <c r="H49" s="19">
        <v>0.93620561624874499</v>
      </c>
      <c r="I49" s="19">
        <v>3.8887479954024258E-2</v>
      </c>
      <c r="J49" s="19">
        <v>0.95411781608064006</v>
      </c>
      <c r="K49" s="19">
        <v>3.4344654307347469E-2</v>
      </c>
      <c r="L49" s="19"/>
      <c r="M49" s="19"/>
      <c r="N49" s="19"/>
      <c r="O49" s="19"/>
      <c r="P49" s="19"/>
    </row>
    <row r="50" spans="2:16" x14ac:dyDescent="0.2">
      <c r="B50" t="s">
        <v>522</v>
      </c>
      <c r="C50" t="s">
        <v>377</v>
      </c>
      <c r="D50" s="18">
        <v>42264.529374999998</v>
      </c>
      <c r="E50" t="s">
        <v>143</v>
      </c>
      <c r="F50" s="19">
        <v>0.98294063067450343</v>
      </c>
      <c r="G50" s="19">
        <v>0.90013659505774246</v>
      </c>
      <c r="H50" s="19">
        <v>0.87172499949266591</v>
      </c>
      <c r="I50" s="19">
        <v>5.660738120402186E-2</v>
      </c>
      <c r="J50" s="19">
        <v>0.96295738056515856</v>
      </c>
      <c r="K50" s="19">
        <v>3.0092477871072134E-2</v>
      </c>
      <c r="L50" s="19"/>
      <c r="M50" s="19"/>
      <c r="N50" s="19"/>
      <c r="O50" s="19"/>
      <c r="P50" s="19"/>
    </row>
    <row r="51" spans="2:16" x14ac:dyDescent="0.2">
      <c r="B51" t="s">
        <v>619</v>
      </c>
      <c r="C51" t="s">
        <v>412</v>
      </c>
      <c r="D51" s="18">
        <v>42264.529374999998</v>
      </c>
      <c r="E51" t="s">
        <v>180</v>
      </c>
      <c r="F51" s="19">
        <v>0.95993471897372151</v>
      </c>
      <c r="G51" s="19">
        <v>0.92656481025135529</v>
      </c>
      <c r="H51" s="19">
        <v>0.91695168791843495</v>
      </c>
      <c r="I51" s="19">
        <v>4.3660315099704194E-2</v>
      </c>
      <c r="J51" s="19">
        <v>0.94998995663394259</v>
      </c>
      <c r="K51" s="19">
        <v>3.0538630108327212E-2</v>
      </c>
      <c r="L51" s="19"/>
      <c r="M51" s="19"/>
      <c r="N51" s="19"/>
      <c r="O51" s="19"/>
      <c r="P51" s="19"/>
    </row>
    <row r="52" spans="2:16" x14ac:dyDescent="0.2">
      <c r="B52" t="s">
        <v>543</v>
      </c>
      <c r="C52" t="s">
        <v>377</v>
      </c>
      <c r="D52" s="18">
        <v>42264.529374999998</v>
      </c>
      <c r="E52" t="s">
        <v>108</v>
      </c>
      <c r="F52" s="19">
        <v>0.9881386775279567</v>
      </c>
      <c r="G52" s="19">
        <v>0.97290374764087351</v>
      </c>
      <c r="H52" s="19">
        <v>0.93109257343487339</v>
      </c>
      <c r="I52" s="19">
        <v>4.1570018073601958E-2</v>
      </c>
      <c r="J52" s="19">
        <v>0.94451749280406772</v>
      </c>
      <c r="K52" s="19">
        <v>3.6971007636318873E-2</v>
      </c>
      <c r="L52" s="19"/>
      <c r="M52" s="19"/>
      <c r="N52" s="19"/>
      <c r="O52" s="19"/>
      <c r="P52" s="19"/>
    </row>
    <row r="53" spans="2:16" x14ac:dyDescent="0.2">
      <c r="B53" t="s">
        <v>596</v>
      </c>
      <c r="C53" t="s">
        <v>393</v>
      </c>
      <c r="D53" s="18">
        <v>42264.529374999998</v>
      </c>
      <c r="E53" t="s">
        <v>170</v>
      </c>
      <c r="F53" s="19">
        <v>0.95045947476155246</v>
      </c>
      <c r="G53" s="19">
        <v>0.8273037666630344</v>
      </c>
      <c r="H53" s="19">
        <v>0.8849225427229741</v>
      </c>
      <c r="I53" s="19">
        <v>4.4866546808419866E-2</v>
      </c>
      <c r="J53" s="19">
        <v>0.94680464460292357</v>
      </c>
      <c r="K53" s="19">
        <v>3.5629328878068661E-2</v>
      </c>
      <c r="L53" s="254"/>
      <c r="M53" s="254"/>
      <c r="N53" s="254"/>
      <c r="O53" s="254"/>
      <c r="P53" s="254"/>
    </row>
    <row r="54" spans="2:16" x14ac:dyDescent="0.2">
      <c r="B54" t="s">
        <v>632</v>
      </c>
      <c r="C54" t="s">
        <v>412</v>
      </c>
      <c r="D54" s="18">
        <v>42264.529374999998</v>
      </c>
      <c r="E54" t="s">
        <v>185</v>
      </c>
      <c r="F54" s="19">
        <v>0.98134364613564162</v>
      </c>
      <c r="G54" s="19">
        <v>0.8644367122341583</v>
      </c>
      <c r="H54" s="19">
        <v>0.88800678402223776</v>
      </c>
      <c r="I54" s="19">
        <v>4.2001633188807334E-2</v>
      </c>
      <c r="J54" s="19">
        <v>0.93465212475191151</v>
      </c>
      <c r="K54" s="19">
        <v>4.2816238681588743E-2</v>
      </c>
      <c r="L54" s="19"/>
      <c r="M54" s="19"/>
      <c r="N54" s="19"/>
      <c r="O54" s="19"/>
      <c r="P54" s="19"/>
    </row>
    <row r="55" spans="2:16" x14ac:dyDescent="0.2">
      <c r="B55" t="s">
        <v>621</v>
      </c>
      <c r="C55" t="s">
        <v>388</v>
      </c>
      <c r="D55" s="18">
        <v>42264.529374999998</v>
      </c>
      <c r="E55" t="s">
        <v>181</v>
      </c>
      <c r="F55" s="19">
        <v>0.92942645238883759</v>
      </c>
      <c r="G55" s="19">
        <v>0.78046574889468734</v>
      </c>
      <c r="H55" s="19">
        <v>0.86606173940518572</v>
      </c>
      <c r="I55" s="19">
        <v>4.9455095654523544E-2</v>
      </c>
      <c r="J55" s="19">
        <v>0.89187878012009292</v>
      </c>
      <c r="K55" s="19">
        <v>4.9938611659351866E-2</v>
      </c>
      <c r="L55" s="19"/>
      <c r="M55" s="19"/>
      <c r="N55" s="19"/>
      <c r="O55" s="19"/>
      <c r="P55" s="19"/>
    </row>
    <row r="56" spans="2:16" x14ac:dyDescent="0.2">
      <c r="B56" t="s">
        <v>605</v>
      </c>
      <c r="C56" t="s">
        <v>412</v>
      </c>
      <c r="D56" s="18">
        <v>42264.529374999998</v>
      </c>
      <c r="E56" t="s">
        <v>174</v>
      </c>
      <c r="F56" s="19">
        <v>0.97275503919356077</v>
      </c>
      <c r="G56" s="19">
        <v>0.9004308259765389</v>
      </c>
      <c r="H56" s="19">
        <v>0.92050565173773546</v>
      </c>
      <c r="I56" s="19">
        <v>3.8760975598489365E-2</v>
      </c>
      <c r="J56" s="19">
        <v>0.93757362484595874</v>
      </c>
      <c r="K56" s="19">
        <v>4.1408888108761414E-2</v>
      </c>
      <c r="L56" s="19"/>
      <c r="M56" s="19"/>
      <c r="N56" s="19"/>
      <c r="O56" s="19"/>
      <c r="P56" s="19"/>
    </row>
    <row r="57" spans="2:16" x14ac:dyDescent="0.2">
      <c r="B57" t="s">
        <v>643</v>
      </c>
      <c r="C57" t="s">
        <v>398</v>
      </c>
      <c r="D57" s="18">
        <v>42264.529374999998</v>
      </c>
      <c r="E57" t="s">
        <v>190</v>
      </c>
      <c r="F57" s="19">
        <v>0.93970811856942549</v>
      </c>
      <c r="G57" s="19">
        <v>0.84630390143737177</v>
      </c>
      <c r="H57" s="19">
        <v>0.95146402391087681</v>
      </c>
      <c r="I57" s="19">
        <v>3.3012931147248355E-2</v>
      </c>
      <c r="J57" s="19">
        <v>0.94742014725487889</v>
      </c>
      <c r="K57" s="19">
        <v>3.1366444767413244E-2</v>
      </c>
      <c r="L57" s="19"/>
      <c r="M57" s="19"/>
      <c r="N57" s="19"/>
      <c r="O57" s="19"/>
      <c r="P57" s="19"/>
    </row>
    <row r="58" spans="2:16" x14ac:dyDescent="0.2">
      <c r="B58" t="s">
        <v>388</v>
      </c>
      <c r="C58" t="s">
        <v>388</v>
      </c>
      <c r="D58" s="18">
        <v>42264.529374999998</v>
      </c>
      <c r="E58" t="s">
        <v>669</v>
      </c>
      <c r="F58" s="19">
        <v>0.95800362558178198</v>
      </c>
      <c r="G58" s="19">
        <v>0.90042726196941092</v>
      </c>
      <c r="H58" s="19">
        <v>0.90867606904593201</v>
      </c>
      <c r="I58" s="19">
        <v>1.9166700282557941E-2</v>
      </c>
      <c r="J58" s="19">
        <v>0.8951811380402952</v>
      </c>
      <c r="K58" s="19">
        <v>2.5860005685144714E-2</v>
      </c>
      <c r="L58" s="19"/>
      <c r="M58" s="19"/>
      <c r="N58" s="19"/>
      <c r="O58" s="19"/>
      <c r="P58" s="19"/>
    </row>
    <row r="59" spans="2:16" x14ac:dyDescent="0.2">
      <c r="B59" t="s">
        <v>582</v>
      </c>
      <c r="C59" t="s">
        <v>398</v>
      </c>
      <c r="D59" s="18">
        <v>42264.529374999998</v>
      </c>
      <c r="E59" t="s">
        <v>164</v>
      </c>
      <c r="F59" s="19">
        <v>0.95787774805164594</v>
      </c>
      <c r="G59" s="19">
        <v>0.88446761800219553</v>
      </c>
      <c r="H59" s="19">
        <v>0.91162084698995149</v>
      </c>
      <c r="I59" s="19">
        <v>4.2156385157443597E-2</v>
      </c>
      <c r="J59" s="19">
        <v>0.85566052104762202</v>
      </c>
      <c r="K59" s="19">
        <v>5.3389001472957248E-2</v>
      </c>
      <c r="L59" s="19"/>
      <c r="M59" s="19"/>
      <c r="N59" s="19"/>
      <c r="O59" s="19"/>
      <c r="P59" s="19"/>
    </row>
    <row r="60" spans="2:16" x14ac:dyDescent="0.2">
      <c r="B60" t="s">
        <v>218</v>
      </c>
      <c r="C60" t="s">
        <v>398</v>
      </c>
      <c r="D60" s="18">
        <v>42264.529374999998</v>
      </c>
      <c r="E60" t="s">
        <v>167</v>
      </c>
      <c r="F60" s="19">
        <v>0.96225825809233967</v>
      </c>
      <c r="G60" s="19">
        <v>0.91081906899884624</v>
      </c>
      <c r="H60" s="19">
        <v>0.9197613439453558</v>
      </c>
      <c r="I60" s="19">
        <v>4.027676719809669E-2</v>
      </c>
      <c r="J60" s="19">
        <v>0.86974124783574103</v>
      </c>
      <c r="K60" s="19">
        <v>6.4696241172075661E-2</v>
      </c>
      <c r="L60" s="19">
        <v>1</v>
      </c>
      <c r="M60" s="19">
        <v>0.99193593620838205</v>
      </c>
      <c r="N60" s="19">
        <v>9.666283474267701E-3</v>
      </c>
      <c r="O60" s="19">
        <v>0.9637157119031865</v>
      </c>
      <c r="P60" s="19">
        <v>3.6286696846211372E-2</v>
      </c>
    </row>
    <row r="61" spans="2:16" x14ac:dyDescent="0.2">
      <c r="B61" t="s">
        <v>588</v>
      </c>
      <c r="C61" t="s">
        <v>398</v>
      </c>
      <c r="D61" s="18">
        <v>42264.529374999998</v>
      </c>
      <c r="E61" t="s">
        <v>167</v>
      </c>
      <c r="F61" s="19">
        <v>0.96225825809233967</v>
      </c>
      <c r="G61" s="19">
        <v>0.91081906899884624</v>
      </c>
      <c r="H61" s="19">
        <v>0.9197613439453558</v>
      </c>
      <c r="I61" s="19">
        <v>4.027676719809669E-2</v>
      </c>
      <c r="J61" s="19">
        <v>0.86974124783574103</v>
      </c>
      <c r="K61" s="19">
        <v>6.4696241172075661E-2</v>
      </c>
      <c r="L61" s="19">
        <v>1</v>
      </c>
      <c r="M61" s="19">
        <v>0.99193593620838205</v>
      </c>
      <c r="N61" s="19">
        <v>9.666283474267701E-3</v>
      </c>
      <c r="O61" s="19">
        <v>0.9637157119031865</v>
      </c>
      <c r="P61" s="19">
        <v>3.6286696846211372E-2</v>
      </c>
    </row>
    <row r="62" spans="2:16" x14ac:dyDescent="0.2">
      <c r="B62" t="s">
        <v>549</v>
      </c>
      <c r="C62" t="s">
        <v>388</v>
      </c>
      <c r="D62" s="18">
        <v>42264.529374999998</v>
      </c>
      <c r="E62" t="s">
        <v>152</v>
      </c>
      <c r="F62" s="19">
        <v>0.92214096316286653</v>
      </c>
      <c r="G62" s="19">
        <v>0.90050701364889363</v>
      </c>
      <c r="H62" s="19">
        <v>0.89196606777208165</v>
      </c>
      <c r="I62" s="19">
        <v>5.0518987963926135E-2</v>
      </c>
      <c r="J62" s="19">
        <v>0.87805474190446464</v>
      </c>
      <c r="K62" s="19">
        <v>5.7870513135488293E-2</v>
      </c>
      <c r="L62" s="19"/>
      <c r="M62" s="19"/>
      <c r="N62" s="19"/>
      <c r="O62" s="19"/>
      <c r="P62" s="19"/>
    </row>
    <row r="63" spans="2:16" x14ac:dyDescent="0.2">
      <c r="B63" t="s">
        <v>635</v>
      </c>
      <c r="C63" t="s">
        <v>377</v>
      </c>
      <c r="D63" s="18">
        <v>42264.529374999998</v>
      </c>
      <c r="E63" t="s">
        <v>186</v>
      </c>
      <c r="F63" s="19">
        <v>0.95606780816395354</v>
      </c>
      <c r="G63" s="19">
        <v>0.80876810276919342</v>
      </c>
      <c r="H63" s="19">
        <v>0.87426757993266913</v>
      </c>
      <c r="I63" s="19">
        <v>5.6485466197503484E-2</v>
      </c>
      <c r="J63" s="19">
        <v>0.95623554117658516</v>
      </c>
      <c r="K63" s="19">
        <v>3.6820337985930818E-2</v>
      </c>
      <c r="L63" s="19"/>
      <c r="M63" s="19"/>
      <c r="N63" s="19"/>
      <c r="O63" s="19"/>
      <c r="P63" s="19"/>
    </row>
    <row r="64" spans="2:16" x14ac:dyDescent="0.2">
      <c r="B64" t="s">
        <v>704</v>
      </c>
      <c r="C64" t="s">
        <v>6</v>
      </c>
      <c r="D64" s="18">
        <v>42264.529374999998</v>
      </c>
      <c r="E64" t="s">
        <v>445</v>
      </c>
      <c r="F64" s="19"/>
      <c r="G64" s="19"/>
      <c r="H64" s="19"/>
      <c r="I64" s="19"/>
      <c r="J64" s="19"/>
      <c r="K64" s="19"/>
      <c r="L64" s="19">
        <v>0.93679372237674774</v>
      </c>
      <c r="M64" s="19">
        <v>0.96439638254665494</v>
      </c>
      <c r="N64" s="19">
        <v>1.6304564554530644E-2</v>
      </c>
      <c r="O64" s="19">
        <v>0.95994132113440533</v>
      </c>
      <c r="P64" s="19">
        <v>2.0487257977216088E-2</v>
      </c>
    </row>
    <row r="65" spans="2:16" x14ac:dyDescent="0.2">
      <c r="B65" t="s">
        <v>706</v>
      </c>
      <c r="C65" t="s">
        <v>6</v>
      </c>
      <c r="D65" s="18">
        <v>42264.529374999998</v>
      </c>
      <c r="E65" t="s">
        <v>445</v>
      </c>
      <c r="F65" s="19">
        <v>0.95953654011001632</v>
      </c>
      <c r="G65" s="19">
        <v>0.89012810386967411</v>
      </c>
      <c r="H65" s="19">
        <v>0.9069563648847605</v>
      </c>
      <c r="I65" s="19">
        <v>7.1656685642629012E-3</v>
      </c>
      <c r="J65" s="19">
        <v>0.91196585287708043</v>
      </c>
      <c r="K65" s="19">
        <v>8.6070797000832051E-3</v>
      </c>
      <c r="L65" s="19">
        <v>0.93679372237674774</v>
      </c>
      <c r="M65" s="19">
        <v>0.96439638254665494</v>
      </c>
      <c r="N65" s="19">
        <v>1.6304564554530644E-2</v>
      </c>
      <c r="O65" s="19">
        <v>0.95994132113440533</v>
      </c>
      <c r="P65" s="19">
        <v>2.0487257977216088E-2</v>
      </c>
    </row>
    <row r="66" spans="2:16" x14ac:dyDescent="0.2">
      <c r="B66" t="s">
        <v>613</v>
      </c>
      <c r="C66" t="s">
        <v>393</v>
      </c>
      <c r="D66" s="18">
        <v>42264.529374999998</v>
      </c>
      <c r="E66" t="s">
        <v>177</v>
      </c>
      <c r="F66" s="19">
        <v>0.97902433625037855</v>
      </c>
      <c r="G66" s="19">
        <v>0.92101833752210771</v>
      </c>
      <c r="H66" s="19">
        <v>0.92923445226437673</v>
      </c>
      <c r="I66" s="19">
        <v>3.7605333529150825E-2</v>
      </c>
      <c r="J66" s="19">
        <v>0.91724431399354001</v>
      </c>
      <c r="K66" s="19">
        <v>4.9159516864430229E-2</v>
      </c>
      <c r="L66" s="19"/>
      <c r="M66" s="19"/>
      <c r="N66" s="19"/>
      <c r="O66" s="19"/>
      <c r="P66" s="19"/>
    </row>
    <row r="67" spans="2:16" x14ac:dyDescent="0.2">
      <c r="B67" t="s">
        <v>678</v>
      </c>
      <c r="C67" t="s">
        <v>377</v>
      </c>
      <c r="D67" s="18">
        <v>42264.529374999998</v>
      </c>
      <c r="E67" t="s">
        <v>677</v>
      </c>
      <c r="F67" s="153">
        <v>0.94799762313216118</v>
      </c>
      <c r="G67" s="153">
        <v>0.87432213117998658</v>
      </c>
      <c r="H67" s="153">
        <v>0.90501767113095244</v>
      </c>
      <c r="I67" s="153">
        <v>0.11609597953217055</v>
      </c>
      <c r="J67" s="153">
        <v>0.84289315928163899</v>
      </c>
      <c r="K67" s="153">
        <v>3.5092575097636074E-2</v>
      </c>
      <c r="L67" s="153"/>
      <c r="M67" s="153"/>
      <c r="N67" s="153"/>
      <c r="O67" s="153"/>
      <c r="P67" s="153"/>
    </row>
    <row r="68" spans="2:16" x14ac:dyDescent="0.2">
      <c r="B68" t="s">
        <v>637</v>
      </c>
      <c r="C68" t="s">
        <v>377</v>
      </c>
      <c r="D68" s="18">
        <v>42264.529374999998</v>
      </c>
      <c r="E68" t="s">
        <v>92</v>
      </c>
      <c r="F68" s="153">
        <v>0.92625848317764381</v>
      </c>
      <c r="G68" s="153">
        <v>0.89885046178031036</v>
      </c>
      <c r="H68" s="153">
        <v>0.83526478403316196</v>
      </c>
      <c r="I68" s="153">
        <v>5.1603898032211715E-2</v>
      </c>
      <c r="J68" s="153">
        <v>0.9029282977558839</v>
      </c>
      <c r="K68" s="153">
        <v>3.6440515410656363E-2</v>
      </c>
      <c r="L68" s="153"/>
      <c r="M68" s="153"/>
      <c r="N68" s="153"/>
      <c r="O68" s="153"/>
      <c r="P68" s="153"/>
    </row>
    <row r="69" spans="2:16" x14ac:dyDescent="0.2">
      <c r="B69" t="s">
        <v>647</v>
      </c>
      <c r="C69" t="s">
        <v>398</v>
      </c>
      <c r="D69" s="18">
        <v>42264.529374999998</v>
      </c>
      <c r="E69" t="s">
        <v>191</v>
      </c>
      <c r="F69" s="153">
        <v>0.96245908126191582</v>
      </c>
      <c r="G69" s="153">
        <v>0.92601939545170975</v>
      </c>
      <c r="H69" s="153">
        <v>0.93631562708066052</v>
      </c>
      <c r="I69" s="153">
        <v>3.6442082871767312E-2</v>
      </c>
      <c r="J69" s="153">
        <v>0.92977172679199294</v>
      </c>
      <c r="K69" s="153">
        <v>4.9210213559376756E-2</v>
      </c>
      <c r="L69" s="153"/>
      <c r="M69" s="153"/>
      <c r="N69" s="153"/>
      <c r="O69" s="153"/>
      <c r="P69" s="153"/>
    </row>
    <row r="70" spans="2:16" x14ac:dyDescent="0.2">
      <c r="B70" t="s">
        <v>651</v>
      </c>
      <c r="C70" t="s">
        <v>377</v>
      </c>
      <c r="D70" s="18">
        <v>42264.529374999998</v>
      </c>
      <c r="E70" t="s">
        <v>193</v>
      </c>
      <c r="F70" s="153">
        <v>0.92664165876581883</v>
      </c>
      <c r="G70" s="153">
        <v>0.80830903790087461</v>
      </c>
      <c r="H70" s="153">
        <v>0.85113303357123427</v>
      </c>
      <c r="I70" s="153">
        <v>4.6607166054369882E-2</v>
      </c>
      <c r="J70" s="153">
        <v>0.88590662664663133</v>
      </c>
      <c r="K70" s="153">
        <v>5.2622901965985208E-2</v>
      </c>
      <c r="L70" s="153"/>
      <c r="M70" s="153"/>
      <c r="N70" s="153"/>
      <c r="O70" s="153"/>
      <c r="P70" s="153"/>
    </row>
    <row r="71" spans="2:16" x14ac:dyDescent="0.2">
      <c r="B71" t="s">
        <v>551</v>
      </c>
      <c r="C71" t="s">
        <v>377</v>
      </c>
      <c r="D71" s="18">
        <v>42264.529374999998</v>
      </c>
      <c r="E71" t="s">
        <v>153</v>
      </c>
      <c r="F71" s="153">
        <v>0.947957143229468</v>
      </c>
      <c r="G71" s="153">
        <v>0.83390133317319237</v>
      </c>
      <c r="H71" s="153">
        <v>0.8463285961585405</v>
      </c>
      <c r="I71" s="153">
        <v>5.0618932350916662E-2</v>
      </c>
      <c r="J71" s="153">
        <v>0.9382900421307242</v>
      </c>
      <c r="K71" s="153">
        <v>3.7965518974789066E-2</v>
      </c>
      <c r="L71" s="153"/>
      <c r="M71" s="153"/>
      <c r="N71" s="153"/>
      <c r="O71" s="153"/>
      <c r="P71" s="153"/>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958</v>
      </c>
      <c r="C2" t="s">
        <v>959</v>
      </c>
      <c r="D2" t="s">
        <v>139</v>
      </c>
      <c r="F2" t="s">
        <v>953</v>
      </c>
      <c r="G2" t="s">
        <v>940</v>
      </c>
      <c r="H2" t="s">
        <v>941</v>
      </c>
      <c r="I2" t="s">
        <v>942</v>
      </c>
      <c r="J2" t="s">
        <v>943</v>
      </c>
      <c r="K2" t="s">
        <v>944</v>
      </c>
      <c r="L2" t="s">
        <v>945</v>
      </c>
      <c r="M2" t="s">
        <v>946</v>
      </c>
      <c r="N2" t="s">
        <v>947</v>
      </c>
      <c r="O2" t="s">
        <v>948</v>
      </c>
      <c r="P2" t="s">
        <v>949</v>
      </c>
      <c r="Q2" t="s">
        <v>950</v>
      </c>
      <c r="R2" t="s">
        <v>951</v>
      </c>
      <c r="S2" t="s">
        <v>952</v>
      </c>
      <c r="V2" t="s">
        <v>954</v>
      </c>
      <c r="W2" t="s">
        <v>940</v>
      </c>
      <c r="X2" t="s">
        <v>941</v>
      </c>
      <c r="Y2" t="s">
        <v>942</v>
      </c>
      <c r="Z2" t="s">
        <v>943</v>
      </c>
      <c r="AA2" t="s">
        <v>944</v>
      </c>
      <c r="AB2" t="s">
        <v>945</v>
      </c>
      <c r="AC2" t="s">
        <v>946</v>
      </c>
      <c r="AD2" t="s">
        <v>947</v>
      </c>
      <c r="AE2" t="s">
        <v>948</v>
      </c>
      <c r="AF2" t="s">
        <v>949</v>
      </c>
      <c r="AG2" t="s">
        <v>950</v>
      </c>
      <c r="AH2" t="s">
        <v>951</v>
      </c>
      <c r="AI2" t="s">
        <v>952</v>
      </c>
      <c r="AL2" t="s">
        <v>955</v>
      </c>
      <c r="AM2" t="s">
        <v>940</v>
      </c>
      <c r="AN2" t="s">
        <v>941</v>
      </c>
      <c r="AO2" t="s">
        <v>942</v>
      </c>
      <c r="AP2" t="s">
        <v>943</v>
      </c>
      <c r="AQ2" t="s">
        <v>944</v>
      </c>
      <c r="AR2" t="s">
        <v>945</v>
      </c>
      <c r="AS2" t="s">
        <v>946</v>
      </c>
      <c r="AT2" t="s">
        <v>947</v>
      </c>
      <c r="AU2" t="s">
        <v>948</v>
      </c>
      <c r="AV2" t="s">
        <v>949</v>
      </c>
      <c r="AW2" t="s">
        <v>950</v>
      </c>
      <c r="AX2" t="s">
        <v>951</v>
      </c>
      <c r="AY2" t="s">
        <v>952</v>
      </c>
    </row>
    <row r="3" spans="2:51" x14ac:dyDescent="0.2">
      <c r="B3" t="s">
        <v>961</v>
      </c>
      <c r="C3">
        <v>380776</v>
      </c>
      <c r="D3">
        <v>406.70106394530001</v>
      </c>
      <c r="F3" t="s">
        <v>8</v>
      </c>
      <c r="G3">
        <v>12522</v>
      </c>
      <c r="P3">
        <v>12522</v>
      </c>
      <c r="Q3">
        <v>186.90153330140001</v>
      </c>
      <c r="V3" t="s">
        <v>316</v>
      </c>
      <c r="W3">
        <v>396</v>
      </c>
      <c r="X3">
        <v>257</v>
      </c>
      <c r="Y3">
        <v>373.5719844358</v>
      </c>
      <c r="Z3">
        <v>23</v>
      </c>
      <c r="AA3">
        <v>585.78260869569999</v>
      </c>
      <c r="AB3">
        <v>76</v>
      </c>
      <c r="AC3">
        <v>535.48684210529996</v>
      </c>
      <c r="AD3">
        <v>35</v>
      </c>
      <c r="AE3">
        <v>673.65714285709998</v>
      </c>
      <c r="AF3">
        <v>27</v>
      </c>
      <c r="AG3">
        <v>230.962962963</v>
      </c>
      <c r="AH3">
        <v>1</v>
      </c>
      <c r="AI3">
        <v>68</v>
      </c>
      <c r="AL3" t="s">
        <v>316</v>
      </c>
      <c r="AM3">
        <v>4</v>
      </c>
      <c r="AN3">
        <v>2</v>
      </c>
      <c r="AO3">
        <v>81.5</v>
      </c>
      <c r="AP3">
        <v>2</v>
      </c>
      <c r="AQ3">
        <v>365.5</v>
      </c>
      <c r="AT3">
        <v>1</v>
      </c>
      <c r="AU3">
        <v>106</v>
      </c>
      <c r="AV3">
        <v>1</v>
      </c>
      <c r="AW3">
        <v>31</v>
      </c>
    </row>
    <row r="4" spans="2:51" x14ac:dyDescent="0.2">
      <c r="B4" t="s">
        <v>960</v>
      </c>
      <c r="C4">
        <v>36844</v>
      </c>
      <c r="D4">
        <v>406.70106394530001</v>
      </c>
      <c r="F4" t="s">
        <v>8</v>
      </c>
      <c r="G4">
        <v>12522</v>
      </c>
      <c r="P4">
        <v>12522</v>
      </c>
      <c r="Q4">
        <v>186.90153330140001</v>
      </c>
      <c r="V4" t="s">
        <v>8</v>
      </c>
      <c r="W4">
        <v>5058</v>
      </c>
      <c r="X4">
        <v>3754</v>
      </c>
      <c r="Y4">
        <v>404.42621204049999</v>
      </c>
      <c r="Z4">
        <v>406</v>
      </c>
      <c r="AA4">
        <v>452.06650246309999</v>
      </c>
      <c r="AB4">
        <v>551</v>
      </c>
      <c r="AC4">
        <v>521.92740471870002</v>
      </c>
      <c r="AD4">
        <v>694</v>
      </c>
      <c r="AE4">
        <v>815.17002881840006</v>
      </c>
      <c r="AF4">
        <v>57</v>
      </c>
      <c r="AG4">
        <v>215.22807017540001</v>
      </c>
      <c r="AH4">
        <v>2</v>
      </c>
      <c r="AI4">
        <v>710</v>
      </c>
      <c r="AL4" t="s">
        <v>8</v>
      </c>
      <c r="AM4">
        <v>42</v>
      </c>
      <c r="AN4">
        <v>32</v>
      </c>
      <c r="AO4">
        <v>226.03125</v>
      </c>
      <c r="AP4">
        <v>7</v>
      </c>
      <c r="AQ4">
        <v>286</v>
      </c>
      <c r="AR4">
        <v>10</v>
      </c>
      <c r="AS4">
        <v>151.30000000000001</v>
      </c>
    </row>
    <row r="5" spans="2:51" x14ac:dyDescent="0.2">
      <c r="B5" t="s">
        <v>972</v>
      </c>
      <c r="C5">
        <v>21009</v>
      </c>
      <c r="D5">
        <v>554.46913227660002</v>
      </c>
      <c r="F5" t="s">
        <v>46</v>
      </c>
      <c r="G5">
        <v>530</v>
      </c>
      <c r="H5">
        <v>414</v>
      </c>
      <c r="I5">
        <v>226.2874396135</v>
      </c>
      <c r="J5">
        <v>18</v>
      </c>
      <c r="K5">
        <v>475.1666666667</v>
      </c>
      <c r="L5">
        <v>89</v>
      </c>
      <c r="M5">
        <v>153.75280898880001</v>
      </c>
      <c r="N5">
        <v>27</v>
      </c>
      <c r="O5">
        <v>229.962962963</v>
      </c>
      <c r="V5" t="s">
        <v>8</v>
      </c>
      <c r="W5">
        <v>5454</v>
      </c>
      <c r="X5">
        <v>4011</v>
      </c>
      <c r="Y5">
        <v>402.4492645226</v>
      </c>
      <c r="Z5">
        <v>429</v>
      </c>
      <c r="AA5">
        <v>459.23543123539997</v>
      </c>
      <c r="AB5">
        <v>627</v>
      </c>
      <c r="AC5">
        <v>523.57097288679995</v>
      </c>
      <c r="AD5">
        <v>729</v>
      </c>
      <c r="AE5">
        <v>808.37585733879996</v>
      </c>
      <c r="AF5">
        <v>84</v>
      </c>
      <c r="AG5">
        <v>220.28571428570001</v>
      </c>
      <c r="AH5">
        <v>3</v>
      </c>
      <c r="AI5">
        <v>496</v>
      </c>
      <c r="AL5" t="s">
        <v>8</v>
      </c>
      <c r="AM5">
        <v>46</v>
      </c>
      <c r="AN5">
        <v>34</v>
      </c>
      <c r="AO5">
        <v>217.5294117647</v>
      </c>
      <c r="AP5">
        <v>9</v>
      </c>
      <c r="AQ5">
        <v>303.6666666667</v>
      </c>
      <c r="AR5">
        <v>10</v>
      </c>
      <c r="AS5">
        <v>151.30000000000001</v>
      </c>
      <c r="AT5">
        <v>1</v>
      </c>
      <c r="AU5">
        <v>106</v>
      </c>
      <c r="AV5">
        <v>1</v>
      </c>
      <c r="AW5">
        <v>31</v>
      </c>
    </row>
    <row r="6" spans="2:51" x14ac:dyDescent="0.2">
      <c r="B6" t="s">
        <v>247</v>
      </c>
      <c r="C6">
        <v>55833</v>
      </c>
      <c r="D6">
        <v>617.44765640390006</v>
      </c>
      <c r="F6" t="s">
        <v>40</v>
      </c>
      <c r="G6">
        <v>7601</v>
      </c>
      <c r="H6">
        <v>5608</v>
      </c>
      <c r="I6">
        <v>455.46950784590001</v>
      </c>
      <c r="J6">
        <v>278</v>
      </c>
      <c r="K6">
        <v>1005.9424460432</v>
      </c>
      <c r="L6">
        <v>1424</v>
      </c>
      <c r="M6">
        <v>565.37851123600001</v>
      </c>
      <c r="N6">
        <v>544</v>
      </c>
      <c r="O6">
        <v>664.26654411760001</v>
      </c>
      <c r="R6">
        <v>25</v>
      </c>
      <c r="S6">
        <v>531.96</v>
      </c>
      <c r="V6" t="s">
        <v>407</v>
      </c>
      <c r="W6">
        <v>1196</v>
      </c>
      <c r="X6">
        <v>609</v>
      </c>
      <c r="Y6">
        <v>159.5582922824</v>
      </c>
      <c r="Z6">
        <v>256</v>
      </c>
      <c r="AA6">
        <v>271.51171875</v>
      </c>
      <c r="AB6">
        <v>373</v>
      </c>
      <c r="AC6">
        <v>258.86595174259998</v>
      </c>
      <c r="AD6">
        <v>115</v>
      </c>
      <c r="AE6">
        <v>256.09565217390002</v>
      </c>
      <c r="AF6">
        <v>97</v>
      </c>
      <c r="AG6">
        <v>186.58762886599999</v>
      </c>
      <c r="AH6">
        <v>2</v>
      </c>
      <c r="AI6">
        <v>175.5</v>
      </c>
      <c r="AL6" t="s">
        <v>407</v>
      </c>
      <c r="AM6">
        <v>24</v>
      </c>
      <c r="AN6">
        <v>15</v>
      </c>
      <c r="AO6">
        <v>65.066666666700002</v>
      </c>
      <c r="AP6">
        <v>14</v>
      </c>
      <c r="AQ6">
        <v>214.42857142860001</v>
      </c>
      <c r="AR6">
        <v>7</v>
      </c>
      <c r="AS6">
        <v>85</v>
      </c>
      <c r="AT6">
        <v>2</v>
      </c>
      <c r="AU6">
        <v>115.5</v>
      </c>
    </row>
    <row r="7" spans="2:51" x14ac:dyDescent="0.2">
      <c r="B7" t="s">
        <v>246</v>
      </c>
      <c r="C7">
        <v>223934</v>
      </c>
      <c r="D7">
        <v>395.95849223430002</v>
      </c>
      <c r="F7" t="s">
        <v>45</v>
      </c>
      <c r="G7">
        <v>6059</v>
      </c>
      <c r="H7">
        <v>4297</v>
      </c>
      <c r="I7">
        <v>394.10356062369999</v>
      </c>
      <c r="J7">
        <v>531</v>
      </c>
      <c r="K7">
        <v>469.02071563089999</v>
      </c>
      <c r="L7">
        <v>1176</v>
      </c>
      <c r="M7">
        <v>596.50680272110003</v>
      </c>
      <c r="N7">
        <v>582</v>
      </c>
      <c r="O7">
        <v>437.15292096220003</v>
      </c>
      <c r="R7">
        <v>4</v>
      </c>
      <c r="S7">
        <v>809</v>
      </c>
      <c r="V7" t="s">
        <v>399</v>
      </c>
      <c r="W7">
        <v>14030</v>
      </c>
      <c r="X7">
        <v>10193</v>
      </c>
      <c r="Y7">
        <v>631.29530069659995</v>
      </c>
      <c r="Z7">
        <v>242</v>
      </c>
      <c r="AA7">
        <v>980.70661157020004</v>
      </c>
      <c r="AB7">
        <v>2728</v>
      </c>
      <c r="AC7">
        <v>1310.146627566</v>
      </c>
      <c r="AD7">
        <v>849</v>
      </c>
      <c r="AE7">
        <v>813.66902237930003</v>
      </c>
      <c r="AF7">
        <v>237</v>
      </c>
      <c r="AG7">
        <v>252.3291139241</v>
      </c>
      <c r="AH7">
        <v>23</v>
      </c>
      <c r="AI7">
        <v>653.91304347829998</v>
      </c>
      <c r="AL7" t="s">
        <v>399</v>
      </c>
      <c r="AM7">
        <v>206</v>
      </c>
      <c r="AN7">
        <v>176</v>
      </c>
      <c r="AO7">
        <v>300.82386363640001</v>
      </c>
      <c r="AP7">
        <v>29</v>
      </c>
      <c r="AQ7">
        <v>643.65517241379996</v>
      </c>
      <c r="AR7">
        <v>28</v>
      </c>
      <c r="AS7">
        <v>124.8571428571</v>
      </c>
      <c r="AT7">
        <v>1</v>
      </c>
      <c r="AU7">
        <v>156</v>
      </c>
      <c r="AV7">
        <v>1</v>
      </c>
      <c r="AW7">
        <v>93</v>
      </c>
    </row>
    <row r="8" spans="2:51" x14ac:dyDescent="0.2">
      <c r="B8" t="s">
        <v>248</v>
      </c>
      <c r="C8">
        <v>23890</v>
      </c>
      <c r="D8">
        <v>521.28221012979998</v>
      </c>
      <c r="F8" t="s">
        <v>53</v>
      </c>
      <c r="G8">
        <v>1411</v>
      </c>
      <c r="H8">
        <v>483</v>
      </c>
      <c r="I8">
        <v>94.869565217399995</v>
      </c>
      <c r="J8">
        <v>315</v>
      </c>
      <c r="K8">
        <v>198.64761904759999</v>
      </c>
      <c r="L8">
        <v>684</v>
      </c>
      <c r="M8">
        <v>255.89619883040001</v>
      </c>
      <c r="N8">
        <v>238</v>
      </c>
      <c r="O8">
        <v>231.3865546218</v>
      </c>
      <c r="R8">
        <v>6</v>
      </c>
      <c r="S8">
        <v>197.8333333333</v>
      </c>
      <c r="V8" t="s">
        <v>430</v>
      </c>
      <c r="W8">
        <v>1378</v>
      </c>
      <c r="X8">
        <v>937</v>
      </c>
      <c r="Y8">
        <v>228.4386339381</v>
      </c>
      <c r="Z8">
        <v>225</v>
      </c>
      <c r="AA8">
        <v>439.72888888889997</v>
      </c>
      <c r="AB8">
        <v>140</v>
      </c>
      <c r="AC8">
        <v>252.43571428569999</v>
      </c>
      <c r="AD8">
        <v>189</v>
      </c>
      <c r="AE8">
        <v>363.76719576720001</v>
      </c>
      <c r="AF8">
        <v>111</v>
      </c>
      <c r="AG8">
        <v>169.2522522523</v>
      </c>
      <c r="AH8">
        <v>1</v>
      </c>
      <c r="AI8">
        <v>52</v>
      </c>
      <c r="AL8" t="s">
        <v>430</v>
      </c>
      <c r="AM8">
        <v>17</v>
      </c>
      <c r="AN8">
        <v>12</v>
      </c>
      <c r="AO8">
        <v>114.9166666667</v>
      </c>
      <c r="AP8">
        <v>19</v>
      </c>
      <c r="AQ8">
        <v>257.57894736840001</v>
      </c>
      <c r="AR8">
        <v>3</v>
      </c>
      <c r="AS8">
        <v>47.666666666700003</v>
      </c>
      <c r="AT8">
        <v>2</v>
      </c>
      <c r="AU8">
        <v>114</v>
      </c>
    </row>
    <row r="9" spans="2:51" x14ac:dyDescent="0.2">
      <c r="B9" t="s">
        <v>249</v>
      </c>
      <c r="C9">
        <v>12522</v>
      </c>
      <c r="D9">
        <v>186.90153330140001</v>
      </c>
      <c r="F9" t="s">
        <v>84</v>
      </c>
      <c r="G9">
        <v>1267</v>
      </c>
      <c r="H9">
        <v>932</v>
      </c>
      <c r="I9">
        <v>225.71995708150001</v>
      </c>
      <c r="J9">
        <v>239</v>
      </c>
      <c r="K9">
        <v>419.32217573219998</v>
      </c>
      <c r="L9">
        <v>137</v>
      </c>
      <c r="M9">
        <v>208.63503649640001</v>
      </c>
      <c r="N9">
        <v>196</v>
      </c>
      <c r="O9">
        <v>351.41836734690003</v>
      </c>
      <c r="R9">
        <v>2</v>
      </c>
      <c r="S9">
        <v>277</v>
      </c>
      <c r="V9" t="s">
        <v>400</v>
      </c>
      <c r="W9">
        <v>8070</v>
      </c>
      <c r="X9">
        <v>6104</v>
      </c>
      <c r="Y9">
        <v>495.62467234600001</v>
      </c>
      <c r="Z9">
        <v>159</v>
      </c>
      <c r="AA9">
        <v>778.84276729559997</v>
      </c>
      <c r="AB9">
        <v>1395</v>
      </c>
      <c r="AC9">
        <v>951.35985663079998</v>
      </c>
      <c r="AD9">
        <v>412</v>
      </c>
      <c r="AE9">
        <v>634.16504854369998</v>
      </c>
      <c r="AF9">
        <v>158</v>
      </c>
      <c r="AG9">
        <v>187.64556962029999</v>
      </c>
      <c r="AH9">
        <v>1</v>
      </c>
      <c r="AI9">
        <v>58</v>
      </c>
      <c r="AL9" t="s">
        <v>400</v>
      </c>
      <c r="AM9">
        <v>114</v>
      </c>
      <c r="AN9">
        <v>102</v>
      </c>
      <c r="AO9">
        <v>300.29411764709999</v>
      </c>
      <c r="AP9">
        <v>11</v>
      </c>
      <c r="AQ9">
        <v>450.36363636359999</v>
      </c>
      <c r="AR9">
        <v>10</v>
      </c>
      <c r="AS9">
        <v>290.7</v>
      </c>
      <c r="AT9">
        <v>2</v>
      </c>
      <c r="AU9">
        <v>54</v>
      </c>
    </row>
    <row r="10" spans="2:51" x14ac:dyDescent="0.2">
      <c r="B10" t="s">
        <v>956</v>
      </c>
      <c r="C10">
        <v>432</v>
      </c>
      <c r="D10">
        <v>441.3912037037</v>
      </c>
      <c r="F10" t="s">
        <v>79</v>
      </c>
      <c r="G10">
        <v>1655</v>
      </c>
      <c r="H10">
        <v>737</v>
      </c>
      <c r="I10">
        <v>124.1587516961</v>
      </c>
      <c r="J10">
        <v>561</v>
      </c>
      <c r="K10">
        <v>201.74153297679999</v>
      </c>
      <c r="L10">
        <v>838</v>
      </c>
      <c r="M10">
        <v>300.57517899760001</v>
      </c>
      <c r="N10">
        <v>80</v>
      </c>
      <c r="O10">
        <v>120.825</v>
      </c>
      <c r="V10" t="s">
        <v>402</v>
      </c>
      <c r="W10">
        <v>7804</v>
      </c>
      <c r="X10">
        <v>5516</v>
      </c>
      <c r="Y10">
        <v>451.65572878900002</v>
      </c>
      <c r="Z10">
        <v>278</v>
      </c>
      <c r="AA10">
        <v>978.21942446039998</v>
      </c>
      <c r="AB10">
        <v>1420</v>
      </c>
      <c r="AC10">
        <v>569.70000000000005</v>
      </c>
      <c r="AD10">
        <v>539</v>
      </c>
      <c r="AE10">
        <v>657.44526901669997</v>
      </c>
      <c r="AF10">
        <v>304</v>
      </c>
      <c r="AG10">
        <v>213.94078947369999</v>
      </c>
      <c r="AH10">
        <v>25</v>
      </c>
      <c r="AI10">
        <v>531.96</v>
      </c>
      <c r="AL10" t="s">
        <v>402</v>
      </c>
      <c r="AM10">
        <v>280</v>
      </c>
      <c r="AN10">
        <v>218</v>
      </c>
      <c r="AO10">
        <v>310.09633027519999</v>
      </c>
      <c r="AP10">
        <v>30</v>
      </c>
      <c r="AQ10">
        <v>528.4</v>
      </c>
      <c r="AR10">
        <v>53</v>
      </c>
      <c r="AS10">
        <v>347.20754716980002</v>
      </c>
      <c r="AT10">
        <v>7</v>
      </c>
      <c r="AU10">
        <v>99</v>
      </c>
      <c r="AV10">
        <v>2</v>
      </c>
      <c r="AW10">
        <v>283</v>
      </c>
    </row>
    <row r="11" spans="2:51" x14ac:dyDescent="0.2">
      <c r="F11" t="s">
        <v>41</v>
      </c>
      <c r="G11">
        <v>13959</v>
      </c>
      <c r="H11">
        <v>10328</v>
      </c>
      <c r="I11">
        <v>636.72569713400003</v>
      </c>
      <c r="J11">
        <v>227</v>
      </c>
      <c r="K11">
        <v>1046.8898678414</v>
      </c>
      <c r="L11">
        <v>2773</v>
      </c>
      <c r="M11">
        <v>1321.9221060223999</v>
      </c>
      <c r="N11">
        <v>834</v>
      </c>
      <c r="O11">
        <v>828.20743405279995</v>
      </c>
      <c r="R11">
        <v>24</v>
      </c>
      <c r="S11">
        <v>625.66666666670005</v>
      </c>
      <c r="V11" t="s">
        <v>403</v>
      </c>
      <c r="W11">
        <v>6347</v>
      </c>
      <c r="X11">
        <v>4242</v>
      </c>
      <c r="Y11">
        <v>397.24139556810002</v>
      </c>
      <c r="Z11">
        <v>521</v>
      </c>
      <c r="AA11">
        <v>472.21497120919997</v>
      </c>
      <c r="AB11">
        <v>1185</v>
      </c>
      <c r="AC11">
        <v>606.6902953586</v>
      </c>
      <c r="AD11">
        <v>574</v>
      </c>
      <c r="AE11">
        <v>451.13066202089999</v>
      </c>
      <c r="AF11">
        <v>342</v>
      </c>
      <c r="AG11">
        <v>177.5058479532</v>
      </c>
      <c r="AH11">
        <v>4</v>
      </c>
      <c r="AI11">
        <v>809</v>
      </c>
      <c r="AL11" t="s">
        <v>403</v>
      </c>
      <c r="AM11">
        <v>201</v>
      </c>
      <c r="AN11">
        <v>179</v>
      </c>
      <c r="AO11">
        <v>282.57541899440002</v>
      </c>
      <c r="AP11">
        <v>29</v>
      </c>
      <c r="AQ11">
        <v>513.31034482760003</v>
      </c>
      <c r="AR11">
        <v>17</v>
      </c>
      <c r="AS11">
        <v>287.4117647059</v>
      </c>
      <c r="AT11">
        <v>3</v>
      </c>
      <c r="AU11">
        <v>548</v>
      </c>
      <c r="AV11">
        <v>2</v>
      </c>
      <c r="AW11">
        <v>88.5</v>
      </c>
    </row>
    <row r="12" spans="2:51" x14ac:dyDescent="0.2">
      <c r="F12" t="s">
        <v>59</v>
      </c>
      <c r="G12">
        <v>3149</v>
      </c>
      <c r="H12">
        <v>2620</v>
      </c>
      <c r="I12">
        <v>278.48816793890001</v>
      </c>
      <c r="J12">
        <v>200</v>
      </c>
      <c r="K12">
        <v>538.59500000000003</v>
      </c>
      <c r="L12">
        <v>475</v>
      </c>
      <c r="M12">
        <v>315.18105263159998</v>
      </c>
      <c r="N12">
        <v>54</v>
      </c>
      <c r="O12">
        <v>120.7777777778</v>
      </c>
      <c r="V12" t="s">
        <v>405</v>
      </c>
      <c r="W12">
        <v>6837</v>
      </c>
      <c r="X12">
        <v>5536</v>
      </c>
      <c r="Y12">
        <v>289.85513005780001</v>
      </c>
      <c r="Z12">
        <v>408</v>
      </c>
      <c r="AA12">
        <v>554.58823529409995</v>
      </c>
      <c r="AB12">
        <v>452</v>
      </c>
      <c r="AC12">
        <v>226.96681415929999</v>
      </c>
      <c r="AD12">
        <v>494</v>
      </c>
      <c r="AE12">
        <v>346.03846153849997</v>
      </c>
      <c r="AF12">
        <v>343</v>
      </c>
      <c r="AG12">
        <v>180.0087463557</v>
      </c>
      <c r="AH12">
        <v>12</v>
      </c>
      <c r="AI12">
        <v>284</v>
      </c>
      <c r="AL12" t="s">
        <v>405</v>
      </c>
      <c r="AM12">
        <v>161</v>
      </c>
      <c r="AN12">
        <v>139</v>
      </c>
      <c r="AO12">
        <v>294.41007194240001</v>
      </c>
      <c r="AP12">
        <v>27</v>
      </c>
      <c r="AQ12">
        <v>438.25925925929999</v>
      </c>
      <c r="AR12">
        <v>21</v>
      </c>
      <c r="AS12">
        <v>260.61904761900001</v>
      </c>
      <c r="AT12">
        <v>1</v>
      </c>
      <c r="AU12">
        <v>143</v>
      </c>
    </row>
    <row r="13" spans="2:51" x14ac:dyDescent="0.2">
      <c r="F13" t="s">
        <v>78</v>
      </c>
      <c r="G13">
        <v>6379</v>
      </c>
      <c r="H13">
        <v>5458</v>
      </c>
      <c r="I13">
        <v>285.39483327229999</v>
      </c>
      <c r="J13">
        <v>386</v>
      </c>
      <c r="K13">
        <v>551.94300518130001</v>
      </c>
      <c r="L13">
        <v>427</v>
      </c>
      <c r="M13">
        <v>201.03512880560001</v>
      </c>
      <c r="N13">
        <v>485</v>
      </c>
      <c r="O13">
        <v>348.67835051549997</v>
      </c>
      <c r="R13">
        <v>9</v>
      </c>
      <c r="S13">
        <v>327.7777777778</v>
      </c>
      <c r="V13" t="s">
        <v>408</v>
      </c>
      <c r="W13">
        <v>1579</v>
      </c>
      <c r="X13">
        <v>508</v>
      </c>
      <c r="Y13">
        <v>114.16141732280001</v>
      </c>
      <c r="Z13">
        <v>308</v>
      </c>
      <c r="AA13">
        <v>199.3928571429</v>
      </c>
      <c r="AB13">
        <v>675</v>
      </c>
      <c r="AC13">
        <v>260.79111111110001</v>
      </c>
      <c r="AD13">
        <v>231</v>
      </c>
      <c r="AE13">
        <v>234.4588744589</v>
      </c>
      <c r="AF13">
        <v>160</v>
      </c>
      <c r="AG13">
        <v>201.90625</v>
      </c>
      <c r="AH13">
        <v>5</v>
      </c>
      <c r="AI13">
        <v>276</v>
      </c>
      <c r="AL13" t="s">
        <v>408</v>
      </c>
      <c r="AM13">
        <v>22</v>
      </c>
      <c r="AN13">
        <v>13</v>
      </c>
      <c r="AO13">
        <v>181.69230769230001</v>
      </c>
      <c r="AP13">
        <v>11</v>
      </c>
      <c r="AQ13">
        <v>194.8181818182</v>
      </c>
      <c r="AR13">
        <v>6</v>
      </c>
      <c r="AS13">
        <v>97.166666666699996</v>
      </c>
      <c r="AT13">
        <v>3</v>
      </c>
      <c r="AU13">
        <v>73.333333333300004</v>
      </c>
    </row>
    <row r="14" spans="2:51" x14ac:dyDescent="0.2">
      <c r="F14" t="s">
        <v>44</v>
      </c>
      <c r="G14">
        <v>1075</v>
      </c>
      <c r="H14">
        <v>586</v>
      </c>
      <c r="I14">
        <v>138.05631399320001</v>
      </c>
      <c r="J14">
        <v>262</v>
      </c>
      <c r="K14">
        <v>273.96946564889998</v>
      </c>
      <c r="L14">
        <v>371</v>
      </c>
      <c r="M14">
        <v>257.26684636120001</v>
      </c>
      <c r="N14">
        <v>116</v>
      </c>
      <c r="O14">
        <v>260.4827586207</v>
      </c>
      <c r="R14">
        <v>2</v>
      </c>
      <c r="S14">
        <v>175.5</v>
      </c>
      <c r="V14" t="s">
        <v>409</v>
      </c>
      <c r="W14">
        <v>2107</v>
      </c>
      <c r="X14">
        <v>916</v>
      </c>
      <c r="Y14">
        <v>161.95196506549999</v>
      </c>
      <c r="Z14">
        <v>566</v>
      </c>
      <c r="AA14">
        <v>207.6819787986</v>
      </c>
      <c r="AB14">
        <v>876</v>
      </c>
      <c r="AC14">
        <v>309.13242009129999</v>
      </c>
      <c r="AD14">
        <v>95</v>
      </c>
      <c r="AE14">
        <v>184.2210526316</v>
      </c>
      <c r="AF14">
        <v>220</v>
      </c>
      <c r="AG14">
        <v>169.04545454550001</v>
      </c>
      <c r="AL14" t="s">
        <v>409</v>
      </c>
      <c r="AM14">
        <v>26</v>
      </c>
      <c r="AN14">
        <v>17</v>
      </c>
      <c r="AO14">
        <v>86.588235294100002</v>
      </c>
      <c r="AP14">
        <v>22</v>
      </c>
      <c r="AQ14">
        <v>196.4090909091</v>
      </c>
      <c r="AR14">
        <v>5</v>
      </c>
      <c r="AS14">
        <v>42.8</v>
      </c>
      <c r="AT14">
        <v>4</v>
      </c>
      <c r="AU14">
        <v>181</v>
      </c>
    </row>
    <row r="15" spans="2:51" x14ac:dyDescent="0.2">
      <c r="F15" t="s">
        <v>77</v>
      </c>
      <c r="G15">
        <v>232</v>
      </c>
      <c r="H15">
        <v>107</v>
      </c>
      <c r="I15">
        <v>92.598130841100001</v>
      </c>
      <c r="J15">
        <v>109</v>
      </c>
      <c r="K15">
        <v>176.36697247710001</v>
      </c>
      <c r="L15">
        <v>75</v>
      </c>
      <c r="M15">
        <v>198.0533333333</v>
      </c>
      <c r="N15">
        <v>46</v>
      </c>
      <c r="O15">
        <v>246.17391304349999</v>
      </c>
      <c r="R15">
        <v>4</v>
      </c>
      <c r="S15">
        <v>158.5</v>
      </c>
      <c r="V15" t="s">
        <v>404</v>
      </c>
      <c r="W15">
        <v>3318</v>
      </c>
      <c r="X15">
        <v>2631</v>
      </c>
      <c r="Y15">
        <v>286.34169517290002</v>
      </c>
      <c r="Z15">
        <v>217</v>
      </c>
      <c r="AA15">
        <v>539.15668202760003</v>
      </c>
      <c r="AB15">
        <v>472</v>
      </c>
      <c r="AC15">
        <v>319.02754237289997</v>
      </c>
      <c r="AD15">
        <v>72</v>
      </c>
      <c r="AE15">
        <v>176.9166666667</v>
      </c>
      <c r="AF15">
        <v>143</v>
      </c>
      <c r="AG15">
        <v>120.3706293706</v>
      </c>
      <c r="AL15" t="s">
        <v>404</v>
      </c>
      <c r="AM15">
        <v>86</v>
      </c>
      <c r="AN15">
        <v>66</v>
      </c>
      <c r="AO15">
        <v>213.87878787880001</v>
      </c>
      <c r="AP15">
        <v>6</v>
      </c>
      <c r="AQ15">
        <v>325</v>
      </c>
      <c r="AR15">
        <v>16</v>
      </c>
      <c r="AS15">
        <v>207.875</v>
      </c>
      <c r="AT15">
        <v>4</v>
      </c>
      <c r="AU15">
        <v>140.25</v>
      </c>
    </row>
    <row r="16" spans="2:51" x14ac:dyDescent="0.2">
      <c r="F16" t="s">
        <v>51</v>
      </c>
      <c r="G16">
        <v>8157</v>
      </c>
      <c r="H16">
        <v>6342</v>
      </c>
      <c r="I16">
        <v>496.87969094919998</v>
      </c>
      <c r="J16">
        <v>154</v>
      </c>
      <c r="K16">
        <v>786.09090909090003</v>
      </c>
      <c r="L16">
        <v>1417</v>
      </c>
      <c r="M16">
        <v>955.27593507409995</v>
      </c>
      <c r="N16">
        <v>397</v>
      </c>
      <c r="O16">
        <v>644.19143576830004</v>
      </c>
      <c r="R16">
        <v>1</v>
      </c>
      <c r="S16">
        <v>58</v>
      </c>
      <c r="V16" t="s">
        <v>427</v>
      </c>
      <c r="W16">
        <v>414</v>
      </c>
      <c r="X16">
        <v>302</v>
      </c>
      <c r="Y16">
        <v>240.84105960260001</v>
      </c>
      <c r="Z16">
        <v>13</v>
      </c>
      <c r="AA16">
        <v>446.30769230769999</v>
      </c>
      <c r="AB16">
        <v>69</v>
      </c>
      <c r="AC16">
        <v>212.17391304349999</v>
      </c>
      <c r="AD16">
        <v>16</v>
      </c>
      <c r="AE16">
        <v>212.8125</v>
      </c>
      <c r="AF16">
        <v>27</v>
      </c>
      <c r="AG16">
        <v>153.14814814810001</v>
      </c>
      <c r="AL16" t="s">
        <v>427</v>
      </c>
      <c r="AM16">
        <v>2</v>
      </c>
      <c r="AN16">
        <v>2</v>
      </c>
      <c r="AO16">
        <v>55.5</v>
      </c>
      <c r="AP16">
        <v>4</v>
      </c>
      <c r="AQ16">
        <v>273</v>
      </c>
    </row>
    <row r="17" spans="6:49" x14ac:dyDescent="0.2">
      <c r="F17" t="s">
        <v>398</v>
      </c>
      <c r="G17">
        <v>51474</v>
      </c>
      <c r="H17">
        <v>37912</v>
      </c>
      <c r="I17">
        <v>442.9880776535</v>
      </c>
      <c r="J17">
        <v>3280</v>
      </c>
      <c r="K17">
        <v>482.83506097560002</v>
      </c>
      <c r="L17">
        <v>9886</v>
      </c>
      <c r="M17">
        <v>742.55937689660004</v>
      </c>
      <c r="N17">
        <v>3599</v>
      </c>
      <c r="O17">
        <v>533.27229786049998</v>
      </c>
      <c r="R17">
        <v>77</v>
      </c>
      <c r="S17">
        <v>484.22077922080001</v>
      </c>
      <c r="V17" t="s">
        <v>428</v>
      </c>
      <c r="W17">
        <v>193</v>
      </c>
      <c r="X17">
        <v>48</v>
      </c>
      <c r="Y17">
        <v>294.8333333333</v>
      </c>
      <c r="Z17">
        <v>26</v>
      </c>
      <c r="AA17">
        <v>259.76923076920002</v>
      </c>
      <c r="AB17">
        <v>41</v>
      </c>
      <c r="AC17">
        <v>368.02439024389997</v>
      </c>
      <c r="AD17">
        <v>45</v>
      </c>
      <c r="AE17">
        <v>254.86666666670001</v>
      </c>
      <c r="AF17">
        <v>55</v>
      </c>
      <c r="AG17">
        <v>195.47272727270001</v>
      </c>
      <c r="AH17">
        <v>4</v>
      </c>
      <c r="AI17">
        <v>158.5</v>
      </c>
      <c r="AL17" t="s">
        <v>428</v>
      </c>
      <c r="AM17">
        <v>7</v>
      </c>
      <c r="AN17">
        <v>5</v>
      </c>
      <c r="AO17">
        <v>158.19999999999999</v>
      </c>
      <c r="AP17">
        <v>6</v>
      </c>
      <c r="AQ17">
        <v>215.5</v>
      </c>
      <c r="AR17">
        <v>2</v>
      </c>
      <c r="AS17">
        <v>115</v>
      </c>
    </row>
    <row r="18" spans="6:49" x14ac:dyDescent="0.2">
      <c r="F18" t="s">
        <v>71</v>
      </c>
      <c r="G18">
        <v>2854</v>
      </c>
      <c r="H18">
        <v>2294</v>
      </c>
      <c r="I18">
        <v>262.93374019179998</v>
      </c>
      <c r="J18">
        <v>150</v>
      </c>
      <c r="K18">
        <v>670.32</v>
      </c>
      <c r="L18">
        <v>331</v>
      </c>
      <c r="M18">
        <v>277.77643504529999</v>
      </c>
      <c r="N18">
        <v>226</v>
      </c>
      <c r="O18">
        <v>489.88053097350002</v>
      </c>
      <c r="R18">
        <v>3</v>
      </c>
      <c r="S18">
        <v>880.66666666670005</v>
      </c>
      <c r="V18" t="s">
        <v>398</v>
      </c>
      <c r="W18">
        <v>53273</v>
      </c>
      <c r="X18">
        <v>37542</v>
      </c>
      <c r="Y18">
        <v>442.14389217410002</v>
      </c>
      <c r="Z18">
        <v>3219</v>
      </c>
      <c r="AA18">
        <v>491.5712954334</v>
      </c>
      <c r="AB18">
        <v>9826</v>
      </c>
      <c r="AC18">
        <v>741.9865662528</v>
      </c>
      <c r="AD18">
        <v>3631</v>
      </c>
      <c r="AE18">
        <v>532.58386119529996</v>
      </c>
      <c r="AF18">
        <v>2197</v>
      </c>
      <c r="AG18">
        <v>189.0842057351</v>
      </c>
      <c r="AH18">
        <v>77</v>
      </c>
      <c r="AI18">
        <v>486.46753246750001</v>
      </c>
      <c r="AL18" t="s">
        <v>398</v>
      </c>
      <c r="AM18">
        <v>1146</v>
      </c>
      <c r="AN18">
        <v>944</v>
      </c>
      <c r="AO18">
        <v>279.54131355930002</v>
      </c>
      <c r="AP18">
        <v>208</v>
      </c>
      <c r="AQ18">
        <v>408.10576923079998</v>
      </c>
      <c r="AR18">
        <v>168</v>
      </c>
      <c r="AS18">
        <v>239.61309523809999</v>
      </c>
      <c r="AT18">
        <v>29</v>
      </c>
      <c r="AU18">
        <v>162.34482758620001</v>
      </c>
      <c r="AV18">
        <v>5</v>
      </c>
      <c r="AW18">
        <v>167.2</v>
      </c>
    </row>
    <row r="19" spans="6:49" x14ac:dyDescent="0.2">
      <c r="F19" t="s">
        <v>37</v>
      </c>
      <c r="G19">
        <v>905</v>
      </c>
      <c r="H19">
        <v>572</v>
      </c>
      <c r="I19">
        <v>250.95454545449999</v>
      </c>
      <c r="J19">
        <v>74</v>
      </c>
      <c r="K19">
        <v>484.13513513509997</v>
      </c>
      <c r="L19">
        <v>154</v>
      </c>
      <c r="M19">
        <v>238.25974025970001</v>
      </c>
      <c r="N19">
        <v>175</v>
      </c>
      <c r="O19">
        <v>559.87428571429996</v>
      </c>
      <c r="R19">
        <v>4</v>
      </c>
      <c r="S19">
        <v>352</v>
      </c>
      <c r="V19" t="s">
        <v>416</v>
      </c>
      <c r="W19">
        <v>991</v>
      </c>
      <c r="X19">
        <v>598</v>
      </c>
      <c r="Y19">
        <v>269.06856187289998</v>
      </c>
      <c r="Z19">
        <v>79</v>
      </c>
      <c r="AA19">
        <v>491.53164556960002</v>
      </c>
      <c r="AB19">
        <v>156</v>
      </c>
      <c r="AC19">
        <v>248.80128205130001</v>
      </c>
      <c r="AD19">
        <v>165</v>
      </c>
      <c r="AE19">
        <v>556.92727272729996</v>
      </c>
      <c r="AF19">
        <v>69</v>
      </c>
      <c r="AG19">
        <v>178.0434782609</v>
      </c>
      <c r="AH19">
        <v>3</v>
      </c>
      <c r="AI19">
        <v>419.6666666667</v>
      </c>
      <c r="AL19" t="s">
        <v>416</v>
      </c>
      <c r="AM19">
        <v>5</v>
      </c>
      <c r="AN19">
        <v>4</v>
      </c>
      <c r="AO19">
        <v>158.75</v>
      </c>
      <c r="AP19">
        <v>9</v>
      </c>
      <c r="AQ19">
        <v>223.44444444440001</v>
      </c>
      <c r="AR19">
        <v>1</v>
      </c>
      <c r="AS19">
        <v>18</v>
      </c>
    </row>
    <row r="20" spans="6:49" x14ac:dyDescent="0.2">
      <c r="F20" t="s">
        <v>58</v>
      </c>
      <c r="G20">
        <v>1033</v>
      </c>
      <c r="H20">
        <v>449</v>
      </c>
      <c r="I20">
        <v>175.71937639199999</v>
      </c>
      <c r="J20">
        <v>150</v>
      </c>
      <c r="K20">
        <v>329.92666666669999</v>
      </c>
      <c r="L20">
        <v>230</v>
      </c>
      <c r="M20">
        <v>308.94347826090001</v>
      </c>
      <c r="N20">
        <v>351</v>
      </c>
      <c r="O20">
        <v>556.76068376069998</v>
      </c>
      <c r="R20">
        <v>3</v>
      </c>
      <c r="S20">
        <v>491</v>
      </c>
      <c r="V20" t="s">
        <v>432</v>
      </c>
      <c r="W20">
        <v>296</v>
      </c>
      <c r="X20">
        <v>149</v>
      </c>
      <c r="Y20">
        <v>203.95302013419999</v>
      </c>
      <c r="Z20">
        <v>143</v>
      </c>
      <c r="AA20">
        <v>228.041958042</v>
      </c>
      <c r="AB20">
        <v>56</v>
      </c>
      <c r="AC20">
        <v>243.5178571429</v>
      </c>
      <c r="AD20">
        <v>51</v>
      </c>
      <c r="AE20">
        <v>568.1764705882</v>
      </c>
      <c r="AF20">
        <v>38</v>
      </c>
      <c r="AG20">
        <v>116.7894736842</v>
      </c>
      <c r="AH20">
        <v>2</v>
      </c>
      <c r="AI20">
        <v>418</v>
      </c>
      <c r="AL20" t="s">
        <v>432</v>
      </c>
      <c r="AM20">
        <v>5</v>
      </c>
      <c r="AN20">
        <v>5</v>
      </c>
      <c r="AO20">
        <v>182.8</v>
      </c>
      <c r="AP20">
        <v>1</v>
      </c>
      <c r="AQ20">
        <v>344</v>
      </c>
    </row>
    <row r="21" spans="6:49" x14ac:dyDescent="0.2">
      <c r="F21" t="s">
        <v>65</v>
      </c>
      <c r="G21">
        <v>8905</v>
      </c>
      <c r="H21">
        <v>7121</v>
      </c>
      <c r="I21">
        <v>385.85971071479997</v>
      </c>
      <c r="J21">
        <v>480</v>
      </c>
      <c r="K21">
        <v>722.18541666670001</v>
      </c>
      <c r="L21">
        <v>1376</v>
      </c>
      <c r="M21">
        <v>703.73473837209997</v>
      </c>
      <c r="N21">
        <v>398</v>
      </c>
      <c r="O21">
        <v>623.82663316579999</v>
      </c>
      <c r="R21">
        <v>10</v>
      </c>
      <c r="S21">
        <v>658.3</v>
      </c>
      <c r="V21" t="s">
        <v>436</v>
      </c>
      <c r="W21">
        <v>1048</v>
      </c>
      <c r="X21">
        <v>799</v>
      </c>
      <c r="Y21">
        <v>290.5957446809</v>
      </c>
      <c r="Z21">
        <v>70</v>
      </c>
      <c r="AA21">
        <v>517.42857142859998</v>
      </c>
      <c r="AB21">
        <v>145</v>
      </c>
      <c r="AC21">
        <v>353.96551724139999</v>
      </c>
      <c r="AD21">
        <v>52</v>
      </c>
      <c r="AE21">
        <v>517.23076923079998</v>
      </c>
      <c r="AF21">
        <v>49</v>
      </c>
      <c r="AG21">
        <v>168.0204081633</v>
      </c>
      <c r="AH21">
        <v>3</v>
      </c>
      <c r="AI21">
        <v>238.6666666667</v>
      </c>
      <c r="AL21" t="s">
        <v>436</v>
      </c>
      <c r="AM21">
        <v>9</v>
      </c>
      <c r="AN21">
        <v>7</v>
      </c>
      <c r="AO21">
        <v>144.57142857139999</v>
      </c>
      <c r="AP21">
        <v>5</v>
      </c>
      <c r="AQ21">
        <v>166.6</v>
      </c>
      <c r="AR21">
        <v>1</v>
      </c>
      <c r="AS21">
        <v>477</v>
      </c>
      <c r="AT21">
        <v>1</v>
      </c>
      <c r="AU21">
        <v>137</v>
      </c>
    </row>
    <row r="22" spans="6:49" x14ac:dyDescent="0.2">
      <c r="F22" t="s">
        <v>67</v>
      </c>
      <c r="G22">
        <v>7034</v>
      </c>
      <c r="H22">
        <v>5077</v>
      </c>
      <c r="I22">
        <v>346.10242269060001</v>
      </c>
      <c r="J22">
        <v>360</v>
      </c>
      <c r="K22">
        <v>706.19444444440001</v>
      </c>
      <c r="L22">
        <v>1617</v>
      </c>
      <c r="M22">
        <v>726.05380333949995</v>
      </c>
      <c r="N22">
        <v>324</v>
      </c>
      <c r="O22">
        <v>654.36419753090001</v>
      </c>
      <c r="R22">
        <v>16</v>
      </c>
      <c r="S22">
        <v>502.5625</v>
      </c>
      <c r="V22" t="s">
        <v>421</v>
      </c>
      <c r="W22">
        <v>2949</v>
      </c>
      <c r="X22">
        <v>2257</v>
      </c>
      <c r="Y22">
        <v>266.1652636243</v>
      </c>
      <c r="Z22">
        <v>147</v>
      </c>
      <c r="AA22">
        <v>648.57823129250005</v>
      </c>
      <c r="AB22">
        <v>341</v>
      </c>
      <c r="AC22">
        <v>310.90322580650002</v>
      </c>
      <c r="AD22">
        <v>227</v>
      </c>
      <c r="AE22">
        <v>471.24229074890002</v>
      </c>
      <c r="AF22">
        <v>121</v>
      </c>
      <c r="AG22">
        <v>230.56198347110001</v>
      </c>
      <c r="AH22">
        <v>3</v>
      </c>
      <c r="AI22">
        <v>880.66666666670005</v>
      </c>
      <c r="AL22" t="s">
        <v>421</v>
      </c>
      <c r="AM22">
        <v>34</v>
      </c>
      <c r="AN22">
        <v>22</v>
      </c>
      <c r="AO22">
        <v>128</v>
      </c>
      <c r="AP22">
        <v>24</v>
      </c>
      <c r="AQ22">
        <v>245.4166666667</v>
      </c>
      <c r="AR22">
        <v>7</v>
      </c>
      <c r="AS22">
        <v>178.28571428570001</v>
      </c>
      <c r="AT22">
        <v>4</v>
      </c>
      <c r="AU22">
        <v>180</v>
      </c>
      <c r="AV22">
        <v>1</v>
      </c>
      <c r="AW22">
        <v>59</v>
      </c>
    </row>
    <row r="23" spans="6:49" x14ac:dyDescent="0.2">
      <c r="F23" t="s">
        <v>76</v>
      </c>
      <c r="G23">
        <v>4777</v>
      </c>
      <c r="H23">
        <v>3759</v>
      </c>
      <c r="I23">
        <v>260.5171588188</v>
      </c>
      <c r="J23">
        <v>384</v>
      </c>
      <c r="K23">
        <v>524.38802083329995</v>
      </c>
      <c r="L23">
        <v>775</v>
      </c>
      <c r="M23">
        <v>418.66064516130001</v>
      </c>
      <c r="N23">
        <v>240</v>
      </c>
      <c r="O23">
        <v>507.67916666669998</v>
      </c>
      <c r="R23">
        <v>3</v>
      </c>
      <c r="S23">
        <v>317.6666666667</v>
      </c>
      <c r="V23" t="s">
        <v>417</v>
      </c>
      <c r="W23">
        <v>5497</v>
      </c>
      <c r="X23">
        <v>3626</v>
      </c>
      <c r="Y23">
        <v>363.77964699389997</v>
      </c>
      <c r="Z23">
        <v>274</v>
      </c>
      <c r="AA23">
        <v>639.6861313869</v>
      </c>
      <c r="AB23">
        <v>1504</v>
      </c>
      <c r="AC23">
        <v>537.94880319150002</v>
      </c>
      <c r="AD23">
        <v>219</v>
      </c>
      <c r="AE23">
        <v>466.5251141553</v>
      </c>
      <c r="AF23">
        <v>143</v>
      </c>
      <c r="AG23">
        <v>169.08391608389999</v>
      </c>
      <c r="AH23">
        <v>5</v>
      </c>
      <c r="AI23">
        <v>322.2</v>
      </c>
      <c r="AL23" t="s">
        <v>417</v>
      </c>
      <c r="AM23">
        <v>35</v>
      </c>
      <c r="AN23">
        <v>23</v>
      </c>
      <c r="AO23">
        <v>100.3043478261</v>
      </c>
      <c r="AP23">
        <v>29</v>
      </c>
      <c r="AQ23">
        <v>239.10344827590001</v>
      </c>
      <c r="AR23">
        <v>10</v>
      </c>
      <c r="AS23">
        <v>228.4</v>
      </c>
      <c r="AT23">
        <v>1</v>
      </c>
      <c r="AU23">
        <v>17</v>
      </c>
      <c r="AV23">
        <v>1</v>
      </c>
      <c r="AW23">
        <v>25</v>
      </c>
    </row>
    <row r="24" spans="6:49" x14ac:dyDescent="0.2">
      <c r="F24" t="s">
        <v>48</v>
      </c>
      <c r="G24">
        <v>1271</v>
      </c>
      <c r="H24">
        <v>996</v>
      </c>
      <c r="I24">
        <v>290.02710843369999</v>
      </c>
      <c r="J24">
        <v>87</v>
      </c>
      <c r="K24">
        <v>526.54022988509996</v>
      </c>
      <c r="L24">
        <v>205</v>
      </c>
      <c r="M24">
        <v>420.21951219509998</v>
      </c>
      <c r="N24">
        <v>66</v>
      </c>
      <c r="O24">
        <v>523.96969696969995</v>
      </c>
      <c r="R24">
        <v>4</v>
      </c>
      <c r="S24">
        <v>196</v>
      </c>
      <c r="V24" t="s">
        <v>434</v>
      </c>
      <c r="W24">
        <v>7132</v>
      </c>
      <c r="X24">
        <v>5060</v>
      </c>
      <c r="Y24">
        <v>347.72490118579998</v>
      </c>
      <c r="Z24">
        <v>363</v>
      </c>
      <c r="AA24">
        <v>696.54820936639999</v>
      </c>
      <c r="AB24">
        <v>1560</v>
      </c>
      <c r="AC24">
        <v>702.0121794872</v>
      </c>
      <c r="AD24">
        <v>333</v>
      </c>
      <c r="AE24">
        <v>632.54354354350005</v>
      </c>
      <c r="AF24">
        <v>162</v>
      </c>
      <c r="AG24">
        <v>247.8580246914</v>
      </c>
      <c r="AH24">
        <v>17</v>
      </c>
      <c r="AI24">
        <v>510.5882352941</v>
      </c>
      <c r="AL24" t="s">
        <v>434</v>
      </c>
      <c r="AM24">
        <v>47</v>
      </c>
      <c r="AN24">
        <v>36</v>
      </c>
      <c r="AO24">
        <v>141.3333333333</v>
      </c>
      <c r="AP24">
        <v>44</v>
      </c>
      <c r="AQ24">
        <v>200.36363636359999</v>
      </c>
      <c r="AR24">
        <v>8</v>
      </c>
      <c r="AS24">
        <v>271.25</v>
      </c>
      <c r="AT24">
        <v>2</v>
      </c>
      <c r="AU24">
        <v>98</v>
      </c>
      <c r="AV24">
        <v>1</v>
      </c>
      <c r="AW24">
        <v>54</v>
      </c>
    </row>
    <row r="25" spans="6:49" x14ac:dyDescent="0.2">
      <c r="F25" t="s">
        <v>69</v>
      </c>
      <c r="G25">
        <v>5432</v>
      </c>
      <c r="H25">
        <v>3664</v>
      </c>
      <c r="I25">
        <v>366.64519650659997</v>
      </c>
      <c r="J25">
        <v>279</v>
      </c>
      <c r="K25">
        <v>644.44086021509997</v>
      </c>
      <c r="L25">
        <v>1548</v>
      </c>
      <c r="M25">
        <v>545.7596899225</v>
      </c>
      <c r="N25">
        <v>214</v>
      </c>
      <c r="O25">
        <v>470.63551401870001</v>
      </c>
      <c r="R25">
        <v>6</v>
      </c>
      <c r="S25">
        <v>331.1666666667</v>
      </c>
      <c r="V25" t="s">
        <v>415</v>
      </c>
      <c r="W25">
        <v>18288</v>
      </c>
      <c r="X25">
        <v>14047</v>
      </c>
      <c r="Y25">
        <v>331.24852281630001</v>
      </c>
      <c r="Z25">
        <v>1666</v>
      </c>
      <c r="AA25">
        <v>505.33013205280002</v>
      </c>
      <c r="AB25">
        <v>2650</v>
      </c>
      <c r="AC25">
        <v>485.21924528300002</v>
      </c>
      <c r="AD25">
        <v>874</v>
      </c>
      <c r="AE25">
        <v>474.01029748280001</v>
      </c>
      <c r="AF25">
        <v>689</v>
      </c>
      <c r="AG25">
        <v>177.41654571839999</v>
      </c>
      <c r="AH25">
        <v>28</v>
      </c>
      <c r="AI25">
        <v>387.03571428570001</v>
      </c>
      <c r="AL25" t="s">
        <v>415</v>
      </c>
      <c r="AM25">
        <v>237</v>
      </c>
      <c r="AN25">
        <v>181</v>
      </c>
      <c r="AO25">
        <v>146.2541436464</v>
      </c>
      <c r="AP25">
        <v>183</v>
      </c>
      <c r="AQ25">
        <v>251.8032786885</v>
      </c>
      <c r="AR25">
        <v>40</v>
      </c>
      <c r="AS25">
        <v>159.65</v>
      </c>
      <c r="AT25">
        <v>10</v>
      </c>
      <c r="AU25">
        <v>243.2</v>
      </c>
      <c r="AV25">
        <v>6</v>
      </c>
      <c r="AW25">
        <v>58</v>
      </c>
    </row>
    <row r="26" spans="6:49" x14ac:dyDescent="0.2">
      <c r="F26" t="s">
        <v>35</v>
      </c>
      <c r="G26">
        <v>223</v>
      </c>
      <c r="H26">
        <v>113</v>
      </c>
      <c r="I26">
        <v>122.2831858407</v>
      </c>
      <c r="J26">
        <v>145</v>
      </c>
      <c r="K26">
        <v>224.1310344828</v>
      </c>
      <c r="L26">
        <v>51</v>
      </c>
      <c r="M26">
        <v>160.5882352941</v>
      </c>
      <c r="N26">
        <v>57</v>
      </c>
      <c r="O26">
        <v>542.70175438599995</v>
      </c>
      <c r="R26">
        <v>2</v>
      </c>
      <c r="S26">
        <v>418</v>
      </c>
      <c r="V26" t="s">
        <v>413</v>
      </c>
      <c r="W26">
        <v>1987</v>
      </c>
      <c r="X26">
        <v>1492</v>
      </c>
      <c r="Y26">
        <v>309.0422252011</v>
      </c>
      <c r="Z26">
        <v>183</v>
      </c>
      <c r="AA26">
        <v>476.65573770489999</v>
      </c>
      <c r="AB26">
        <v>289</v>
      </c>
      <c r="AC26">
        <v>274.0138408304</v>
      </c>
      <c r="AD26">
        <v>113</v>
      </c>
      <c r="AE26">
        <v>396.47787610619997</v>
      </c>
      <c r="AF26">
        <v>93</v>
      </c>
      <c r="AG26">
        <v>149.22580645159999</v>
      </c>
      <c r="AL26" t="s">
        <v>413</v>
      </c>
      <c r="AM26">
        <v>17</v>
      </c>
      <c r="AN26">
        <v>15</v>
      </c>
      <c r="AO26">
        <v>193.0666666667</v>
      </c>
      <c r="AP26">
        <v>20</v>
      </c>
      <c r="AQ26">
        <v>206.45</v>
      </c>
      <c r="AR26">
        <v>2</v>
      </c>
      <c r="AS26">
        <v>394.5</v>
      </c>
    </row>
    <row r="27" spans="6:49" x14ac:dyDescent="0.2">
      <c r="F27" t="s">
        <v>74</v>
      </c>
      <c r="G27">
        <v>4168</v>
      </c>
      <c r="H27">
        <v>3458</v>
      </c>
      <c r="I27">
        <v>196.76344707920001</v>
      </c>
      <c r="J27">
        <v>640</v>
      </c>
      <c r="K27">
        <v>351.46562499999999</v>
      </c>
      <c r="L27">
        <v>513</v>
      </c>
      <c r="M27">
        <v>141.7095516569</v>
      </c>
      <c r="N27">
        <v>182</v>
      </c>
      <c r="O27">
        <v>191.35164835160001</v>
      </c>
      <c r="R27">
        <v>15</v>
      </c>
      <c r="S27">
        <v>241.6</v>
      </c>
      <c r="V27" t="s">
        <v>83</v>
      </c>
      <c r="W27">
        <v>5004</v>
      </c>
      <c r="X27">
        <v>3778</v>
      </c>
      <c r="Y27">
        <v>267.9867654844</v>
      </c>
      <c r="Z27">
        <v>378</v>
      </c>
      <c r="AA27">
        <v>514.38359788360003</v>
      </c>
      <c r="AB27">
        <v>804</v>
      </c>
      <c r="AC27">
        <v>451.06343283579997</v>
      </c>
      <c r="AD27">
        <v>244</v>
      </c>
      <c r="AE27">
        <v>499.25409836070003</v>
      </c>
      <c r="AF27">
        <v>176</v>
      </c>
      <c r="AG27">
        <v>169.4375</v>
      </c>
      <c r="AH27">
        <v>2</v>
      </c>
      <c r="AI27">
        <v>157</v>
      </c>
      <c r="AL27" t="s">
        <v>83</v>
      </c>
      <c r="AM27">
        <v>57</v>
      </c>
      <c r="AN27">
        <v>42</v>
      </c>
      <c r="AO27">
        <v>119.54761904759999</v>
      </c>
      <c r="AP27">
        <v>36</v>
      </c>
      <c r="AQ27">
        <v>170.7777777778</v>
      </c>
      <c r="AR27">
        <v>13</v>
      </c>
      <c r="AS27">
        <v>149.8461538462</v>
      </c>
      <c r="AV27">
        <v>2</v>
      </c>
      <c r="AW27">
        <v>192</v>
      </c>
    </row>
    <row r="28" spans="6:49" x14ac:dyDescent="0.2">
      <c r="F28" t="s">
        <v>34</v>
      </c>
      <c r="G28">
        <v>1830</v>
      </c>
      <c r="H28">
        <v>1425</v>
      </c>
      <c r="I28">
        <v>311.38035087719999</v>
      </c>
      <c r="J28">
        <v>191</v>
      </c>
      <c r="K28">
        <v>486.34554973820002</v>
      </c>
      <c r="L28">
        <v>294</v>
      </c>
      <c r="M28">
        <v>275.82312925169998</v>
      </c>
      <c r="N28">
        <v>111</v>
      </c>
      <c r="O28">
        <v>366.18918918920002</v>
      </c>
      <c r="V28" t="s">
        <v>412</v>
      </c>
      <c r="W28">
        <v>43192</v>
      </c>
      <c r="X28">
        <v>31806</v>
      </c>
      <c r="Y28">
        <v>321.61727347039999</v>
      </c>
      <c r="Z28">
        <v>3303</v>
      </c>
      <c r="AA28">
        <v>531.23463518009999</v>
      </c>
      <c r="AB28">
        <v>7505</v>
      </c>
      <c r="AC28">
        <v>511.88314457029998</v>
      </c>
      <c r="AD28">
        <v>2278</v>
      </c>
      <c r="AE28">
        <v>504.14793678669997</v>
      </c>
      <c r="AF28">
        <v>1540</v>
      </c>
      <c r="AG28">
        <v>183.84740259739999</v>
      </c>
      <c r="AH28">
        <v>63</v>
      </c>
      <c r="AI28">
        <v>426.90476190480001</v>
      </c>
      <c r="AL28" t="s">
        <v>412</v>
      </c>
      <c r="AM28">
        <v>446</v>
      </c>
      <c r="AN28">
        <v>335</v>
      </c>
      <c r="AO28">
        <v>140.77910447759999</v>
      </c>
      <c r="AP28">
        <v>351</v>
      </c>
      <c r="AQ28">
        <v>231.2962962963</v>
      </c>
      <c r="AR28">
        <v>82</v>
      </c>
      <c r="AS28">
        <v>186.82926829269999</v>
      </c>
      <c r="AT28">
        <v>18</v>
      </c>
      <c r="AU28">
        <v>194.55555555559999</v>
      </c>
      <c r="AV28">
        <v>11</v>
      </c>
      <c r="AW28">
        <v>79.090909090899999</v>
      </c>
    </row>
    <row r="29" spans="6:49" x14ac:dyDescent="0.2">
      <c r="F29" t="s">
        <v>55</v>
      </c>
      <c r="G29">
        <v>4517</v>
      </c>
      <c r="H29">
        <v>3566</v>
      </c>
      <c r="I29">
        <v>338.32389231629998</v>
      </c>
      <c r="J29">
        <v>549</v>
      </c>
      <c r="K29">
        <v>484.00364298720001</v>
      </c>
      <c r="L29">
        <v>731</v>
      </c>
      <c r="M29">
        <v>308.51709986319997</v>
      </c>
      <c r="N29">
        <v>219</v>
      </c>
      <c r="O29">
        <v>373.85388127850001</v>
      </c>
      <c r="R29">
        <v>1</v>
      </c>
      <c r="S29">
        <v>201</v>
      </c>
      <c r="V29" t="s">
        <v>396</v>
      </c>
      <c r="W29">
        <v>10755</v>
      </c>
      <c r="X29">
        <v>5559</v>
      </c>
      <c r="Y29">
        <v>299.54722072319998</v>
      </c>
      <c r="Z29">
        <v>640</v>
      </c>
      <c r="AA29">
        <v>624.15</v>
      </c>
      <c r="AB29">
        <v>3559</v>
      </c>
      <c r="AC29">
        <v>867.7861758921</v>
      </c>
      <c r="AD29">
        <v>1130</v>
      </c>
      <c r="AE29">
        <v>530.42035398229996</v>
      </c>
      <c r="AF29">
        <v>481</v>
      </c>
      <c r="AG29">
        <v>220.9937629938</v>
      </c>
      <c r="AH29">
        <v>26</v>
      </c>
      <c r="AI29">
        <v>533.96153846150003</v>
      </c>
      <c r="AL29" t="s">
        <v>396</v>
      </c>
      <c r="AM29">
        <v>172</v>
      </c>
      <c r="AN29">
        <v>137</v>
      </c>
      <c r="AO29">
        <v>260.30656934310002</v>
      </c>
      <c r="AP29">
        <v>22</v>
      </c>
      <c r="AQ29">
        <v>406.09090909090003</v>
      </c>
      <c r="AR29">
        <v>28</v>
      </c>
      <c r="AS29">
        <v>276.71428571429999</v>
      </c>
      <c r="AT29">
        <v>7</v>
      </c>
      <c r="AU29">
        <v>73.571428571400006</v>
      </c>
    </row>
    <row r="30" spans="6:49" x14ac:dyDescent="0.2">
      <c r="F30" t="s">
        <v>412</v>
      </c>
      <c r="G30">
        <v>42949</v>
      </c>
      <c r="H30">
        <v>32494</v>
      </c>
      <c r="I30">
        <v>316.56391949279998</v>
      </c>
      <c r="J30">
        <v>3489</v>
      </c>
      <c r="K30">
        <v>524.4373746059</v>
      </c>
      <c r="L30">
        <v>7825</v>
      </c>
      <c r="M30">
        <v>509.26632587860001</v>
      </c>
      <c r="N30">
        <v>2563</v>
      </c>
      <c r="O30">
        <v>511.05462348809999</v>
      </c>
      <c r="R30">
        <v>67</v>
      </c>
      <c r="S30">
        <v>425.85074626869999</v>
      </c>
      <c r="V30" t="s">
        <v>433</v>
      </c>
      <c r="W30">
        <v>28907</v>
      </c>
      <c r="X30">
        <v>24394</v>
      </c>
      <c r="Y30">
        <v>449.86586865620001</v>
      </c>
      <c r="Z30">
        <v>1625</v>
      </c>
      <c r="AA30">
        <v>744.78892307690001</v>
      </c>
      <c r="AB30">
        <v>1493</v>
      </c>
      <c r="AC30">
        <v>316.19691895509999</v>
      </c>
      <c r="AD30">
        <v>1894</v>
      </c>
      <c r="AE30">
        <v>332.78299894399998</v>
      </c>
      <c r="AF30">
        <v>1113</v>
      </c>
      <c r="AG30">
        <v>169.14914645100001</v>
      </c>
      <c r="AH30">
        <v>13</v>
      </c>
      <c r="AI30">
        <v>275.53846153849997</v>
      </c>
      <c r="AL30" t="s">
        <v>433</v>
      </c>
      <c r="AM30">
        <v>531</v>
      </c>
      <c r="AN30">
        <v>457</v>
      </c>
      <c r="AO30">
        <v>256.85120350109997</v>
      </c>
      <c r="AP30">
        <v>75</v>
      </c>
      <c r="AQ30">
        <v>397.50666666670003</v>
      </c>
      <c r="AR30">
        <v>65</v>
      </c>
      <c r="AS30">
        <v>203.7230769231</v>
      </c>
      <c r="AT30">
        <v>8</v>
      </c>
      <c r="AU30">
        <v>256.375</v>
      </c>
      <c r="AV30">
        <v>1</v>
      </c>
      <c r="AW30">
        <v>162</v>
      </c>
    </row>
    <row r="31" spans="6:49" x14ac:dyDescent="0.2">
      <c r="F31" t="s">
        <v>25</v>
      </c>
      <c r="G31">
        <v>16299</v>
      </c>
      <c r="H31">
        <v>13730</v>
      </c>
      <c r="I31">
        <v>563.85083758190001</v>
      </c>
      <c r="J31">
        <v>444</v>
      </c>
      <c r="K31">
        <v>839.8130630631</v>
      </c>
      <c r="L31">
        <v>1717</v>
      </c>
      <c r="M31">
        <v>536.98718695399998</v>
      </c>
      <c r="N31">
        <v>841</v>
      </c>
      <c r="O31">
        <v>361.06183115340002</v>
      </c>
      <c r="R31">
        <v>11</v>
      </c>
      <c r="S31">
        <v>470.8181818182</v>
      </c>
      <c r="V31" t="s">
        <v>389</v>
      </c>
      <c r="W31">
        <v>16848</v>
      </c>
      <c r="X31">
        <v>13647</v>
      </c>
      <c r="Y31">
        <v>560.57895508169997</v>
      </c>
      <c r="Z31">
        <v>474</v>
      </c>
      <c r="AA31">
        <v>811.75105485229994</v>
      </c>
      <c r="AB31">
        <v>1784</v>
      </c>
      <c r="AC31">
        <v>559.32399103140006</v>
      </c>
      <c r="AD31">
        <v>865</v>
      </c>
      <c r="AE31">
        <v>369.2601156069</v>
      </c>
      <c r="AF31">
        <v>541</v>
      </c>
      <c r="AG31">
        <v>174.50646950090001</v>
      </c>
      <c r="AH31">
        <v>11</v>
      </c>
      <c r="AI31">
        <v>470.8181818182</v>
      </c>
      <c r="AL31" t="s">
        <v>389</v>
      </c>
      <c r="AM31">
        <v>336</v>
      </c>
      <c r="AN31">
        <v>276</v>
      </c>
      <c r="AO31">
        <v>280.15579710140003</v>
      </c>
      <c r="AP31">
        <v>64</v>
      </c>
      <c r="AQ31">
        <v>348.515625</v>
      </c>
      <c r="AR31">
        <v>44</v>
      </c>
      <c r="AS31">
        <v>263.29545454549998</v>
      </c>
      <c r="AT31">
        <v>14</v>
      </c>
      <c r="AU31">
        <v>137.8571428571</v>
      </c>
      <c r="AV31">
        <v>2</v>
      </c>
      <c r="AW31">
        <v>59.5</v>
      </c>
    </row>
    <row r="32" spans="6:49" x14ac:dyDescent="0.2">
      <c r="F32" t="s">
        <v>42</v>
      </c>
      <c r="G32">
        <v>12060</v>
      </c>
      <c r="H32">
        <v>9283</v>
      </c>
      <c r="I32">
        <v>327.40773456860001</v>
      </c>
      <c r="J32">
        <v>339</v>
      </c>
      <c r="K32">
        <v>768.84365781710005</v>
      </c>
      <c r="L32">
        <v>1915</v>
      </c>
      <c r="M32">
        <v>537.19321148829999</v>
      </c>
      <c r="N32">
        <v>840</v>
      </c>
      <c r="O32">
        <v>568.89642857139995</v>
      </c>
      <c r="R32">
        <v>22</v>
      </c>
      <c r="S32">
        <v>631.09090909090003</v>
      </c>
      <c r="V32" t="s">
        <v>401</v>
      </c>
      <c r="W32">
        <v>3322</v>
      </c>
      <c r="X32">
        <v>2181</v>
      </c>
      <c r="Y32">
        <v>478.9995414947</v>
      </c>
      <c r="Z32">
        <v>323</v>
      </c>
      <c r="AA32">
        <v>451.69040247679999</v>
      </c>
      <c r="AB32">
        <v>506</v>
      </c>
      <c r="AC32">
        <v>663.31027667980004</v>
      </c>
      <c r="AD32">
        <v>467</v>
      </c>
      <c r="AE32">
        <v>546.67451820129997</v>
      </c>
      <c r="AF32">
        <v>162</v>
      </c>
      <c r="AG32">
        <v>199.83950617279999</v>
      </c>
      <c r="AH32">
        <v>6</v>
      </c>
      <c r="AI32">
        <v>531.16666666670005</v>
      </c>
      <c r="AL32" t="s">
        <v>401</v>
      </c>
      <c r="AM32">
        <v>106</v>
      </c>
      <c r="AN32">
        <v>90</v>
      </c>
      <c r="AO32">
        <v>394</v>
      </c>
      <c r="AP32">
        <v>13</v>
      </c>
      <c r="AQ32">
        <v>680.61538461539999</v>
      </c>
      <c r="AR32">
        <v>13</v>
      </c>
      <c r="AS32">
        <v>281.61538461539999</v>
      </c>
      <c r="AT32">
        <v>2</v>
      </c>
      <c r="AU32">
        <v>131</v>
      </c>
      <c r="AV32">
        <v>1</v>
      </c>
      <c r="AW32">
        <v>514</v>
      </c>
    </row>
    <row r="33" spans="6:49" x14ac:dyDescent="0.2">
      <c r="F33" t="s">
        <v>75</v>
      </c>
      <c r="G33">
        <v>6202</v>
      </c>
      <c r="H33">
        <v>2893</v>
      </c>
      <c r="I33">
        <v>380.49187694429997</v>
      </c>
      <c r="J33">
        <v>257</v>
      </c>
      <c r="K33">
        <v>506.65369649809998</v>
      </c>
      <c r="L33">
        <v>2307</v>
      </c>
      <c r="M33">
        <v>689.84482011269995</v>
      </c>
      <c r="N33">
        <v>1001</v>
      </c>
      <c r="O33">
        <v>953.07292707290003</v>
      </c>
      <c r="R33">
        <v>1</v>
      </c>
      <c r="S33">
        <v>1454</v>
      </c>
      <c r="V33" t="s">
        <v>392</v>
      </c>
      <c r="W33">
        <v>7022</v>
      </c>
      <c r="X33">
        <v>4238</v>
      </c>
      <c r="Y33">
        <v>269.02831524300001</v>
      </c>
      <c r="Z33">
        <v>698</v>
      </c>
      <c r="AA33">
        <v>551.29083094559996</v>
      </c>
      <c r="AB33">
        <v>1500</v>
      </c>
      <c r="AC33">
        <v>407.76466666670001</v>
      </c>
      <c r="AD33">
        <v>816</v>
      </c>
      <c r="AE33">
        <v>459.6053921569</v>
      </c>
      <c r="AF33">
        <v>456</v>
      </c>
      <c r="AG33">
        <v>186.7916666667</v>
      </c>
      <c r="AH33">
        <v>12</v>
      </c>
      <c r="AI33">
        <v>420</v>
      </c>
      <c r="AL33" t="s">
        <v>392</v>
      </c>
      <c r="AM33">
        <v>206</v>
      </c>
      <c r="AN33">
        <v>170</v>
      </c>
      <c r="AO33">
        <v>242.32941176470001</v>
      </c>
      <c r="AP33">
        <v>23</v>
      </c>
      <c r="AQ33">
        <v>478.08695652170002</v>
      </c>
      <c r="AR33">
        <v>32</v>
      </c>
      <c r="AS33">
        <v>323.9375</v>
      </c>
      <c r="AT33">
        <v>3</v>
      </c>
      <c r="AU33">
        <v>245.3333333333</v>
      </c>
      <c r="AV33">
        <v>1</v>
      </c>
      <c r="AW33">
        <v>58</v>
      </c>
    </row>
    <row r="34" spans="6:49" x14ac:dyDescent="0.2">
      <c r="F34" t="s">
        <v>61</v>
      </c>
      <c r="G34">
        <v>6399</v>
      </c>
      <c r="H34">
        <v>4117</v>
      </c>
      <c r="I34">
        <v>249.052951178</v>
      </c>
      <c r="J34">
        <v>702</v>
      </c>
      <c r="K34">
        <v>540.94586894589997</v>
      </c>
      <c r="L34">
        <v>1448</v>
      </c>
      <c r="M34">
        <v>378.8370165746</v>
      </c>
      <c r="N34">
        <v>822</v>
      </c>
      <c r="O34">
        <v>450.68978102189999</v>
      </c>
      <c r="R34">
        <v>12</v>
      </c>
      <c r="S34">
        <v>419.4166666667</v>
      </c>
      <c r="V34" t="s">
        <v>435</v>
      </c>
      <c r="W34">
        <v>6291</v>
      </c>
      <c r="X34">
        <v>2806</v>
      </c>
      <c r="Y34">
        <v>381.66357804699999</v>
      </c>
      <c r="Z34">
        <v>252</v>
      </c>
      <c r="AA34">
        <v>501.8412698413</v>
      </c>
      <c r="AB34">
        <v>2241</v>
      </c>
      <c r="AC34">
        <v>689.43953592150001</v>
      </c>
      <c r="AD34">
        <v>972</v>
      </c>
      <c r="AE34">
        <v>952.13271604939996</v>
      </c>
      <c r="AF34">
        <v>271</v>
      </c>
      <c r="AG34">
        <v>193.98892988930001</v>
      </c>
      <c r="AH34">
        <v>1</v>
      </c>
      <c r="AI34">
        <v>1454</v>
      </c>
      <c r="AL34" t="s">
        <v>435</v>
      </c>
      <c r="AM34">
        <v>131</v>
      </c>
      <c r="AN34">
        <v>104</v>
      </c>
      <c r="AO34">
        <v>225.625</v>
      </c>
      <c r="AP34">
        <v>11</v>
      </c>
      <c r="AQ34">
        <v>377.90909090909997</v>
      </c>
      <c r="AR34">
        <v>17</v>
      </c>
      <c r="AS34">
        <v>239.6470588235</v>
      </c>
      <c r="AT34">
        <v>9</v>
      </c>
      <c r="AU34">
        <v>150.8888888889</v>
      </c>
      <c r="AV34">
        <v>1</v>
      </c>
      <c r="AW34">
        <v>150</v>
      </c>
    </row>
    <row r="35" spans="6:49" x14ac:dyDescent="0.2">
      <c r="F35" t="s">
        <v>56</v>
      </c>
      <c r="G35">
        <v>4591</v>
      </c>
      <c r="H35">
        <v>3155</v>
      </c>
      <c r="I35">
        <v>499.53248811409998</v>
      </c>
      <c r="J35">
        <v>484</v>
      </c>
      <c r="K35">
        <v>437.6012396694</v>
      </c>
      <c r="L35">
        <v>778</v>
      </c>
      <c r="M35">
        <v>645.88560411310004</v>
      </c>
      <c r="N35">
        <v>649</v>
      </c>
      <c r="O35">
        <v>574.81510015410004</v>
      </c>
      <c r="R35">
        <v>9</v>
      </c>
      <c r="S35">
        <v>519.88888888890006</v>
      </c>
      <c r="V35" t="s">
        <v>391</v>
      </c>
      <c r="W35">
        <v>12397</v>
      </c>
      <c r="X35">
        <v>9203</v>
      </c>
      <c r="Y35">
        <v>332.29501249589998</v>
      </c>
      <c r="Z35">
        <v>348</v>
      </c>
      <c r="AA35">
        <v>751.867816092</v>
      </c>
      <c r="AB35">
        <v>1914</v>
      </c>
      <c r="AC35">
        <v>538.70428422149996</v>
      </c>
      <c r="AD35">
        <v>838</v>
      </c>
      <c r="AE35">
        <v>565.71837708830003</v>
      </c>
      <c r="AF35">
        <v>419</v>
      </c>
      <c r="AG35">
        <v>176.84486873509999</v>
      </c>
      <c r="AH35">
        <v>23</v>
      </c>
      <c r="AI35">
        <v>655.21739130430001</v>
      </c>
      <c r="AL35" t="s">
        <v>391</v>
      </c>
      <c r="AM35">
        <v>163</v>
      </c>
      <c r="AN35">
        <v>133</v>
      </c>
      <c r="AO35">
        <v>243.11278195489999</v>
      </c>
      <c r="AP35">
        <v>31</v>
      </c>
      <c r="AQ35">
        <v>341.09677419349998</v>
      </c>
      <c r="AR35">
        <v>23</v>
      </c>
      <c r="AS35">
        <v>190.52173913039999</v>
      </c>
      <c r="AT35">
        <v>5</v>
      </c>
      <c r="AU35">
        <v>165.2</v>
      </c>
      <c r="AV35">
        <v>2</v>
      </c>
      <c r="AW35">
        <v>491</v>
      </c>
    </row>
    <row r="36" spans="6:49" x14ac:dyDescent="0.2">
      <c r="F36" t="s">
        <v>60</v>
      </c>
      <c r="G36">
        <v>10333</v>
      </c>
      <c r="H36">
        <v>5544</v>
      </c>
      <c r="I36">
        <v>292.10912698409999</v>
      </c>
      <c r="J36">
        <v>650</v>
      </c>
      <c r="K36">
        <v>621.46461538460005</v>
      </c>
      <c r="L36">
        <v>3630</v>
      </c>
      <c r="M36">
        <v>872.08154269969998</v>
      </c>
      <c r="N36">
        <v>1133</v>
      </c>
      <c r="O36">
        <v>524.99911738749995</v>
      </c>
      <c r="R36">
        <v>26</v>
      </c>
      <c r="S36">
        <v>533.96153846150003</v>
      </c>
      <c r="V36" t="s">
        <v>388</v>
      </c>
      <c r="W36">
        <v>85542</v>
      </c>
      <c r="X36">
        <v>62028</v>
      </c>
      <c r="Y36">
        <v>428.89229057839998</v>
      </c>
      <c r="Z36">
        <v>4360</v>
      </c>
      <c r="AA36">
        <v>668.19243119270004</v>
      </c>
      <c r="AB36">
        <v>12997</v>
      </c>
      <c r="AC36">
        <v>621.81757328610001</v>
      </c>
      <c r="AD36">
        <v>6982</v>
      </c>
      <c r="AE36">
        <v>512.59753652250004</v>
      </c>
      <c r="AF36">
        <v>3443</v>
      </c>
      <c r="AG36">
        <v>183.90618646530001</v>
      </c>
      <c r="AH36">
        <v>92</v>
      </c>
      <c r="AI36">
        <v>515.16304347829998</v>
      </c>
      <c r="AL36" t="s">
        <v>388</v>
      </c>
      <c r="AM36">
        <v>1645</v>
      </c>
      <c r="AN36">
        <v>1367</v>
      </c>
      <c r="AO36">
        <v>265.41404535480001</v>
      </c>
      <c r="AP36">
        <v>239</v>
      </c>
      <c r="AQ36">
        <v>400.11297071130002</v>
      </c>
      <c r="AR36">
        <v>222</v>
      </c>
      <c r="AS36">
        <v>248.00900900900001</v>
      </c>
      <c r="AT36">
        <v>48</v>
      </c>
      <c r="AU36">
        <v>159.9583333333</v>
      </c>
      <c r="AV36">
        <v>8</v>
      </c>
      <c r="AW36">
        <v>248.125</v>
      </c>
    </row>
    <row r="37" spans="6:49" x14ac:dyDescent="0.2">
      <c r="F37" t="s">
        <v>80</v>
      </c>
      <c r="G37">
        <v>27962</v>
      </c>
      <c r="H37">
        <v>24809</v>
      </c>
      <c r="I37">
        <v>449.24442742550002</v>
      </c>
      <c r="J37">
        <v>1599</v>
      </c>
      <c r="K37">
        <v>745.39587242029995</v>
      </c>
      <c r="L37">
        <v>1326</v>
      </c>
      <c r="M37">
        <v>249.0098039216</v>
      </c>
      <c r="N37">
        <v>1818</v>
      </c>
      <c r="O37">
        <v>310.33608360839997</v>
      </c>
      <c r="R37">
        <v>9</v>
      </c>
      <c r="S37">
        <v>284.7777777778</v>
      </c>
      <c r="V37" t="s">
        <v>414</v>
      </c>
      <c r="W37">
        <v>565</v>
      </c>
      <c r="X37">
        <v>299</v>
      </c>
      <c r="Y37">
        <v>132.36789297659999</v>
      </c>
      <c r="Z37">
        <v>228</v>
      </c>
      <c r="AA37">
        <v>243.7543859649</v>
      </c>
      <c r="AB37">
        <v>103</v>
      </c>
      <c r="AC37">
        <v>212.02912621359999</v>
      </c>
      <c r="AD37">
        <v>100</v>
      </c>
      <c r="AE37">
        <v>223.68</v>
      </c>
      <c r="AF37">
        <v>59</v>
      </c>
      <c r="AG37">
        <v>192.94915254239999</v>
      </c>
      <c r="AH37">
        <v>4</v>
      </c>
      <c r="AI37">
        <v>244.25</v>
      </c>
      <c r="AL37" t="s">
        <v>414</v>
      </c>
      <c r="AM37">
        <v>13</v>
      </c>
      <c r="AN37">
        <v>9</v>
      </c>
      <c r="AO37">
        <v>77.111111111100001</v>
      </c>
      <c r="AP37">
        <v>13</v>
      </c>
      <c r="AQ37">
        <v>203.30769230769999</v>
      </c>
      <c r="AR37">
        <v>3</v>
      </c>
      <c r="AS37">
        <v>88</v>
      </c>
      <c r="AT37">
        <v>1</v>
      </c>
      <c r="AU37">
        <v>130</v>
      </c>
    </row>
    <row r="38" spans="6:49" x14ac:dyDescent="0.2">
      <c r="F38" t="s">
        <v>388</v>
      </c>
      <c r="G38">
        <v>83846</v>
      </c>
      <c r="H38">
        <v>63531</v>
      </c>
      <c r="I38">
        <v>428.89132864269999</v>
      </c>
      <c r="J38">
        <v>4475</v>
      </c>
      <c r="K38">
        <v>659.46547486029999</v>
      </c>
      <c r="L38">
        <v>13121</v>
      </c>
      <c r="M38">
        <v>616.5004191754</v>
      </c>
      <c r="N38">
        <v>7104</v>
      </c>
      <c r="O38">
        <v>512.11838400900001</v>
      </c>
      <c r="R38">
        <v>90</v>
      </c>
      <c r="S38">
        <v>518.61111111109994</v>
      </c>
      <c r="V38" t="s">
        <v>418</v>
      </c>
      <c r="W38">
        <v>40149</v>
      </c>
      <c r="X38">
        <v>28351</v>
      </c>
      <c r="Y38">
        <v>455.82286339109999</v>
      </c>
      <c r="Z38">
        <v>2000</v>
      </c>
      <c r="AA38">
        <v>680.87599999999998</v>
      </c>
      <c r="AB38">
        <v>8056</v>
      </c>
      <c r="AC38">
        <v>752.02383316780003</v>
      </c>
      <c r="AD38">
        <v>2397</v>
      </c>
      <c r="AE38">
        <v>578.9461827284</v>
      </c>
      <c r="AF38">
        <v>1287</v>
      </c>
      <c r="AG38">
        <v>202.43434343429999</v>
      </c>
      <c r="AH38">
        <v>58</v>
      </c>
      <c r="AI38">
        <v>414.4137931034</v>
      </c>
      <c r="AL38" t="s">
        <v>418</v>
      </c>
      <c r="AM38">
        <v>245</v>
      </c>
      <c r="AN38">
        <v>175</v>
      </c>
      <c r="AO38">
        <v>154.88</v>
      </c>
      <c r="AP38">
        <v>205</v>
      </c>
      <c r="AQ38">
        <v>244.82926829269999</v>
      </c>
      <c r="AR38">
        <v>56</v>
      </c>
      <c r="AS38">
        <v>230.91071428570001</v>
      </c>
      <c r="AT38">
        <v>13</v>
      </c>
      <c r="AU38">
        <v>313.76923076920002</v>
      </c>
      <c r="AV38">
        <v>1</v>
      </c>
      <c r="AW38">
        <v>2166</v>
      </c>
    </row>
    <row r="39" spans="6:49" x14ac:dyDescent="0.2">
      <c r="F39" t="s">
        <v>82</v>
      </c>
      <c r="G39">
        <v>19491</v>
      </c>
      <c r="H39">
        <v>14478</v>
      </c>
      <c r="I39">
        <v>395.14242298660002</v>
      </c>
      <c r="J39">
        <v>1101</v>
      </c>
      <c r="K39">
        <v>702.97456857400005</v>
      </c>
      <c r="L39">
        <v>3746</v>
      </c>
      <c r="M39">
        <v>811.40416444209995</v>
      </c>
      <c r="N39">
        <v>1228</v>
      </c>
      <c r="O39">
        <v>604.75244299669998</v>
      </c>
      <c r="R39">
        <v>39</v>
      </c>
      <c r="S39">
        <v>457.76923076920002</v>
      </c>
      <c r="V39" t="s">
        <v>426</v>
      </c>
      <c r="W39">
        <v>308</v>
      </c>
      <c r="X39">
        <v>114</v>
      </c>
      <c r="Y39">
        <v>217.5438596491</v>
      </c>
      <c r="Z39">
        <v>122</v>
      </c>
      <c r="AA39">
        <v>262.69672131150003</v>
      </c>
      <c r="AB39">
        <v>101</v>
      </c>
      <c r="AC39">
        <v>286.3267326733</v>
      </c>
      <c r="AD39">
        <v>63</v>
      </c>
      <c r="AE39">
        <v>398.85714285709997</v>
      </c>
      <c r="AF39">
        <v>30</v>
      </c>
      <c r="AG39">
        <v>208.63333333329999</v>
      </c>
      <c r="AL39" t="s">
        <v>426</v>
      </c>
      <c r="AM39">
        <v>5</v>
      </c>
      <c r="AN39">
        <v>4</v>
      </c>
      <c r="AO39">
        <v>163</v>
      </c>
      <c r="AP39">
        <v>5</v>
      </c>
      <c r="AQ39">
        <v>198.4</v>
      </c>
      <c r="AR39">
        <v>1</v>
      </c>
      <c r="AS39">
        <v>19</v>
      </c>
    </row>
    <row r="40" spans="6:49" x14ac:dyDescent="0.2">
      <c r="F40" t="s">
        <v>43</v>
      </c>
      <c r="G40">
        <v>5839</v>
      </c>
      <c r="H40">
        <v>3080</v>
      </c>
      <c r="I40">
        <v>235.2383116883</v>
      </c>
      <c r="J40">
        <v>269</v>
      </c>
      <c r="K40">
        <v>536.88475836429996</v>
      </c>
      <c r="L40">
        <v>2380</v>
      </c>
      <c r="M40">
        <v>685.42226890760003</v>
      </c>
      <c r="N40">
        <v>370</v>
      </c>
      <c r="O40">
        <v>401.51621621620001</v>
      </c>
      <c r="R40">
        <v>9</v>
      </c>
      <c r="S40">
        <v>211.6666666667</v>
      </c>
      <c r="V40" t="s">
        <v>429</v>
      </c>
      <c r="W40">
        <v>371</v>
      </c>
      <c r="X40">
        <v>265</v>
      </c>
      <c r="Y40">
        <v>285.21886792449999</v>
      </c>
      <c r="Z40">
        <v>19</v>
      </c>
      <c r="AA40">
        <v>696.68421052630003</v>
      </c>
      <c r="AB40">
        <v>27</v>
      </c>
      <c r="AC40">
        <v>500.8888888889</v>
      </c>
      <c r="AD40">
        <v>43</v>
      </c>
      <c r="AE40">
        <v>363.20930232559999</v>
      </c>
      <c r="AF40">
        <v>35</v>
      </c>
      <c r="AG40">
        <v>204.42857142860001</v>
      </c>
      <c r="AH40">
        <v>1</v>
      </c>
      <c r="AI40">
        <v>346</v>
      </c>
      <c r="AL40" t="s">
        <v>429</v>
      </c>
      <c r="AM40">
        <v>2</v>
      </c>
      <c r="AN40">
        <v>1</v>
      </c>
      <c r="AO40">
        <v>283</v>
      </c>
      <c r="AP40">
        <v>4</v>
      </c>
      <c r="AQ40">
        <v>237</v>
      </c>
      <c r="AR40">
        <v>1</v>
      </c>
      <c r="AS40">
        <v>124</v>
      </c>
    </row>
    <row r="41" spans="6:49" x14ac:dyDescent="0.2">
      <c r="F41" t="s">
        <v>49</v>
      </c>
      <c r="G41">
        <v>19615</v>
      </c>
      <c r="H41">
        <v>14107</v>
      </c>
      <c r="I41">
        <v>520.69206776780004</v>
      </c>
      <c r="J41">
        <v>893</v>
      </c>
      <c r="K41">
        <v>669.04591265399995</v>
      </c>
      <c r="L41">
        <v>4343</v>
      </c>
      <c r="M41">
        <v>704.88118811879997</v>
      </c>
      <c r="N41">
        <v>1146</v>
      </c>
      <c r="O41">
        <v>565.15968586389999</v>
      </c>
      <c r="R41">
        <v>19</v>
      </c>
      <c r="S41">
        <v>337.52631578950002</v>
      </c>
      <c r="V41" t="s">
        <v>419</v>
      </c>
      <c r="W41">
        <v>5376</v>
      </c>
      <c r="X41">
        <v>4109</v>
      </c>
      <c r="Y41">
        <v>473.80919931860001</v>
      </c>
      <c r="Z41">
        <v>192</v>
      </c>
      <c r="AA41">
        <v>982.234375</v>
      </c>
      <c r="AB41">
        <v>543</v>
      </c>
      <c r="AC41">
        <v>312.28913443829998</v>
      </c>
      <c r="AD41">
        <v>442</v>
      </c>
      <c r="AE41">
        <v>614.88009049770005</v>
      </c>
      <c r="AF41">
        <v>277</v>
      </c>
      <c r="AG41">
        <v>184.24909747289999</v>
      </c>
      <c r="AH41">
        <v>5</v>
      </c>
      <c r="AI41">
        <v>537.6</v>
      </c>
      <c r="AL41" t="s">
        <v>419</v>
      </c>
      <c r="AM41">
        <v>114</v>
      </c>
      <c r="AN41">
        <v>103</v>
      </c>
      <c r="AO41">
        <v>252.9514563107</v>
      </c>
      <c r="AP41">
        <v>14</v>
      </c>
      <c r="AQ41">
        <v>531.35714285710003</v>
      </c>
      <c r="AR41">
        <v>10</v>
      </c>
      <c r="AS41">
        <v>157</v>
      </c>
      <c r="AT41">
        <v>1</v>
      </c>
      <c r="AU41">
        <v>89</v>
      </c>
    </row>
    <row r="42" spans="6:49" x14ac:dyDescent="0.2">
      <c r="F42" t="s">
        <v>52</v>
      </c>
      <c r="G42">
        <v>4312</v>
      </c>
      <c r="H42">
        <v>2755</v>
      </c>
      <c r="I42">
        <v>319.69147005439999</v>
      </c>
      <c r="J42">
        <v>256</v>
      </c>
      <c r="K42">
        <v>585.31640625</v>
      </c>
      <c r="L42">
        <v>1016</v>
      </c>
      <c r="M42">
        <v>397.93799212599998</v>
      </c>
      <c r="N42">
        <v>534</v>
      </c>
      <c r="O42">
        <v>603.96067415729999</v>
      </c>
      <c r="R42">
        <v>7</v>
      </c>
      <c r="S42">
        <v>531.14285714289997</v>
      </c>
      <c r="V42" t="s">
        <v>411</v>
      </c>
      <c r="W42">
        <v>6091</v>
      </c>
      <c r="X42">
        <v>3116</v>
      </c>
      <c r="Y42">
        <v>245.0783055199</v>
      </c>
      <c r="Z42">
        <v>259</v>
      </c>
      <c r="AA42">
        <v>539.57528957529996</v>
      </c>
      <c r="AB42">
        <v>2290</v>
      </c>
      <c r="AC42">
        <v>677.82794759830006</v>
      </c>
      <c r="AD42">
        <v>373</v>
      </c>
      <c r="AE42">
        <v>413.21179624659999</v>
      </c>
      <c r="AF42">
        <v>303</v>
      </c>
      <c r="AG42">
        <v>177.67986798679999</v>
      </c>
      <c r="AH42">
        <v>9</v>
      </c>
      <c r="AI42">
        <v>211.6666666667</v>
      </c>
      <c r="AL42" t="s">
        <v>411</v>
      </c>
      <c r="AM42">
        <v>44</v>
      </c>
      <c r="AN42">
        <v>37</v>
      </c>
      <c r="AO42">
        <v>95.756756756800002</v>
      </c>
      <c r="AP42">
        <v>25</v>
      </c>
      <c r="AQ42">
        <v>181.12</v>
      </c>
      <c r="AR42">
        <v>5</v>
      </c>
      <c r="AS42">
        <v>42.8</v>
      </c>
      <c r="AT42">
        <v>2</v>
      </c>
      <c r="AU42">
        <v>132</v>
      </c>
    </row>
    <row r="43" spans="6:49" x14ac:dyDescent="0.2">
      <c r="F43" t="s">
        <v>39</v>
      </c>
      <c r="G43">
        <v>329</v>
      </c>
      <c r="H43">
        <v>263</v>
      </c>
      <c r="I43">
        <v>295.00760456270001</v>
      </c>
      <c r="J43">
        <v>17</v>
      </c>
      <c r="K43">
        <v>632.47058823530006</v>
      </c>
      <c r="L43">
        <v>21</v>
      </c>
      <c r="M43">
        <v>442</v>
      </c>
      <c r="N43">
        <v>44</v>
      </c>
      <c r="O43">
        <v>362.47727272729998</v>
      </c>
      <c r="R43">
        <v>1</v>
      </c>
      <c r="S43">
        <v>346</v>
      </c>
      <c r="V43" t="s">
        <v>420</v>
      </c>
      <c r="W43">
        <v>4388</v>
      </c>
      <c r="X43">
        <v>2372</v>
      </c>
      <c r="Y43">
        <v>183.5</v>
      </c>
      <c r="Z43">
        <v>601</v>
      </c>
      <c r="AA43">
        <v>287.00998336110001</v>
      </c>
      <c r="AB43">
        <v>1084</v>
      </c>
      <c r="AC43">
        <v>264.68634686349998</v>
      </c>
      <c r="AD43">
        <v>568</v>
      </c>
      <c r="AE43">
        <v>279.36619718309998</v>
      </c>
      <c r="AF43">
        <v>356</v>
      </c>
      <c r="AG43">
        <v>180.49719101119999</v>
      </c>
      <c r="AH43">
        <v>8</v>
      </c>
      <c r="AI43">
        <v>243.625</v>
      </c>
      <c r="AL43" t="s">
        <v>420</v>
      </c>
      <c r="AM43">
        <v>79</v>
      </c>
      <c r="AN43">
        <v>64</v>
      </c>
      <c r="AO43">
        <v>113.984375</v>
      </c>
      <c r="AP43">
        <v>38</v>
      </c>
      <c r="AQ43">
        <v>199.23684210530001</v>
      </c>
      <c r="AR43">
        <v>12</v>
      </c>
      <c r="AS43">
        <v>65.75</v>
      </c>
      <c r="AT43">
        <v>2</v>
      </c>
      <c r="AU43">
        <v>167.5</v>
      </c>
      <c r="AV43">
        <v>1</v>
      </c>
      <c r="AW43">
        <v>45</v>
      </c>
    </row>
    <row r="44" spans="6:49" x14ac:dyDescent="0.2">
      <c r="F44" t="s">
        <v>27</v>
      </c>
      <c r="G44">
        <v>3965</v>
      </c>
      <c r="H44">
        <v>2306</v>
      </c>
      <c r="I44">
        <v>171.44709453600001</v>
      </c>
      <c r="J44">
        <v>613</v>
      </c>
      <c r="K44">
        <v>283.66068515500001</v>
      </c>
      <c r="L44">
        <v>1075</v>
      </c>
      <c r="M44">
        <v>261.6920930233</v>
      </c>
      <c r="N44">
        <v>576</v>
      </c>
      <c r="O44">
        <v>267.58506944440001</v>
      </c>
      <c r="R44">
        <v>8</v>
      </c>
      <c r="S44">
        <v>243.625</v>
      </c>
      <c r="V44" t="s">
        <v>395</v>
      </c>
      <c r="W44">
        <v>5975</v>
      </c>
      <c r="X44">
        <v>4813</v>
      </c>
      <c r="Y44">
        <v>428.06295449819999</v>
      </c>
      <c r="Z44">
        <v>329</v>
      </c>
      <c r="AA44">
        <v>806.66261398179995</v>
      </c>
      <c r="AB44">
        <v>579</v>
      </c>
      <c r="AC44">
        <v>468.57512953370002</v>
      </c>
      <c r="AD44">
        <v>348</v>
      </c>
      <c r="AE44">
        <v>425.60057471260001</v>
      </c>
      <c r="AF44">
        <v>219</v>
      </c>
      <c r="AG44">
        <v>186.86757990870001</v>
      </c>
      <c r="AH44">
        <v>16</v>
      </c>
      <c r="AI44">
        <v>311.75</v>
      </c>
      <c r="AL44" t="s">
        <v>395</v>
      </c>
      <c r="AM44">
        <v>136</v>
      </c>
      <c r="AN44">
        <v>111</v>
      </c>
      <c r="AO44">
        <v>294.68468468470002</v>
      </c>
      <c r="AP44">
        <v>25</v>
      </c>
      <c r="AQ44">
        <v>672.16</v>
      </c>
      <c r="AR44">
        <v>24</v>
      </c>
      <c r="AS44">
        <v>175.625</v>
      </c>
      <c r="AT44">
        <v>1</v>
      </c>
      <c r="AU44">
        <v>19</v>
      </c>
    </row>
    <row r="45" spans="6:49" x14ac:dyDescent="0.2">
      <c r="F45" t="s">
        <v>54</v>
      </c>
      <c r="G45">
        <v>5254</v>
      </c>
      <c r="H45">
        <v>4250</v>
      </c>
      <c r="I45">
        <v>474.0167058824</v>
      </c>
      <c r="J45">
        <v>182</v>
      </c>
      <c r="K45">
        <v>1002.5054945055</v>
      </c>
      <c r="L45">
        <v>543</v>
      </c>
      <c r="M45">
        <v>296.3443830571</v>
      </c>
      <c r="N45">
        <v>456</v>
      </c>
      <c r="O45">
        <v>627.30263157889999</v>
      </c>
      <c r="R45">
        <v>5</v>
      </c>
      <c r="S45">
        <v>537.6</v>
      </c>
      <c r="V45" t="s">
        <v>397</v>
      </c>
      <c r="W45">
        <v>4593</v>
      </c>
      <c r="X45">
        <v>2821</v>
      </c>
      <c r="Y45">
        <v>328.37681673169999</v>
      </c>
      <c r="Z45">
        <v>255</v>
      </c>
      <c r="AA45">
        <v>579.09019607840003</v>
      </c>
      <c r="AB45">
        <v>1019</v>
      </c>
      <c r="AC45">
        <v>410.2571148184</v>
      </c>
      <c r="AD45">
        <v>541</v>
      </c>
      <c r="AE45">
        <v>607.69685767099998</v>
      </c>
      <c r="AF45">
        <v>205</v>
      </c>
      <c r="AG45">
        <v>203.96585365850001</v>
      </c>
      <c r="AH45">
        <v>7</v>
      </c>
      <c r="AI45">
        <v>531.14285714289997</v>
      </c>
      <c r="AL45" t="s">
        <v>397</v>
      </c>
      <c r="AM45">
        <v>112</v>
      </c>
      <c r="AN45">
        <v>94</v>
      </c>
      <c r="AO45">
        <v>254.19148936170001</v>
      </c>
      <c r="AP45">
        <v>17</v>
      </c>
      <c r="AQ45">
        <v>474.4117647059</v>
      </c>
      <c r="AR45">
        <v>17</v>
      </c>
      <c r="AS45">
        <v>355.3529411765</v>
      </c>
      <c r="AT45">
        <v>1</v>
      </c>
      <c r="AU45">
        <v>407</v>
      </c>
    </row>
    <row r="46" spans="6:49" x14ac:dyDescent="0.2">
      <c r="F46" t="s">
        <v>62</v>
      </c>
      <c r="G46">
        <v>5784</v>
      </c>
      <c r="H46">
        <v>4843</v>
      </c>
      <c r="I46">
        <v>427.90295271529999</v>
      </c>
      <c r="J46">
        <v>333</v>
      </c>
      <c r="K46">
        <v>816.73873873870002</v>
      </c>
      <c r="L46">
        <v>574</v>
      </c>
      <c r="M46">
        <v>447.84843205570002</v>
      </c>
      <c r="N46">
        <v>352</v>
      </c>
      <c r="O46">
        <v>432.38352272729998</v>
      </c>
      <c r="R46">
        <v>15</v>
      </c>
      <c r="S46">
        <v>316.06666666669997</v>
      </c>
      <c r="V46" t="s">
        <v>393</v>
      </c>
      <c r="W46">
        <v>67816</v>
      </c>
      <c r="X46">
        <v>46260</v>
      </c>
      <c r="Y46">
        <v>414.94641158669998</v>
      </c>
      <c r="Z46">
        <v>4005</v>
      </c>
      <c r="AA46">
        <v>593.38476903870003</v>
      </c>
      <c r="AB46">
        <v>13802</v>
      </c>
      <c r="AC46">
        <v>639.08578466890003</v>
      </c>
      <c r="AD46">
        <v>4875</v>
      </c>
      <c r="AE46">
        <v>515.34482051279997</v>
      </c>
      <c r="AF46">
        <v>2771</v>
      </c>
      <c r="AG46">
        <v>193.8646697943</v>
      </c>
      <c r="AH46">
        <v>108</v>
      </c>
      <c r="AI46">
        <v>375.99074074070001</v>
      </c>
      <c r="AL46" t="s">
        <v>393</v>
      </c>
      <c r="AM46">
        <v>750</v>
      </c>
      <c r="AN46">
        <v>598</v>
      </c>
      <c r="AO46">
        <v>204.3963210702</v>
      </c>
      <c r="AP46">
        <v>346</v>
      </c>
      <c r="AQ46">
        <v>286.64739884390002</v>
      </c>
      <c r="AR46">
        <v>129</v>
      </c>
      <c r="AS46">
        <v>202.84496124029999</v>
      </c>
      <c r="AT46">
        <v>21</v>
      </c>
      <c r="AU46">
        <v>253.4761904762</v>
      </c>
      <c r="AV46">
        <v>2</v>
      </c>
      <c r="AW46">
        <v>1105.5</v>
      </c>
    </row>
    <row r="47" spans="6:49" x14ac:dyDescent="0.2">
      <c r="F47" t="s">
        <v>187</v>
      </c>
      <c r="G47">
        <v>236</v>
      </c>
      <c r="H47">
        <v>83</v>
      </c>
      <c r="I47">
        <v>161.54216867470001</v>
      </c>
      <c r="J47">
        <v>118</v>
      </c>
      <c r="K47">
        <v>231.35593220339999</v>
      </c>
      <c r="L47">
        <v>93</v>
      </c>
      <c r="M47">
        <v>274.92473118279997</v>
      </c>
      <c r="N47">
        <v>60</v>
      </c>
      <c r="O47">
        <v>378.6666666667</v>
      </c>
      <c r="V47" t="s">
        <v>424</v>
      </c>
      <c r="W47">
        <v>437</v>
      </c>
      <c r="X47">
        <v>275</v>
      </c>
      <c r="Y47">
        <v>281.37818181820001</v>
      </c>
      <c r="Z47">
        <v>42</v>
      </c>
      <c r="AA47">
        <v>435.19047619050002</v>
      </c>
      <c r="AB47">
        <v>59</v>
      </c>
      <c r="AC47">
        <v>373.05084745760001</v>
      </c>
      <c r="AD47">
        <v>70</v>
      </c>
      <c r="AE47">
        <v>250.17142857140001</v>
      </c>
      <c r="AF47">
        <v>32</v>
      </c>
      <c r="AG47">
        <v>179.59375</v>
      </c>
      <c r="AH47">
        <v>1</v>
      </c>
      <c r="AI47">
        <v>220</v>
      </c>
      <c r="AL47" t="s">
        <v>424</v>
      </c>
      <c r="AM47">
        <v>23</v>
      </c>
      <c r="AN47">
        <v>22</v>
      </c>
      <c r="AO47">
        <v>235.45454545449999</v>
      </c>
      <c r="AP47">
        <v>6</v>
      </c>
      <c r="AQ47">
        <v>311.6666666667</v>
      </c>
      <c r="AT47">
        <v>1</v>
      </c>
      <c r="AU47">
        <v>283</v>
      </c>
    </row>
    <row r="48" spans="6:49" x14ac:dyDescent="0.2">
      <c r="F48" t="s">
        <v>73</v>
      </c>
      <c r="G48">
        <v>468</v>
      </c>
      <c r="H48">
        <v>275</v>
      </c>
      <c r="I48">
        <v>94.130909090900005</v>
      </c>
      <c r="J48">
        <v>228</v>
      </c>
      <c r="K48">
        <v>231.32456140350001</v>
      </c>
      <c r="L48">
        <v>94</v>
      </c>
      <c r="M48">
        <v>156.05319148940001</v>
      </c>
      <c r="N48">
        <v>96</v>
      </c>
      <c r="O48">
        <v>174.03125</v>
      </c>
      <c r="R48">
        <v>3</v>
      </c>
      <c r="S48">
        <v>111.6666666667</v>
      </c>
      <c r="V48" t="s">
        <v>425</v>
      </c>
      <c r="W48">
        <v>198</v>
      </c>
      <c r="X48">
        <v>120</v>
      </c>
      <c r="Y48">
        <v>230.61666666670001</v>
      </c>
      <c r="Z48">
        <v>23</v>
      </c>
      <c r="AA48">
        <v>287.04347826089997</v>
      </c>
      <c r="AB48">
        <v>26</v>
      </c>
      <c r="AC48">
        <v>325.73076923079998</v>
      </c>
      <c r="AD48">
        <v>29</v>
      </c>
      <c r="AE48">
        <v>369.31034482759998</v>
      </c>
      <c r="AF48">
        <v>22</v>
      </c>
      <c r="AG48">
        <v>160.4090909091</v>
      </c>
      <c r="AH48">
        <v>1</v>
      </c>
      <c r="AI48">
        <v>31</v>
      </c>
      <c r="AL48" t="s">
        <v>425</v>
      </c>
      <c r="AM48">
        <v>8</v>
      </c>
      <c r="AN48">
        <v>7</v>
      </c>
      <c r="AO48">
        <v>170.42857142860001</v>
      </c>
      <c r="AT48">
        <v>1</v>
      </c>
      <c r="AU48">
        <v>471</v>
      </c>
    </row>
    <row r="49" spans="6:49" x14ac:dyDescent="0.2">
      <c r="F49" t="s">
        <v>393</v>
      </c>
      <c r="G49">
        <v>65293</v>
      </c>
      <c r="H49">
        <v>46440</v>
      </c>
      <c r="I49">
        <v>414.95913006030003</v>
      </c>
      <c r="J49">
        <v>4010</v>
      </c>
      <c r="K49">
        <v>594.71421446379998</v>
      </c>
      <c r="L49">
        <v>13885</v>
      </c>
      <c r="M49">
        <v>639.91696074900005</v>
      </c>
      <c r="N49">
        <v>4862</v>
      </c>
      <c r="O49">
        <v>516.07136980669998</v>
      </c>
      <c r="R49">
        <v>106</v>
      </c>
      <c r="S49">
        <v>376.86792452830002</v>
      </c>
      <c r="V49" t="s">
        <v>431</v>
      </c>
      <c r="W49">
        <v>496</v>
      </c>
      <c r="X49">
        <v>297</v>
      </c>
      <c r="Y49">
        <v>397.96969696970001</v>
      </c>
      <c r="Z49">
        <v>49</v>
      </c>
      <c r="AA49">
        <v>492.32653061219997</v>
      </c>
      <c r="AB49">
        <v>109</v>
      </c>
      <c r="AC49">
        <v>488.3302752294</v>
      </c>
      <c r="AD49">
        <v>59</v>
      </c>
      <c r="AE49">
        <v>591.40677966099997</v>
      </c>
      <c r="AF49">
        <v>28</v>
      </c>
      <c r="AG49">
        <v>151.71428571429999</v>
      </c>
      <c r="AH49">
        <v>3</v>
      </c>
      <c r="AI49">
        <v>146</v>
      </c>
      <c r="AL49" t="s">
        <v>431</v>
      </c>
      <c r="AM49">
        <v>19</v>
      </c>
      <c r="AN49">
        <v>13</v>
      </c>
      <c r="AO49">
        <v>229.8461538462</v>
      </c>
      <c r="AP49">
        <v>5</v>
      </c>
      <c r="AQ49">
        <v>300.8</v>
      </c>
      <c r="AR49">
        <v>2</v>
      </c>
      <c r="AS49">
        <v>104</v>
      </c>
      <c r="AT49">
        <v>4</v>
      </c>
      <c r="AU49">
        <v>409.75</v>
      </c>
    </row>
    <row r="50" spans="6:49" x14ac:dyDescent="0.2">
      <c r="F50" t="s">
        <v>218</v>
      </c>
      <c r="G50">
        <v>908</v>
      </c>
      <c r="H50">
        <v>675</v>
      </c>
      <c r="I50">
        <v>130.9392592593</v>
      </c>
      <c r="J50">
        <v>735</v>
      </c>
      <c r="K50">
        <v>231.6204081633</v>
      </c>
      <c r="L50">
        <v>185</v>
      </c>
      <c r="M50">
        <v>165.30810810809999</v>
      </c>
      <c r="N50">
        <v>48</v>
      </c>
      <c r="O50">
        <v>207.875</v>
      </c>
      <c r="V50" t="s">
        <v>384</v>
      </c>
      <c r="W50">
        <v>5369</v>
      </c>
      <c r="X50">
        <v>4001</v>
      </c>
      <c r="Y50">
        <v>552.4588852787</v>
      </c>
      <c r="Z50">
        <v>257</v>
      </c>
      <c r="AA50">
        <v>1080.1167315175001</v>
      </c>
      <c r="AB50">
        <v>1029</v>
      </c>
      <c r="AC50">
        <v>822.61321671530004</v>
      </c>
      <c r="AD50">
        <v>240</v>
      </c>
      <c r="AE50">
        <v>627.52499999999998</v>
      </c>
      <c r="AF50">
        <v>96</v>
      </c>
      <c r="AG50">
        <v>161.7395833333</v>
      </c>
      <c r="AH50">
        <v>3</v>
      </c>
      <c r="AI50">
        <v>568</v>
      </c>
      <c r="AL50" t="s">
        <v>384</v>
      </c>
      <c r="AM50">
        <v>90</v>
      </c>
      <c r="AN50">
        <v>71</v>
      </c>
      <c r="AO50">
        <v>211.28169014080001</v>
      </c>
      <c r="AP50">
        <v>13</v>
      </c>
      <c r="AQ50">
        <v>300.92307692309998</v>
      </c>
      <c r="AR50">
        <v>17</v>
      </c>
      <c r="AS50">
        <v>249.5882352941</v>
      </c>
      <c r="AT50">
        <v>2</v>
      </c>
      <c r="AU50">
        <v>214.5</v>
      </c>
    </row>
    <row r="51" spans="6:49" x14ac:dyDescent="0.2">
      <c r="F51" t="s">
        <v>215</v>
      </c>
      <c r="G51">
        <v>1896</v>
      </c>
      <c r="H51">
        <v>1589</v>
      </c>
      <c r="I51">
        <v>286.57583385779998</v>
      </c>
      <c r="J51">
        <v>234</v>
      </c>
      <c r="K51">
        <v>541.88461538460001</v>
      </c>
      <c r="L51">
        <v>273</v>
      </c>
      <c r="M51">
        <v>268.42857142859998</v>
      </c>
      <c r="N51">
        <v>34</v>
      </c>
      <c r="O51">
        <v>169.73529411760001</v>
      </c>
      <c r="V51" t="s">
        <v>63</v>
      </c>
      <c r="W51">
        <v>5500</v>
      </c>
      <c r="X51">
        <v>3665</v>
      </c>
      <c r="Y51">
        <v>273.27448840379998</v>
      </c>
      <c r="Z51">
        <v>699</v>
      </c>
      <c r="AA51">
        <v>456.4463519313</v>
      </c>
      <c r="AB51">
        <v>920</v>
      </c>
      <c r="AC51">
        <v>303.5</v>
      </c>
      <c r="AD51">
        <v>602</v>
      </c>
      <c r="AE51">
        <v>599.45681063120003</v>
      </c>
      <c r="AF51">
        <v>278</v>
      </c>
      <c r="AG51">
        <v>192.2913669065</v>
      </c>
      <c r="AH51">
        <v>35</v>
      </c>
      <c r="AI51">
        <v>599.05714285709996</v>
      </c>
      <c r="AL51" t="s">
        <v>63</v>
      </c>
      <c r="AM51">
        <v>260</v>
      </c>
      <c r="AN51">
        <v>215</v>
      </c>
      <c r="AO51">
        <v>262.70697674420001</v>
      </c>
      <c r="AP51">
        <v>55</v>
      </c>
      <c r="AQ51">
        <v>398.2</v>
      </c>
      <c r="AR51">
        <v>39</v>
      </c>
      <c r="AS51">
        <v>216.30769230769999</v>
      </c>
      <c r="AT51">
        <v>5</v>
      </c>
      <c r="AU51">
        <v>192</v>
      </c>
      <c r="AV51">
        <v>1</v>
      </c>
      <c r="AW51">
        <v>1685</v>
      </c>
    </row>
    <row r="52" spans="6:49" x14ac:dyDescent="0.2">
      <c r="F52" t="s">
        <v>216</v>
      </c>
      <c r="G52">
        <v>2762</v>
      </c>
      <c r="H52">
        <v>2335</v>
      </c>
      <c r="I52">
        <v>246.3721627409</v>
      </c>
      <c r="J52">
        <v>430</v>
      </c>
      <c r="K52">
        <v>357.16744186049999</v>
      </c>
      <c r="L52">
        <v>334</v>
      </c>
      <c r="M52">
        <v>233.2664670659</v>
      </c>
      <c r="N52">
        <v>93</v>
      </c>
      <c r="O52">
        <v>203.24731182799999</v>
      </c>
      <c r="V52" t="s">
        <v>386</v>
      </c>
      <c r="W52">
        <v>14368</v>
      </c>
      <c r="X52">
        <v>9535</v>
      </c>
      <c r="Y52">
        <v>355.34892501309997</v>
      </c>
      <c r="Z52">
        <v>378</v>
      </c>
      <c r="AA52">
        <v>740.51851851849995</v>
      </c>
      <c r="AB52">
        <v>3763</v>
      </c>
      <c r="AC52">
        <v>780.9351581185</v>
      </c>
      <c r="AD52">
        <v>717</v>
      </c>
      <c r="AE52">
        <v>534.3612273361</v>
      </c>
      <c r="AF52">
        <v>349</v>
      </c>
      <c r="AG52">
        <v>174.52148997130001</v>
      </c>
      <c r="AH52">
        <v>4</v>
      </c>
      <c r="AI52">
        <v>111.25</v>
      </c>
      <c r="AL52" t="s">
        <v>386</v>
      </c>
      <c r="AM52">
        <v>176</v>
      </c>
      <c r="AN52">
        <v>148</v>
      </c>
      <c r="AO52">
        <v>217.6351351351</v>
      </c>
      <c r="AP52">
        <v>27</v>
      </c>
      <c r="AQ52">
        <v>324.6666666667</v>
      </c>
      <c r="AR52">
        <v>21</v>
      </c>
      <c r="AS52">
        <v>258.19047619050002</v>
      </c>
      <c r="AT52">
        <v>7</v>
      </c>
      <c r="AU52">
        <v>189.71428571429999</v>
      </c>
    </row>
    <row r="53" spans="6:49" x14ac:dyDescent="0.2">
      <c r="F53" t="s">
        <v>470</v>
      </c>
      <c r="G53">
        <v>5566</v>
      </c>
      <c r="H53">
        <v>4599</v>
      </c>
      <c r="I53">
        <v>243.3207218961</v>
      </c>
      <c r="J53">
        <v>1399</v>
      </c>
      <c r="K53">
        <v>322.10436025730002</v>
      </c>
      <c r="L53">
        <v>792</v>
      </c>
      <c r="M53">
        <v>229.51262626260001</v>
      </c>
      <c r="N53">
        <v>175</v>
      </c>
      <c r="O53">
        <v>198.00571428570001</v>
      </c>
      <c r="V53" t="s">
        <v>382</v>
      </c>
      <c r="W53">
        <v>4096</v>
      </c>
      <c r="X53">
        <v>2854</v>
      </c>
      <c r="Y53">
        <v>342.81534688160002</v>
      </c>
      <c r="Z53">
        <v>328</v>
      </c>
      <c r="AA53">
        <v>517.12804878049997</v>
      </c>
      <c r="AB53">
        <v>535</v>
      </c>
      <c r="AC53">
        <v>343.31028037380003</v>
      </c>
      <c r="AD53">
        <v>515</v>
      </c>
      <c r="AE53">
        <v>459.55533980579997</v>
      </c>
      <c r="AF53">
        <v>186</v>
      </c>
      <c r="AG53">
        <v>207.9086021505</v>
      </c>
      <c r="AH53">
        <v>6</v>
      </c>
      <c r="AI53">
        <v>391</v>
      </c>
      <c r="AL53" t="s">
        <v>382</v>
      </c>
      <c r="AM53">
        <v>179</v>
      </c>
      <c r="AN53">
        <v>151</v>
      </c>
      <c r="AO53">
        <v>211.5298013245</v>
      </c>
      <c r="AP53">
        <v>30</v>
      </c>
      <c r="AQ53">
        <v>355.6</v>
      </c>
      <c r="AR53">
        <v>21</v>
      </c>
      <c r="AS53">
        <v>199.3333333333</v>
      </c>
      <c r="AT53">
        <v>5</v>
      </c>
      <c r="AU53">
        <v>273.60000000000002</v>
      </c>
      <c r="AV53">
        <v>2</v>
      </c>
      <c r="AW53">
        <v>1021.5</v>
      </c>
    </row>
    <row r="54" spans="6:49" x14ac:dyDescent="0.2">
      <c r="F54" t="s">
        <v>81</v>
      </c>
      <c r="G54">
        <v>387</v>
      </c>
      <c r="H54">
        <v>278</v>
      </c>
      <c r="I54">
        <v>218.8237410072</v>
      </c>
      <c r="J54">
        <v>37</v>
      </c>
      <c r="K54">
        <v>361.67567567570001</v>
      </c>
      <c r="L54">
        <v>44</v>
      </c>
      <c r="M54">
        <v>293.11363636359999</v>
      </c>
      <c r="N54">
        <v>64</v>
      </c>
      <c r="O54">
        <v>238.703125</v>
      </c>
      <c r="R54">
        <v>1</v>
      </c>
      <c r="S54">
        <v>220</v>
      </c>
      <c r="V54" t="s">
        <v>381</v>
      </c>
      <c r="W54">
        <v>944</v>
      </c>
      <c r="X54">
        <v>494</v>
      </c>
      <c r="Y54">
        <v>186.04048582999999</v>
      </c>
      <c r="Z54">
        <v>231</v>
      </c>
      <c r="AA54">
        <v>341.19047619050002</v>
      </c>
      <c r="AB54">
        <v>210</v>
      </c>
      <c r="AC54">
        <v>258.45238095240001</v>
      </c>
      <c r="AD54">
        <v>152</v>
      </c>
      <c r="AE54">
        <v>272.68421052629998</v>
      </c>
      <c r="AF54">
        <v>88</v>
      </c>
      <c r="AG54">
        <v>211.42045454550001</v>
      </c>
      <c r="AL54" t="s">
        <v>381</v>
      </c>
      <c r="AM54">
        <v>59</v>
      </c>
      <c r="AN54">
        <v>54</v>
      </c>
      <c r="AO54">
        <v>219.3888888889</v>
      </c>
      <c r="AP54">
        <v>4</v>
      </c>
      <c r="AQ54">
        <v>217.75</v>
      </c>
      <c r="AR54">
        <v>5</v>
      </c>
      <c r="AS54">
        <v>155.19999999999999</v>
      </c>
    </row>
    <row r="55" spans="6:49" x14ac:dyDescent="0.2">
      <c r="F55" t="s">
        <v>38</v>
      </c>
      <c r="G55">
        <v>3387</v>
      </c>
      <c r="H55">
        <v>2245</v>
      </c>
      <c r="I55">
        <v>452.33051224939999</v>
      </c>
      <c r="J55">
        <v>352</v>
      </c>
      <c r="K55">
        <v>767.89772727269997</v>
      </c>
      <c r="L55">
        <v>824</v>
      </c>
      <c r="M55">
        <v>668.35436893200006</v>
      </c>
      <c r="N55">
        <v>307</v>
      </c>
      <c r="O55">
        <v>676.93811074919995</v>
      </c>
      <c r="R55">
        <v>11</v>
      </c>
      <c r="S55">
        <v>124.45454545450001</v>
      </c>
      <c r="V55" t="s">
        <v>383</v>
      </c>
      <c r="W55">
        <v>6549</v>
      </c>
      <c r="X55">
        <v>4400</v>
      </c>
      <c r="Y55">
        <v>383.85113636360001</v>
      </c>
      <c r="Z55">
        <v>428</v>
      </c>
      <c r="AA55">
        <v>527.94158878500002</v>
      </c>
      <c r="AB55">
        <v>909</v>
      </c>
      <c r="AC55">
        <v>536.54565456549994</v>
      </c>
      <c r="AD55">
        <v>911</v>
      </c>
      <c r="AE55">
        <v>640.67947310650004</v>
      </c>
      <c r="AF55">
        <v>324</v>
      </c>
      <c r="AG55">
        <v>179.26234567899999</v>
      </c>
      <c r="AH55">
        <v>5</v>
      </c>
      <c r="AI55">
        <v>587.20000000000005</v>
      </c>
      <c r="AL55" t="s">
        <v>383</v>
      </c>
      <c r="AM55">
        <v>289</v>
      </c>
      <c r="AN55">
        <v>245</v>
      </c>
      <c r="AO55">
        <v>251.9469387755</v>
      </c>
      <c r="AP55">
        <v>45</v>
      </c>
      <c r="AQ55">
        <v>328.24444444440002</v>
      </c>
      <c r="AR55">
        <v>26</v>
      </c>
      <c r="AS55">
        <v>293.11538461539999</v>
      </c>
      <c r="AT55">
        <v>15</v>
      </c>
      <c r="AU55">
        <v>231.9333333333</v>
      </c>
      <c r="AV55">
        <v>3</v>
      </c>
      <c r="AW55">
        <v>219</v>
      </c>
    </row>
    <row r="56" spans="6:49" x14ac:dyDescent="0.2">
      <c r="F56" t="s">
        <v>64</v>
      </c>
      <c r="G56">
        <v>2695</v>
      </c>
      <c r="H56">
        <v>2097</v>
      </c>
      <c r="I56">
        <v>359.85360038149997</v>
      </c>
      <c r="J56">
        <v>196</v>
      </c>
      <c r="K56">
        <v>604.35714285710003</v>
      </c>
      <c r="L56">
        <v>240</v>
      </c>
      <c r="M56">
        <v>108.6041666667</v>
      </c>
      <c r="N56">
        <v>356</v>
      </c>
      <c r="O56">
        <v>390.03651685390003</v>
      </c>
      <c r="R56">
        <v>2</v>
      </c>
      <c r="S56">
        <v>420.5</v>
      </c>
      <c r="V56" t="s">
        <v>380</v>
      </c>
      <c r="W56">
        <v>320</v>
      </c>
      <c r="X56">
        <v>127</v>
      </c>
      <c r="Y56">
        <v>126.55905511810001</v>
      </c>
      <c r="Z56">
        <v>81</v>
      </c>
      <c r="AA56">
        <v>214.9382716049</v>
      </c>
      <c r="AB56">
        <v>88</v>
      </c>
      <c r="AC56">
        <v>144.3409090909</v>
      </c>
      <c r="AD56">
        <v>44</v>
      </c>
      <c r="AE56">
        <v>207.20454545449999</v>
      </c>
      <c r="AF56">
        <v>60</v>
      </c>
      <c r="AG56">
        <v>157.0666666667</v>
      </c>
      <c r="AH56">
        <v>1</v>
      </c>
      <c r="AI56">
        <v>57</v>
      </c>
      <c r="AL56" t="s">
        <v>380</v>
      </c>
      <c r="AM56">
        <v>26</v>
      </c>
      <c r="AN56">
        <v>20</v>
      </c>
      <c r="AO56">
        <v>273.3</v>
      </c>
      <c r="AP56">
        <v>4</v>
      </c>
      <c r="AQ56">
        <v>236.5</v>
      </c>
      <c r="AR56">
        <v>4</v>
      </c>
      <c r="AS56">
        <v>304.5</v>
      </c>
      <c r="AT56">
        <v>2</v>
      </c>
      <c r="AU56">
        <v>90.5</v>
      </c>
    </row>
    <row r="57" spans="6:49" x14ac:dyDescent="0.2">
      <c r="F57" t="s">
        <v>24</v>
      </c>
      <c r="G57">
        <v>1770</v>
      </c>
      <c r="H57">
        <v>1080</v>
      </c>
      <c r="I57">
        <v>226.48518518520001</v>
      </c>
      <c r="J57">
        <v>350</v>
      </c>
      <c r="K57">
        <v>284.90285714290002</v>
      </c>
      <c r="L57">
        <v>495</v>
      </c>
      <c r="M57">
        <v>315.0525252525</v>
      </c>
      <c r="N57">
        <v>180</v>
      </c>
      <c r="O57">
        <v>497.48888888890002</v>
      </c>
      <c r="R57">
        <v>15</v>
      </c>
      <c r="S57">
        <v>532.93333333329997</v>
      </c>
      <c r="V57" t="s">
        <v>379</v>
      </c>
      <c r="W57">
        <v>3495</v>
      </c>
      <c r="X57">
        <v>2100</v>
      </c>
      <c r="Y57">
        <v>448.60047619049999</v>
      </c>
      <c r="Z57">
        <v>404</v>
      </c>
      <c r="AA57">
        <v>656.96287128710003</v>
      </c>
      <c r="AB57">
        <v>868</v>
      </c>
      <c r="AC57">
        <v>595</v>
      </c>
      <c r="AD57">
        <v>347</v>
      </c>
      <c r="AE57">
        <v>607.9221902017</v>
      </c>
      <c r="AF57">
        <v>170</v>
      </c>
      <c r="AG57">
        <v>196.82941176470001</v>
      </c>
      <c r="AH57">
        <v>10</v>
      </c>
      <c r="AI57">
        <v>133.80000000000001</v>
      </c>
      <c r="AL57" t="s">
        <v>379</v>
      </c>
      <c r="AM57">
        <v>122</v>
      </c>
      <c r="AN57">
        <v>102</v>
      </c>
      <c r="AO57">
        <v>277.431372549</v>
      </c>
      <c r="AP57">
        <v>19</v>
      </c>
      <c r="AQ57">
        <v>411.94736842110001</v>
      </c>
      <c r="AR57">
        <v>16</v>
      </c>
      <c r="AS57">
        <v>258.875</v>
      </c>
      <c r="AT57">
        <v>4</v>
      </c>
      <c r="AU57">
        <v>198.75</v>
      </c>
    </row>
    <row r="58" spans="6:49" x14ac:dyDescent="0.2">
      <c r="F58" t="s">
        <v>72</v>
      </c>
      <c r="G58">
        <v>14467</v>
      </c>
      <c r="H58">
        <v>9737</v>
      </c>
      <c r="I58">
        <v>347.48105165859999</v>
      </c>
      <c r="J58">
        <v>379</v>
      </c>
      <c r="K58">
        <v>755.12664907650003</v>
      </c>
      <c r="L58">
        <v>4001</v>
      </c>
      <c r="M58">
        <v>792.80979755060002</v>
      </c>
      <c r="N58">
        <v>725</v>
      </c>
      <c r="O58">
        <v>532.04965517239998</v>
      </c>
      <c r="R58">
        <v>4</v>
      </c>
      <c r="S58">
        <v>111.25</v>
      </c>
      <c r="V58" t="s">
        <v>423</v>
      </c>
      <c r="W58">
        <v>694</v>
      </c>
      <c r="X58">
        <v>544</v>
      </c>
      <c r="Y58">
        <v>316.5349264706</v>
      </c>
      <c r="Z58">
        <v>112</v>
      </c>
      <c r="AA58">
        <v>688.70535714289997</v>
      </c>
      <c r="AB58">
        <v>66</v>
      </c>
      <c r="AC58">
        <v>188.21212121209999</v>
      </c>
      <c r="AD58">
        <v>47</v>
      </c>
      <c r="AE58">
        <v>383.14893617019999</v>
      </c>
      <c r="AF58">
        <v>37</v>
      </c>
      <c r="AG58">
        <v>234.7837837838</v>
      </c>
      <c r="AL58" t="s">
        <v>423</v>
      </c>
      <c r="AM58">
        <v>20</v>
      </c>
      <c r="AN58">
        <v>18</v>
      </c>
      <c r="AO58">
        <v>269.6666666667</v>
      </c>
      <c r="AP58">
        <v>4</v>
      </c>
      <c r="AQ58">
        <v>220.25</v>
      </c>
      <c r="AR58">
        <v>2</v>
      </c>
      <c r="AS58">
        <v>197.5</v>
      </c>
    </row>
    <row r="59" spans="6:49" x14ac:dyDescent="0.2">
      <c r="F59" t="s">
        <v>47</v>
      </c>
      <c r="G59">
        <v>803</v>
      </c>
      <c r="H59">
        <v>469</v>
      </c>
      <c r="I59">
        <v>161.02132196159999</v>
      </c>
      <c r="J59">
        <v>223</v>
      </c>
      <c r="K59">
        <v>331.99551569509998</v>
      </c>
      <c r="L59">
        <v>194</v>
      </c>
      <c r="M59">
        <v>226.1082474227</v>
      </c>
      <c r="N59">
        <v>140</v>
      </c>
      <c r="O59">
        <v>241.4</v>
      </c>
      <c r="V59" t="s">
        <v>387</v>
      </c>
      <c r="W59">
        <v>2328</v>
      </c>
      <c r="X59">
        <v>1514</v>
      </c>
      <c r="Y59">
        <v>346.90158520480003</v>
      </c>
      <c r="Z59">
        <v>315</v>
      </c>
      <c r="AA59">
        <v>482.33650793650003</v>
      </c>
      <c r="AB59">
        <v>170</v>
      </c>
      <c r="AC59">
        <v>305.54705882349998</v>
      </c>
      <c r="AD59">
        <v>486</v>
      </c>
      <c r="AE59">
        <v>463.4362139918</v>
      </c>
      <c r="AF59">
        <v>155</v>
      </c>
      <c r="AG59">
        <v>179.32258064519999</v>
      </c>
      <c r="AH59">
        <v>3</v>
      </c>
      <c r="AI59">
        <v>539.66666666670005</v>
      </c>
      <c r="AL59" t="s">
        <v>387</v>
      </c>
      <c r="AM59">
        <v>48</v>
      </c>
      <c r="AN59">
        <v>37</v>
      </c>
      <c r="AO59">
        <v>202.9189189189</v>
      </c>
      <c r="AP59">
        <v>8</v>
      </c>
      <c r="AQ59">
        <v>658.25</v>
      </c>
      <c r="AR59">
        <v>8</v>
      </c>
      <c r="AS59">
        <v>164.25</v>
      </c>
      <c r="AT59">
        <v>3</v>
      </c>
      <c r="AU59">
        <v>146</v>
      </c>
    </row>
    <row r="60" spans="6:49" x14ac:dyDescent="0.2">
      <c r="F60" t="s">
        <v>63</v>
      </c>
      <c r="G60">
        <v>3373</v>
      </c>
      <c r="H60">
        <v>2513</v>
      </c>
      <c r="I60">
        <v>280.32272184639999</v>
      </c>
      <c r="J60">
        <v>355</v>
      </c>
      <c r="K60">
        <v>634.37183098590003</v>
      </c>
      <c r="L60">
        <v>401</v>
      </c>
      <c r="M60">
        <v>255.5336658354</v>
      </c>
      <c r="N60">
        <v>437</v>
      </c>
      <c r="O60">
        <v>636.84439359270004</v>
      </c>
      <c r="R60">
        <v>22</v>
      </c>
      <c r="S60">
        <v>624.27272727269997</v>
      </c>
      <c r="V60" t="s">
        <v>390</v>
      </c>
      <c r="W60">
        <v>10361</v>
      </c>
      <c r="X60">
        <v>7408</v>
      </c>
      <c r="Y60">
        <v>261.77416306700002</v>
      </c>
      <c r="Z60">
        <v>933</v>
      </c>
      <c r="AA60">
        <v>483.95605573419999</v>
      </c>
      <c r="AB60">
        <v>1359</v>
      </c>
      <c r="AC60">
        <v>228.646799117</v>
      </c>
      <c r="AD60">
        <v>966</v>
      </c>
      <c r="AE60">
        <v>365.62422360250002</v>
      </c>
      <c r="AF60">
        <v>611</v>
      </c>
      <c r="AG60">
        <v>165.6104746318</v>
      </c>
      <c r="AH60">
        <v>17</v>
      </c>
      <c r="AI60">
        <v>278.6470588235</v>
      </c>
      <c r="AL60" t="s">
        <v>390</v>
      </c>
      <c r="AM60">
        <v>236</v>
      </c>
      <c r="AN60">
        <v>205</v>
      </c>
      <c r="AO60">
        <v>231.79024390239999</v>
      </c>
      <c r="AP60">
        <v>26</v>
      </c>
      <c r="AQ60">
        <v>301.15384615379998</v>
      </c>
      <c r="AR60">
        <v>19</v>
      </c>
      <c r="AS60">
        <v>286.31578947370002</v>
      </c>
      <c r="AT60">
        <v>9</v>
      </c>
      <c r="AU60">
        <v>218.1111111111</v>
      </c>
      <c r="AV60">
        <v>3</v>
      </c>
      <c r="AW60">
        <v>166.3333333333</v>
      </c>
    </row>
    <row r="61" spans="6:49" x14ac:dyDescent="0.2">
      <c r="F61" t="s">
        <v>36</v>
      </c>
      <c r="G61">
        <v>5467</v>
      </c>
      <c r="H61">
        <v>4136</v>
      </c>
      <c r="I61">
        <v>574.62475822049998</v>
      </c>
      <c r="J61">
        <v>262</v>
      </c>
      <c r="K61">
        <v>1115.5458015267</v>
      </c>
      <c r="L61">
        <v>1074</v>
      </c>
      <c r="M61">
        <v>829.07541899440002</v>
      </c>
      <c r="N61">
        <v>253</v>
      </c>
      <c r="O61">
        <v>670.91304347829998</v>
      </c>
      <c r="R61">
        <v>4</v>
      </c>
      <c r="S61">
        <v>630.75</v>
      </c>
      <c r="V61" t="s">
        <v>422</v>
      </c>
      <c r="W61">
        <v>577</v>
      </c>
      <c r="X61">
        <v>354</v>
      </c>
      <c r="Y61">
        <v>369.46327683620001</v>
      </c>
      <c r="Z61">
        <v>14</v>
      </c>
      <c r="AA61">
        <v>783</v>
      </c>
      <c r="AB61">
        <v>173</v>
      </c>
      <c r="AC61">
        <v>873.1502890173</v>
      </c>
      <c r="AD61">
        <v>35</v>
      </c>
      <c r="AE61">
        <v>569.88571428570003</v>
      </c>
      <c r="AF61">
        <v>15</v>
      </c>
      <c r="AG61">
        <v>186.73333333330001</v>
      </c>
      <c r="AL61" t="s">
        <v>422</v>
      </c>
      <c r="AM61">
        <v>14</v>
      </c>
      <c r="AN61">
        <v>13</v>
      </c>
      <c r="AO61">
        <v>255.8461538462</v>
      </c>
      <c r="AR61">
        <v>1</v>
      </c>
      <c r="AS61">
        <v>60</v>
      </c>
    </row>
    <row r="62" spans="6:49" x14ac:dyDescent="0.2">
      <c r="F62" t="s">
        <v>50</v>
      </c>
      <c r="G62">
        <v>1950</v>
      </c>
      <c r="H62">
        <v>1349</v>
      </c>
      <c r="I62">
        <v>324.01334321719997</v>
      </c>
      <c r="J62">
        <v>313</v>
      </c>
      <c r="K62">
        <v>474.66134185300001</v>
      </c>
      <c r="L62">
        <v>143</v>
      </c>
      <c r="M62">
        <v>183.93706293709999</v>
      </c>
      <c r="N62">
        <v>455</v>
      </c>
      <c r="O62">
        <v>431.86813186810002</v>
      </c>
      <c r="R62">
        <v>3</v>
      </c>
      <c r="S62">
        <v>539.66666666670005</v>
      </c>
      <c r="V62" t="s">
        <v>377</v>
      </c>
      <c r="W62">
        <v>55732</v>
      </c>
      <c r="X62">
        <v>37688</v>
      </c>
      <c r="Y62">
        <v>353.1160050945</v>
      </c>
      <c r="Z62">
        <v>4294</v>
      </c>
      <c r="AA62">
        <v>552.944806707</v>
      </c>
      <c r="AB62">
        <v>10284</v>
      </c>
      <c r="AC62">
        <v>576.52994943600004</v>
      </c>
      <c r="AD62">
        <v>5220</v>
      </c>
      <c r="AE62">
        <v>508.8030651341</v>
      </c>
      <c r="AF62">
        <v>2451</v>
      </c>
      <c r="AG62">
        <v>180.38718890249999</v>
      </c>
      <c r="AH62">
        <v>89</v>
      </c>
      <c r="AI62">
        <v>413.91011235960002</v>
      </c>
      <c r="AL62" t="s">
        <v>377</v>
      </c>
      <c r="AM62">
        <v>1569</v>
      </c>
      <c r="AN62">
        <v>1321</v>
      </c>
      <c r="AO62">
        <v>238.8629825889</v>
      </c>
      <c r="AP62">
        <v>246</v>
      </c>
      <c r="AQ62">
        <v>353.71138211380003</v>
      </c>
      <c r="AR62">
        <v>181</v>
      </c>
      <c r="AS62">
        <v>240.1160220994</v>
      </c>
      <c r="AT62">
        <v>58</v>
      </c>
      <c r="AU62">
        <v>229.89655172409999</v>
      </c>
      <c r="AV62">
        <v>9</v>
      </c>
      <c r="AW62">
        <v>542.66666666670005</v>
      </c>
    </row>
    <row r="63" spans="6:49" x14ac:dyDescent="0.2">
      <c r="F63" t="s">
        <v>57</v>
      </c>
      <c r="G63">
        <v>627</v>
      </c>
      <c r="H63">
        <v>515</v>
      </c>
      <c r="I63">
        <v>302.93009708739999</v>
      </c>
      <c r="J63">
        <v>110</v>
      </c>
      <c r="K63">
        <v>700.01818181819999</v>
      </c>
      <c r="L63">
        <v>62</v>
      </c>
      <c r="M63">
        <v>88.096774193499996</v>
      </c>
      <c r="N63">
        <v>50</v>
      </c>
      <c r="O63">
        <v>347.84</v>
      </c>
      <c r="V63" t="s">
        <v>706</v>
      </c>
      <c r="W63">
        <v>311009</v>
      </c>
      <c r="X63">
        <v>219335</v>
      </c>
      <c r="Y63">
        <v>399.15898967330003</v>
      </c>
      <c r="Z63">
        <v>19610</v>
      </c>
      <c r="AA63">
        <v>571.04630290670002</v>
      </c>
      <c r="AB63">
        <v>55041</v>
      </c>
      <c r="AC63">
        <v>623.0297596337</v>
      </c>
      <c r="AD63">
        <v>23715</v>
      </c>
      <c r="AE63">
        <v>523.66776301920004</v>
      </c>
      <c r="AF63">
        <v>12486</v>
      </c>
      <c r="AG63">
        <v>186.57408297289999</v>
      </c>
      <c r="AH63">
        <v>432</v>
      </c>
      <c r="AI63">
        <v>441.3912037037</v>
      </c>
      <c r="AL63" t="s">
        <v>706</v>
      </c>
      <c r="AM63">
        <v>5602</v>
      </c>
      <c r="AN63">
        <v>4599</v>
      </c>
      <c r="AO63">
        <v>243.3207218961</v>
      </c>
      <c r="AP63">
        <v>1399</v>
      </c>
      <c r="AQ63">
        <v>322.10436025730002</v>
      </c>
      <c r="AR63">
        <v>792</v>
      </c>
      <c r="AS63">
        <v>229.51262626260001</v>
      </c>
      <c r="AT63">
        <v>175</v>
      </c>
      <c r="AU63">
        <v>198.00571428570001</v>
      </c>
      <c r="AV63">
        <v>36</v>
      </c>
      <c r="AW63">
        <v>300.4722222222</v>
      </c>
    </row>
    <row r="64" spans="6:49" x14ac:dyDescent="0.2">
      <c r="F64" t="s">
        <v>68</v>
      </c>
      <c r="G64">
        <v>4848</v>
      </c>
      <c r="H64">
        <v>3719</v>
      </c>
      <c r="I64">
        <v>550.85157300349999</v>
      </c>
      <c r="J64">
        <v>129</v>
      </c>
      <c r="K64">
        <v>1037.6899224806</v>
      </c>
      <c r="L64">
        <v>260</v>
      </c>
      <c r="M64">
        <v>623.91538461539994</v>
      </c>
      <c r="N64">
        <v>868</v>
      </c>
      <c r="O64">
        <v>862.38248847930004</v>
      </c>
      <c r="R64">
        <v>1</v>
      </c>
      <c r="S64">
        <v>1261</v>
      </c>
    </row>
    <row r="65" spans="6:19" x14ac:dyDescent="0.2">
      <c r="F65" t="s">
        <v>70</v>
      </c>
      <c r="G65">
        <v>449</v>
      </c>
      <c r="H65">
        <v>211</v>
      </c>
      <c r="I65">
        <v>108.95734597160001</v>
      </c>
      <c r="J65">
        <v>169</v>
      </c>
      <c r="K65">
        <v>209.63905325440001</v>
      </c>
      <c r="L65">
        <v>156</v>
      </c>
      <c r="M65">
        <v>114.3525641026</v>
      </c>
      <c r="N65">
        <v>81</v>
      </c>
      <c r="O65">
        <v>180.76543209880001</v>
      </c>
      <c r="R65">
        <v>1</v>
      </c>
      <c r="S65">
        <v>57</v>
      </c>
    </row>
    <row r="66" spans="6:19" x14ac:dyDescent="0.2">
      <c r="F66" t="s">
        <v>85</v>
      </c>
      <c r="G66">
        <v>178</v>
      </c>
      <c r="H66">
        <v>53</v>
      </c>
      <c r="I66">
        <v>1015.6981132075</v>
      </c>
      <c r="J66">
        <v>14</v>
      </c>
      <c r="K66">
        <v>1101.5714285714</v>
      </c>
      <c r="L66">
        <v>69</v>
      </c>
      <c r="M66">
        <v>628.24637681160004</v>
      </c>
      <c r="N66">
        <v>55</v>
      </c>
      <c r="O66">
        <v>624.01818181819999</v>
      </c>
      <c r="R66">
        <v>1</v>
      </c>
      <c r="S66">
        <v>285</v>
      </c>
    </row>
    <row r="67" spans="6:19" x14ac:dyDescent="0.2">
      <c r="F67" t="s">
        <v>66</v>
      </c>
      <c r="G67">
        <v>4915</v>
      </c>
      <c r="H67">
        <v>3248</v>
      </c>
      <c r="I67">
        <v>245.12561576350001</v>
      </c>
      <c r="J67">
        <v>531</v>
      </c>
      <c r="K67">
        <v>413.31450094159999</v>
      </c>
      <c r="L67">
        <v>1038</v>
      </c>
      <c r="M67">
        <v>500.75626204240001</v>
      </c>
      <c r="N67">
        <v>620</v>
      </c>
      <c r="O67">
        <v>577.65483870970002</v>
      </c>
      <c r="R67">
        <v>9</v>
      </c>
      <c r="S67">
        <v>323.8888888889</v>
      </c>
    </row>
    <row r="68" spans="6:19" x14ac:dyDescent="0.2">
      <c r="F68" t="s">
        <v>438</v>
      </c>
      <c r="G68">
        <v>12</v>
      </c>
      <c r="H68">
        <v>5</v>
      </c>
      <c r="I68">
        <v>291.60000000000002</v>
      </c>
      <c r="L68">
        <v>3</v>
      </c>
      <c r="M68">
        <v>956.66666666670005</v>
      </c>
      <c r="N68">
        <v>3</v>
      </c>
      <c r="O68">
        <v>73.333333333300004</v>
      </c>
      <c r="R68">
        <v>1</v>
      </c>
      <c r="S68">
        <v>241</v>
      </c>
    </row>
    <row r="69" spans="6:19" x14ac:dyDescent="0.2">
      <c r="F69" t="s">
        <v>86</v>
      </c>
      <c r="G69">
        <v>9431</v>
      </c>
      <c r="H69">
        <v>7189</v>
      </c>
      <c r="I69">
        <v>249.52705522330001</v>
      </c>
      <c r="J69">
        <v>913</v>
      </c>
      <c r="K69">
        <v>473.95947426070001</v>
      </c>
      <c r="L69">
        <v>1279</v>
      </c>
      <c r="M69">
        <v>186.7380766224</v>
      </c>
      <c r="N69">
        <v>946</v>
      </c>
      <c r="O69">
        <v>351.11205073999997</v>
      </c>
      <c r="R69">
        <v>17</v>
      </c>
      <c r="S69">
        <v>278.6470588235</v>
      </c>
    </row>
    <row r="70" spans="6:19" x14ac:dyDescent="0.2">
      <c r="F70" t="s">
        <v>141</v>
      </c>
      <c r="G70">
        <v>202</v>
      </c>
      <c r="H70">
        <v>114</v>
      </c>
      <c r="I70">
        <v>213.65789473679999</v>
      </c>
      <c r="J70">
        <v>23</v>
      </c>
      <c r="K70">
        <v>296.13043478259999</v>
      </c>
      <c r="L70">
        <v>41</v>
      </c>
      <c r="M70">
        <v>507</v>
      </c>
      <c r="N70">
        <v>47</v>
      </c>
      <c r="O70">
        <v>457.02127659569999</v>
      </c>
    </row>
    <row r="71" spans="6:19" x14ac:dyDescent="0.2">
      <c r="F71" t="s">
        <v>377</v>
      </c>
      <c r="G71">
        <v>54961</v>
      </c>
      <c r="H71">
        <v>38958</v>
      </c>
      <c r="I71">
        <v>358.07659530780001</v>
      </c>
      <c r="J71">
        <v>4356</v>
      </c>
      <c r="K71">
        <v>562.17745638199995</v>
      </c>
      <c r="L71">
        <v>10324</v>
      </c>
      <c r="M71">
        <v>580.38366912050003</v>
      </c>
      <c r="N71">
        <v>5587</v>
      </c>
      <c r="O71">
        <v>544.56291390729996</v>
      </c>
      <c r="R71">
        <v>92</v>
      </c>
      <c r="S71">
        <v>415.66304347829998</v>
      </c>
    </row>
    <row r="72" spans="6:19" x14ac:dyDescent="0.2">
      <c r="F72" t="s">
        <v>706</v>
      </c>
      <c r="G72">
        <v>316611</v>
      </c>
      <c r="H72">
        <v>223934</v>
      </c>
      <c r="I72">
        <v>395.95849223430002</v>
      </c>
      <c r="J72">
        <v>21009</v>
      </c>
      <c r="K72">
        <v>554.46913227660002</v>
      </c>
      <c r="L72">
        <v>55833</v>
      </c>
      <c r="M72">
        <v>617.44765640390006</v>
      </c>
      <c r="N72">
        <v>23890</v>
      </c>
      <c r="O72">
        <v>521.28221012979998</v>
      </c>
      <c r="P72">
        <v>12522</v>
      </c>
      <c r="Q72">
        <v>186.90153330140001</v>
      </c>
      <c r="R72">
        <v>432</v>
      </c>
      <c r="S72">
        <v>441.3912037037</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502</v>
      </c>
      <c r="B1" t="s">
        <v>374</v>
      </c>
      <c r="C1" t="s">
        <v>501</v>
      </c>
      <c r="D1" t="s">
        <v>503</v>
      </c>
      <c r="E1" t="s">
        <v>504</v>
      </c>
      <c r="F1" t="s">
        <v>505</v>
      </c>
      <c r="G1" t="s">
        <v>506</v>
      </c>
      <c r="H1" t="s">
        <v>507</v>
      </c>
      <c r="I1" t="s">
        <v>508</v>
      </c>
      <c r="J1" t="s">
        <v>509</v>
      </c>
      <c r="K1" t="s">
        <v>510</v>
      </c>
      <c r="L1" t="s">
        <v>375</v>
      </c>
      <c r="M1" t="s">
        <v>511</v>
      </c>
      <c r="N1" t="s">
        <v>512</v>
      </c>
      <c r="O1" t="s">
        <v>513</v>
      </c>
      <c r="P1" t="s">
        <v>514</v>
      </c>
      <c r="Q1" t="s">
        <v>515</v>
      </c>
      <c r="R1" t="s">
        <v>686</v>
      </c>
    </row>
    <row r="2" spans="1:18" x14ac:dyDescent="0.2">
      <c r="A2">
        <v>1</v>
      </c>
      <c r="B2">
        <v>-99</v>
      </c>
      <c r="C2" t="s">
        <v>445</v>
      </c>
      <c r="D2" t="s">
        <v>706</v>
      </c>
      <c r="E2" t="s">
        <v>445</v>
      </c>
      <c r="F2" t="s">
        <v>706</v>
      </c>
      <c r="G2" t="s">
        <v>445</v>
      </c>
      <c r="H2" t="s">
        <v>6</v>
      </c>
      <c r="I2">
        <v>-99</v>
      </c>
      <c r="J2">
        <v>1</v>
      </c>
      <c r="K2" t="s">
        <v>6</v>
      </c>
      <c r="L2">
        <v>-99</v>
      </c>
      <c r="M2" t="s">
        <v>662</v>
      </c>
      <c r="N2" t="s">
        <v>662</v>
      </c>
      <c r="O2">
        <v>-99</v>
      </c>
      <c r="P2">
        <v>-99</v>
      </c>
      <c r="Q2">
        <v>1</v>
      </c>
      <c r="R2" t="s">
        <v>662</v>
      </c>
    </row>
    <row r="3" spans="1:18" x14ac:dyDescent="0.2">
      <c r="A3">
        <v>2</v>
      </c>
      <c r="B3">
        <v>-99</v>
      </c>
      <c r="C3" t="s">
        <v>446</v>
      </c>
      <c r="D3" t="s">
        <v>6</v>
      </c>
      <c r="E3" t="s">
        <v>446</v>
      </c>
      <c r="F3" t="s">
        <v>1044</v>
      </c>
      <c r="G3" t="s">
        <v>445</v>
      </c>
      <c r="H3" t="s">
        <v>6</v>
      </c>
      <c r="I3">
        <v>-99</v>
      </c>
      <c r="J3">
        <v>1</v>
      </c>
      <c r="K3" t="s">
        <v>6</v>
      </c>
      <c r="L3">
        <v>-99</v>
      </c>
      <c r="M3" t="s">
        <v>662</v>
      </c>
      <c r="N3" t="s">
        <v>662</v>
      </c>
      <c r="O3">
        <v>-99</v>
      </c>
      <c r="P3">
        <v>-99</v>
      </c>
      <c r="Q3">
        <v>1</v>
      </c>
      <c r="R3" t="s">
        <v>662</v>
      </c>
    </row>
    <row r="4" spans="1:18" x14ac:dyDescent="0.2">
      <c r="A4">
        <v>3</v>
      </c>
      <c r="B4">
        <v>-99</v>
      </c>
      <c r="C4" t="s">
        <v>663</v>
      </c>
      <c r="D4" t="s">
        <v>6</v>
      </c>
      <c r="E4" t="s">
        <v>663</v>
      </c>
      <c r="F4" t="s">
        <v>1046</v>
      </c>
      <c r="G4" t="s">
        <v>445</v>
      </c>
      <c r="H4" t="s">
        <v>6</v>
      </c>
      <c r="I4">
        <v>-99</v>
      </c>
      <c r="J4">
        <v>1</v>
      </c>
      <c r="K4" t="s">
        <v>6</v>
      </c>
      <c r="L4">
        <v>-99</v>
      </c>
      <c r="M4" t="s">
        <v>662</v>
      </c>
      <c r="N4" t="s">
        <v>662</v>
      </c>
      <c r="O4">
        <v>-99</v>
      </c>
      <c r="P4">
        <v>-99</v>
      </c>
      <c r="Q4">
        <v>1</v>
      </c>
      <c r="R4" t="s">
        <v>214</v>
      </c>
    </row>
    <row r="5" spans="1:18" x14ac:dyDescent="0.2">
      <c r="A5">
        <v>4</v>
      </c>
      <c r="B5">
        <v>-99</v>
      </c>
      <c r="C5" t="s">
        <v>447</v>
      </c>
      <c r="D5" t="s">
        <v>6</v>
      </c>
      <c r="E5" t="s">
        <v>447</v>
      </c>
      <c r="F5" t="s">
        <v>1052</v>
      </c>
      <c r="G5" t="s">
        <v>445</v>
      </c>
      <c r="H5" t="s">
        <v>6</v>
      </c>
      <c r="I5">
        <v>-99</v>
      </c>
      <c r="J5">
        <v>1</v>
      </c>
      <c r="K5" t="s">
        <v>6</v>
      </c>
      <c r="L5">
        <v>-99</v>
      </c>
      <c r="M5" t="s">
        <v>662</v>
      </c>
      <c r="N5" t="s">
        <v>662</v>
      </c>
      <c r="O5">
        <v>-99</v>
      </c>
      <c r="P5">
        <v>-99</v>
      </c>
      <c r="Q5">
        <v>1</v>
      </c>
      <c r="R5" t="s">
        <v>691</v>
      </c>
    </row>
    <row r="6" spans="1:18" x14ac:dyDescent="0.2">
      <c r="A6">
        <v>5</v>
      </c>
      <c r="B6">
        <v>-99</v>
      </c>
      <c r="C6" t="s">
        <v>448</v>
      </c>
      <c r="D6" t="s">
        <v>6</v>
      </c>
      <c r="E6" t="s">
        <v>448</v>
      </c>
      <c r="F6" t="s">
        <v>703</v>
      </c>
      <c r="G6" t="s">
        <v>445</v>
      </c>
      <c r="H6" t="s">
        <v>6</v>
      </c>
      <c r="I6">
        <v>-99</v>
      </c>
      <c r="J6">
        <v>1</v>
      </c>
      <c r="K6" t="s">
        <v>6</v>
      </c>
      <c r="L6">
        <v>-99</v>
      </c>
      <c r="M6" t="s">
        <v>662</v>
      </c>
      <c r="N6" t="s">
        <v>662</v>
      </c>
      <c r="O6">
        <v>-99</v>
      </c>
      <c r="P6">
        <v>-99</v>
      </c>
      <c r="Q6">
        <v>1</v>
      </c>
      <c r="R6" t="s">
        <v>687</v>
      </c>
    </row>
    <row r="7" spans="1:18" x14ac:dyDescent="0.2">
      <c r="A7">
        <v>6</v>
      </c>
      <c r="B7">
        <v>-99</v>
      </c>
      <c r="C7" t="s">
        <v>449</v>
      </c>
      <c r="D7" t="s">
        <v>6</v>
      </c>
      <c r="E7" t="s">
        <v>449</v>
      </c>
      <c r="F7" t="s">
        <v>1047</v>
      </c>
      <c r="G7" t="s">
        <v>445</v>
      </c>
      <c r="H7" t="s">
        <v>6</v>
      </c>
      <c r="I7">
        <v>-99</v>
      </c>
      <c r="J7">
        <v>1</v>
      </c>
      <c r="K7" t="s">
        <v>6</v>
      </c>
      <c r="L7">
        <v>-99</v>
      </c>
      <c r="M7" t="s">
        <v>662</v>
      </c>
      <c r="N7" t="s">
        <v>662</v>
      </c>
      <c r="O7">
        <v>-99</v>
      </c>
      <c r="P7">
        <v>-99</v>
      </c>
      <c r="Q7">
        <v>1</v>
      </c>
      <c r="R7" t="s">
        <v>688</v>
      </c>
    </row>
    <row r="8" spans="1:18" x14ac:dyDescent="0.2">
      <c r="A8">
        <v>7</v>
      </c>
      <c r="B8">
        <v>-99</v>
      </c>
      <c r="C8" t="s">
        <v>450</v>
      </c>
      <c r="D8" t="s">
        <v>6</v>
      </c>
      <c r="E8" t="s">
        <v>450</v>
      </c>
      <c r="F8" t="s">
        <v>1053</v>
      </c>
      <c r="G8" t="s">
        <v>445</v>
      </c>
      <c r="H8" t="s">
        <v>6</v>
      </c>
      <c r="I8">
        <v>-99</v>
      </c>
      <c r="J8">
        <v>1</v>
      </c>
      <c r="K8" t="s">
        <v>6</v>
      </c>
      <c r="L8">
        <v>-99</v>
      </c>
      <c r="M8" t="s">
        <v>662</v>
      </c>
      <c r="N8" t="s">
        <v>662</v>
      </c>
      <c r="O8">
        <v>-99</v>
      </c>
      <c r="P8">
        <v>-99</v>
      </c>
      <c r="Q8">
        <v>1</v>
      </c>
      <c r="R8" t="s">
        <v>689</v>
      </c>
    </row>
    <row r="9" spans="1:18" x14ac:dyDescent="0.2">
      <c r="A9">
        <v>8</v>
      </c>
      <c r="B9">
        <v>-99</v>
      </c>
      <c r="C9" t="s">
        <v>451</v>
      </c>
      <c r="D9" t="s">
        <v>6</v>
      </c>
      <c r="E9" t="s">
        <v>451</v>
      </c>
      <c r="F9" t="s">
        <v>1054</v>
      </c>
      <c r="G9" t="s">
        <v>445</v>
      </c>
      <c r="H9" t="s">
        <v>6</v>
      </c>
      <c r="I9">
        <v>-99</v>
      </c>
      <c r="J9">
        <v>1</v>
      </c>
      <c r="K9" t="s">
        <v>6</v>
      </c>
      <c r="L9">
        <v>-99</v>
      </c>
      <c r="M9" t="s">
        <v>662</v>
      </c>
      <c r="N9" t="s">
        <v>662</v>
      </c>
      <c r="O9">
        <v>-99</v>
      </c>
      <c r="P9">
        <v>-99</v>
      </c>
      <c r="Q9">
        <v>1</v>
      </c>
      <c r="R9" t="s">
        <v>406</v>
      </c>
    </row>
    <row r="10" spans="1:18" x14ac:dyDescent="0.2">
      <c r="A10">
        <v>9</v>
      </c>
      <c r="B10">
        <v>-99</v>
      </c>
      <c r="C10" t="s">
        <v>452</v>
      </c>
      <c r="D10" t="s">
        <v>6</v>
      </c>
      <c r="E10" t="s">
        <v>452</v>
      </c>
      <c r="F10" t="s">
        <v>1055</v>
      </c>
      <c r="G10" t="s">
        <v>445</v>
      </c>
      <c r="H10" t="s">
        <v>6</v>
      </c>
      <c r="I10">
        <v>-99</v>
      </c>
      <c r="J10">
        <v>1</v>
      </c>
      <c r="K10" t="s">
        <v>6</v>
      </c>
      <c r="L10">
        <v>-99</v>
      </c>
      <c r="M10" t="s">
        <v>662</v>
      </c>
      <c r="N10" t="s">
        <v>662</v>
      </c>
      <c r="O10">
        <v>-99</v>
      </c>
      <c r="P10">
        <v>-99</v>
      </c>
      <c r="Q10">
        <v>1</v>
      </c>
      <c r="R10" t="s">
        <v>692</v>
      </c>
    </row>
    <row r="11" spans="1:18" x14ac:dyDescent="0.2">
      <c r="A11">
        <v>10</v>
      </c>
      <c r="B11">
        <v>-99</v>
      </c>
      <c r="C11" t="s">
        <v>453</v>
      </c>
      <c r="D11" t="s">
        <v>6</v>
      </c>
      <c r="E11" t="s">
        <v>453</v>
      </c>
      <c r="F11" t="s">
        <v>1056</v>
      </c>
      <c r="G11" t="s">
        <v>445</v>
      </c>
      <c r="H11" t="s">
        <v>6</v>
      </c>
      <c r="I11">
        <v>-99</v>
      </c>
      <c r="J11">
        <v>1</v>
      </c>
      <c r="K11" t="s">
        <v>6</v>
      </c>
      <c r="L11">
        <v>-99</v>
      </c>
      <c r="M11" t="s">
        <v>662</v>
      </c>
      <c r="N11" t="s">
        <v>662</v>
      </c>
      <c r="O11">
        <v>-99</v>
      </c>
      <c r="P11">
        <v>-99</v>
      </c>
      <c r="Q11">
        <v>1</v>
      </c>
      <c r="R11" t="s">
        <v>662</v>
      </c>
    </row>
    <row r="12" spans="1:18" x14ac:dyDescent="0.2">
      <c r="A12">
        <v>11</v>
      </c>
      <c r="B12">
        <v>-99</v>
      </c>
      <c r="C12" t="s">
        <v>455</v>
      </c>
      <c r="D12" t="s">
        <v>516</v>
      </c>
      <c r="E12" t="s">
        <v>664</v>
      </c>
      <c r="F12" t="s">
        <v>135</v>
      </c>
      <c r="G12" t="s">
        <v>664</v>
      </c>
      <c r="H12" t="s">
        <v>378</v>
      </c>
      <c r="I12">
        <v>-99</v>
      </c>
      <c r="J12">
        <v>-99</v>
      </c>
      <c r="K12" t="s">
        <v>662</v>
      </c>
      <c r="L12">
        <v>-99</v>
      </c>
      <c r="M12" t="s">
        <v>662</v>
      </c>
      <c r="N12" t="s">
        <v>662</v>
      </c>
      <c r="O12">
        <v>-99</v>
      </c>
      <c r="P12">
        <v>-99</v>
      </c>
      <c r="Q12">
        <v>2</v>
      </c>
      <c r="R12" t="s">
        <v>662</v>
      </c>
    </row>
    <row r="13" spans="1:18" x14ac:dyDescent="0.2">
      <c r="A13">
        <v>12</v>
      </c>
      <c r="B13">
        <v>-99</v>
      </c>
      <c r="C13" t="s">
        <v>457</v>
      </c>
      <c r="D13" t="s">
        <v>516</v>
      </c>
      <c r="E13" t="s">
        <v>665</v>
      </c>
      <c r="F13" t="s">
        <v>136</v>
      </c>
      <c r="G13" t="s">
        <v>665</v>
      </c>
      <c r="H13" t="s">
        <v>385</v>
      </c>
      <c r="I13">
        <v>-99</v>
      </c>
      <c r="J13">
        <v>-99</v>
      </c>
      <c r="K13" t="s">
        <v>662</v>
      </c>
      <c r="L13">
        <v>-99</v>
      </c>
      <c r="M13" t="s">
        <v>662</v>
      </c>
      <c r="N13" t="s">
        <v>662</v>
      </c>
      <c r="O13">
        <v>-99</v>
      </c>
      <c r="P13">
        <v>-99</v>
      </c>
      <c r="Q13">
        <v>2</v>
      </c>
      <c r="R13" t="s">
        <v>662</v>
      </c>
    </row>
    <row r="14" spans="1:18" x14ac:dyDescent="0.2">
      <c r="A14">
        <v>13</v>
      </c>
      <c r="B14">
        <v>-99</v>
      </c>
      <c r="C14" t="s">
        <v>460</v>
      </c>
      <c r="D14" t="s">
        <v>516</v>
      </c>
      <c r="E14" t="s">
        <v>666</v>
      </c>
      <c r="F14" t="s">
        <v>137</v>
      </c>
      <c r="G14" t="s">
        <v>666</v>
      </c>
      <c r="H14" t="s">
        <v>394</v>
      </c>
      <c r="I14">
        <v>-99</v>
      </c>
      <c r="J14">
        <v>-99</v>
      </c>
      <c r="K14" t="s">
        <v>662</v>
      </c>
      <c r="L14">
        <v>-99</v>
      </c>
      <c r="M14" t="s">
        <v>662</v>
      </c>
      <c r="N14" t="s">
        <v>662</v>
      </c>
      <c r="O14">
        <v>-99</v>
      </c>
      <c r="P14">
        <v>-99</v>
      </c>
      <c r="Q14">
        <v>2</v>
      </c>
      <c r="R14" t="s">
        <v>662</v>
      </c>
    </row>
    <row r="15" spans="1:18" x14ac:dyDescent="0.2">
      <c r="A15">
        <v>14</v>
      </c>
      <c r="B15">
        <v>-99</v>
      </c>
      <c r="C15" t="s">
        <v>667</v>
      </c>
      <c r="D15" t="s">
        <v>516</v>
      </c>
      <c r="E15" t="s">
        <v>668</v>
      </c>
      <c r="F15" t="s">
        <v>138</v>
      </c>
      <c r="G15" t="s">
        <v>668</v>
      </c>
      <c r="H15" t="s">
        <v>410</v>
      </c>
      <c r="I15">
        <v>-99</v>
      </c>
      <c r="J15">
        <v>-99</v>
      </c>
      <c r="K15" t="s">
        <v>662</v>
      </c>
      <c r="L15">
        <v>-99</v>
      </c>
      <c r="M15" t="s">
        <v>662</v>
      </c>
      <c r="N15" t="s">
        <v>662</v>
      </c>
      <c r="O15">
        <v>-99</v>
      </c>
      <c r="P15">
        <v>-99</v>
      </c>
      <c r="Q15">
        <v>2</v>
      </c>
      <c r="R15" t="s">
        <v>662</v>
      </c>
    </row>
    <row r="16" spans="1:18" x14ac:dyDescent="0.2">
      <c r="A16">
        <v>15</v>
      </c>
      <c r="B16">
        <v>-99</v>
      </c>
      <c r="C16" t="s">
        <v>670</v>
      </c>
      <c r="D16" t="s">
        <v>437</v>
      </c>
      <c r="E16" t="s">
        <v>670</v>
      </c>
      <c r="F16" t="s">
        <v>437</v>
      </c>
      <c r="G16" t="s">
        <v>662</v>
      </c>
      <c r="H16" t="s">
        <v>662</v>
      </c>
      <c r="I16">
        <v>-99</v>
      </c>
      <c r="J16">
        <v>30</v>
      </c>
      <c r="K16" t="s">
        <v>377</v>
      </c>
      <c r="L16">
        <v>-99</v>
      </c>
      <c r="M16" t="s">
        <v>662</v>
      </c>
      <c r="N16" t="s">
        <v>662</v>
      </c>
      <c r="O16">
        <v>-99</v>
      </c>
      <c r="P16">
        <v>-99</v>
      </c>
      <c r="Q16">
        <v>3</v>
      </c>
      <c r="R16" t="s">
        <v>662</v>
      </c>
    </row>
    <row r="17" spans="1:18" x14ac:dyDescent="0.2">
      <c r="A17">
        <v>16</v>
      </c>
      <c r="B17">
        <v>-99</v>
      </c>
      <c r="C17" t="s">
        <v>669</v>
      </c>
      <c r="D17" t="s">
        <v>443</v>
      </c>
      <c r="E17" t="s">
        <v>669</v>
      </c>
      <c r="F17" t="s">
        <v>443</v>
      </c>
      <c r="G17" t="s">
        <v>662</v>
      </c>
      <c r="H17" t="s">
        <v>662</v>
      </c>
      <c r="I17">
        <v>-99</v>
      </c>
      <c r="J17">
        <v>31</v>
      </c>
      <c r="K17" t="s">
        <v>388</v>
      </c>
      <c r="L17">
        <v>-99</v>
      </c>
      <c r="M17" t="s">
        <v>662</v>
      </c>
      <c r="N17" t="s">
        <v>662</v>
      </c>
      <c r="O17">
        <v>-99</v>
      </c>
      <c r="P17">
        <v>-99</v>
      </c>
      <c r="Q17">
        <v>3</v>
      </c>
      <c r="R17" t="s">
        <v>662</v>
      </c>
    </row>
    <row r="18" spans="1:18" x14ac:dyDescent="0.2">
      <c r="A18">
        <v>17</v>
      </c>
      <c r="B18">
        <v>-99</v>
      </c>
      <c r="C18" t="s">
        <v>671</v>
      </c>
      <c r="D18" t="s">
        <v>441</v>
      </c>
      <c r="E18" t="s">
        <v>671</v>
      </c>
      <c r="F18" t="s">
        <v>441</v>
      </c>
      <c r="G18" t="s">
        <v>662</v>
      </c>
      <c r="H18" t="s">
        <v>662</v>
      </c>
      <c r="I18">
        <v>-99</v>
      </c>
      <c r="J18">
        <v>32</v>
      </c>
      <c r="K18" t="s">
        <v>398</v>
      </c>
      <c r="L18">
        <v>-99</v>
      </c>
      <c r="M18" t="s">
        <v>662</v>
      </c>
      <c r="N18" t="s">
        <v>662</v>
      </c>
      <c r="O18">
        <v>-99</v>
      </c>
      <c r="P18">
        <v>-99</v>
      </c>
      <c r="Q18">
        <v>3</v>
      </c>
      <c r="R18" t="s">
        <v>662</v>
      </c>
    </row>
    <row r="19" spans="1:18" x14ac:dyDescent="0.2">
      <c r="A19">
        <v>18</v>
      </c>
      <c r="B19">
        <v>-99</v>
      </c>
      <c r="C19" t="s">
        <v>672</v>
      </c>
      <c r="D19" t="s">
        <v>440</v>
      </c>
      <c r="E19" t="s">
        <v>672</v>
      </c>
      <c r="F19" t="s">
        <v>440</v>
      </c>
      <c r="G19" t="s">
        <v>662</v>
      </c>
      <c r="H19" t="s">
        <v>662</v>
      </c>
      <c r="I19">
        <v>-99</v>
      </c>
      <c r="J19">
        <v>33</v>
      </c>
      <c r="K19" t="s">
        <v>393</v>
      </c>
      <c r="L19">
        <v>-99</v>
      </c>
      <c r="M19" t="s">
        <v>662</v>
      </c>
      <c r="N19" t="s">
        <v>662</v>
      </c>
      <c r="O19">
        <v>-99</v>
      </c>
      <c r="P19">
        <v>-99</v>
      </c>
      <c r="Q19">
        <v>3</v>
      </c>
      <c r="R19" t="s">
        <v>662</v>
      </c>
    </row>
    <row r="20" spans="1:18" x14ac:dyDescent="0.2">
      <c r="A20">
        <v>19</v>
      </c>
      <c r="B20">
        <v>-99</v>
      </c>
      <c r="C20" t="s">
        <v>673</v>
      </c>
      <c r="D20" t="s">
        <v>442</v>
      </c>
      <c r="E20" t="s">
        <v>673</v>
      </c>
      <c r="F20" t="s">
        <v>442</v>
      </c>
      <c r="G20" t="s">
        <v>662</v>
      </c>
      <c r="H20" t="s">
        <v>662</v>
      </c>
      <c r="I20">
        <v>-99</v>
      </c>
      <c r="J20">
        <v>34</v>
      </c>
      <c r="K20" t="s">
        <v>412</v>
      </c>
      <c r="L20">
        <v>-99</v>
      </c>
      <c r="M20" t="s">
        <v>662</v>
      </c>
      <c r="N20" t="s">
        <v>662</v>
      </c>
      <c r="O20">
        <v>-99</v>
      </c>
      <c r="P20">
        <v>-99</v>
      </c>
      <c r="Q20">
        <v>3</v>
      </c>
      <c r="R20" t="s">
        <v>662</v>
      </c>
    </row>
    <row r="21" spans="1:18" x14ac:dyDescent="0.2">
      <c r="A21">
        <v>20</v>
      </c>
      <c r="B21">
        <v>1</v>
      </c>
      <c r="C21" t="s">
        <v>675</v>
      </c>
      <c r="D21" t="s">
        <v>376</v>
      </c>
      <c r="E21" t="s">
        <v>675</v>
      </c>
      <c r="F21" t="s">
        <v>517</v>
      </c>
      <c r="G21" t="s">
        <v>676</v>
      </c>
      <c r="H21" t="s">
        <v>8</v>
      </c>
      <c r="I21">
        <v>-99</v>
      </c>
      <c r="J21">
        <v>35</v>
      </c>
      <c r="K21" t="s">
        <v>8</v>
      </c>
      <c r="L21">
        <v>8240</v>
      </c>
      <c r="M21" t="s">
        <v>518</v>
      </c>
      <c r="N21" t="s">
        <v>662</v>
      </c>
      <c r="O21">
        <v>1</v>
      </c>
      <c r="P21">
        <v>2</v>
      </c>
      <c r="Q21">
        <v>-99</v>
      </c>
      <c r="R21" t="s">
        <v>662</v>
      </c>
    </row>
    <row r="22" spans="1:18" x14ac:dyDescent="0.2">
      <c r="A22">
        <v>21</v>
      </c>
      <c r="B22">
        <v>8</v>
      </c>
      <c r="C22" t="s">
        <v>142</v>
      </c>
      <c r="D22" t="s">
        <v>38</v>
      </c>
      <c r="E22" t="s">
        <v>519</v>
      </c>
      <c r="F22" t="s">
        <v>520</v>
      </c>
      <c r="G22" t="s">
        <v>664</v>
      </c>
      <c r="H22" t="s">
        <v>378</v>
      </c>
      <c r="I22">
        <v>380</v>
      </c>
      <c r="J22">
        <v>30</v>
      </c>
      <c r="K22" t="s">
        <v>377</v>
      </c>
      <c r="L22">
        <v>8233</v>
      </c>
      <c r="M22" t="s">
        <v>333</v>
      </c>
      <c r="N22" t="s">
        <v>379</v>
      </c>
      <c r="O22">
        <v>1</v>
      </c>
      <c r="P22">
        <v>2</v>
      </c>
      <c r="Q22">
        <v>-99</v>
      </c>
      <c r="R22" t="s">
        <v>690</v>
      </c>
    </row>
    <row r="23" spans="1:18" x14ac:dyDescent="0.2">
      <c r="A23">
        <v>22</v>
      </c>
      <c r="B23">
        <v>9</v>
      </c>
      <c r="C23" t="s">
        <v>143</v>
      </c>
      <c r="D23" t="s">
        <v>70</v>
      </c>
      <c r="E23" t="s">
        <v>521</v>
      </c>
      <c r="F23" t="s">
        <v>522</v>
      </c>
      <c r="G23" t="s">
        <v>664</v>
      </c>
      <c r="H23" t="s">
        <v>378</v>
      </c>
      <c r="I23">
        <v>380</v>
      </c>
      <c r="J23">
        <v>30</v>
      </c>
      <c r="K23" t="s">
        <v>377</v>
      </c>
      <c r="L23">
        <v>8235</v>
      </c>
      <c r="M23" t="s">
        <v>368</v>
      </c>
      <c r="N23" t="s">
        <v>380</v>
      </c>
      <c r="O23">
        <v>1</v>
      </c>
      <c r="P23">
        <v>1</v>
      </c>
      <c r="Q23">
        <v>-99</v>
      </c>
      <c r="R23" t="s">
        <v>690</v>
      </c>
    </row>
    <row r="24" spans="1:18" x14ac:dyDescent="0.2">
      <c r="A24">
        <v>23</v>
      </c>
      <c r="B24">
        <v>-99</v>
      </c>
      <c r="C24" t="s">
        <v>143</v>
      </c>
      <c r="D24" t="s">
        <v>70</v>
      </c>
      <c r="E24" t="s">
        <v>523</v>
      </c>
      <c r="F24" t="s">
        <v>524</v>
      </c>
      <c r="G24" t="s">
        <v>664</v>
      </c>
      <c r="H24" t="s">
        <v>378</v>
      </c>
      <c r="I24">
        <v>380</v>
      </c>
      <c r="J24">
        <v>30</v>
      </c>
      <c r="K24" t="s">
        <v>377</v>
      </c>
      <c r="L24">
        <v>8235</v>
      </c>
      <c r="M24" t="s">
        <v>368</v>
      </c>
      <c r="N24" t="s">
        <v>380</v>
      </c>
      <c r="O24">
        <v>-99</v>
      </c>
      <c r="P24">
        <v>1</v>
      </c>
      <c r="Q24">
        <v>-99</v>
      </c>
      <c r="R24" t="s">
        <v>406</v>
      </c>
    </row>
    <row r="25" spans="1:18" x14ac:dyDescent="0.2">
      <c r="A25">
        <v>24</v>
      </c>
      <c r="B25">
        <v>10</v>
      </c>
      <c r="C25" t="s">
        <v>144</v>
      </c>
      <c r="D25" t="s">
        <v>63</v>
      </c>
      <c r="E25" t="s">
        <v>525</v>
      </c>
      <c r="F25" t="s">
        <v>526</v>
      </c>
      <c r="G25" t="s">
        <v>664</v>
      </c>
      <c r="H25" t="s">
        <v>378</v>
      </c>
      <c r="I25">
        <v>380</v>
      </c>
      <c r="J25">
        <v>30</v>
      </c>
      <c r="K25" t="s">
        <v>377</v>
      </c>
      <c r="L25">
        <v>8237</v>
      </c>
      <c r="M25" t="s">
        <v>343</v>
      </c>
      <c r="N25" t="s">
        <v>63</v>
      </c>
      <c r="O25">
        <v>1</v>
      </c>
      <c r="P25">
        <v>2</v>
      </c>
      <c r="Q25">
        <v>-99</v>
      </c>
      <c r="R25" t="s">
        <v>690</v>
      </c>
    </row>
    <row r="26" spans="1:18" x14ac:dyDescent="0.2">
      <c r="A26">
        <v>25</v>
      </c>
      <c r="B26">
        <v>11</v>
      </c>
      <c r="C26" t="s">
        <v>145</v>
      </c>
      <c r="D26" t="s">
        <v>24</v>
      </c>
      <c r="E26" t="s">
        <v>527</v>
      </c>
      <c r="F26" t="s">
        <v>528</v>
      </c>
      <c r="G26" t="s">
        <v>664</v>
      </c>
      <c r="H26" t="s">
        <v>378</v>
      </c>
      <c r="I26">
        <v>380</v>
      </c>
      <c r="J26">
        <v>30</v>
      </c>
      <c r="K26" t="s">
        <v>377</v>
      </c>
      <c r="L26">
        <v>8238</v>
      </c>
      <c r="M26" t="s">
        <v>343</v>
      </c>
      <c r="N26" t="s">
        <v>63</v>
      </c>
      <c r="O26">
        <v>1</v>
      </c>
      <c r="P26">
        <v>2</v>
      </c>
      <c r="Q26">
        <v>-99</v>
      </c>
      <c r="R26" t="s">
        <v>690</v>
      </c>
    </row>
    <row r="27" spans="1:18" x14ac:dyDescent="0.2">
      <c r="A27">
        <v>26</v>
      </c>
      <c r="B27">
        <v>12</v>
      </c>
      <c r="C27" t="s">
        <v>146</v>
      </c>
      <c r="D27" t="s">
        <v>47</v>
      </c>
      <c r="E27" t="s">
        <v>529</v>
      </c>
      <c r="F27" t="s">
        <v>530</v>
      </c>
      <c r="G27" t="s">
        <v>664</v>
      </c>
      <c r="H27" t="s">
        <v>378</v>
      </c>
      <c r="I27">
        <v>380</v>
      </c>
      <c r="J27">
        <v>30</v>
      </c>
      <c r="K27" t="s">
        <v>377</v>
      </c>
      <c r="L27">
        <v>8239</v>
      </c>
      <c r="M27" t="s">
        <v>361</v>
      </c>
      <c r="N27" t="s">
        <v>381</v>
      </c>
      <c r="O27">
        <v>1</v>
      </c>
      <c r="P27">
        <v>2</v>
      </c>
      <c r="Q27">
        <v>-99</v>
      </c>
      <c r="R27" t="s">
        <v>690</v>
      </c>
    </row>
    <row r="28" spans="1:18" x14ac:dyDescent="0.2">
      <c r="A28">
        <v>27</v>
      </c>
      <c r="B28">
        <v>13</v>
      </c>
      <c r="C28" t="s">
        <v>147</v>
      </c>
      <c r="D28" t="s">
        <v>64</v>
      </c>
      <c r="E28" t="s">
        <v>531</v>
      </c>
      <c r="F28" t="s">
        <v>532</v>
      </c>
      <c r="G28" t="s">
        <v>664</v>
      </c>
      <c r="H28" t="s">
        <v>378</v>
      </c>
      <c r="I28">
        <v>380</v>
      </c>
      <c r="J28">
        <v>30</v>
      </c>
      <c r="K28" t="s">
        <v>377</v>
      </c>
      <c r="L28">
        <v>8241</v>
      </c>
      <c r="M28" t="s">
        <v>365</v>
      </c>
      <c r="N28" t="s">
        <v>382</v>
      </c>
      <c r="O28">
        <v>1</v>
      </c>
      <c r="P28">
        <v>2</v>
      </c>
      <c r="Q28">
        <v>-99</v>
      </c>
      <c r="R28" t="s">
        <v>690</v>
      </c>
    </row>
    <row r="29" spans="1:18" x14ac:dyDescent="0.2">
      <c r="A29">
        <v>28</v>
      </c>
      <c r="B29">
        <v>14</v>
      </c>
      <c r="C29" t="s">
        <v>102</v>
      </c>
      <c r="D29" t="s">
        <v>66</v>
      </c>
      <c r="E29" t="s">
        <v>533</v>
      </c>
      <c r="F29" t="s">
        <v>534</v>
      </c>
      <c r="G29" t="s">
        <v>664</v>
      </c>
      <c r="H29" t="s">
        <v>378</v>
      </c>
      <c r="I29">
        <v>380</v>
      </c>
      <c r="J29">
        <v>30</v>
      </c>
      <c r="K29" t="s">
        <v>377</v>
      </c>
      <c r="L29">
        <v>8242</v>
      </c>
      <c r="M29" t="s">
        <v>355</v>
      </c>
      <c r="N29" t="s">
        <v>383</v>
      </c>
      <c r="O29">
        <v>1</v>
      </c>
      <c r="P29">
        <v>1</v>
      </c>
      <c r="Q29">
        <v>-99</v>
      </c>
      <c r="R29" t="s">
        <v>690</v>
      </c>
    </row>
    <row r="30" spans="1:18" x14ac:dyDescent="0.2">
      <c r="A30">
        <v>29</v>
      </c>
      <c r="B30">
        <v>-99</v>
      </c>
      <c r="C30" t="s">
        <v>102</v>
      </c>
      <c r="D30" t="s">
        <v>66</v>
      </c>
      <c r="E30" t="s">
        <v>535</v>
      </c>
      <c r="F30" t="s">
        <v>216</v>
      </c>
      <c r="G30" t="s">
        <v>664</v>
      </c>
      <c r="H30" t="s">
        <v>378</v>
      </c>
      <c r="I30">
        <v>380</v>
      </c>
      <c r="J30">
        <v>30</v>
      </c>
      <c r="K30" t="s">
        <v>377</v>
      </c>
      <c r="L30">
        <v>8242</v>
      </c>
      <c r="M30" t="s">
        <v>355</v>
      </c>
      <c r="N30" t="s">
        <v>383</v>
      </c>
      <c r="O30">
        <v>-99</v>
      </c>
      <c r="P30">
        <v>1</v>
      </c>
      <c r="Q30">
        <v>-99</v>
      </c>
      <c r="R30" t="s">
        <v>214</v>
      </c>
    </row>
    <row r="31" spans="1:18" x14ac:dyDescent="0.2">
      <c r="A31">
        <v>30</v>
      </c>
      <c r="B31">
        <v>15</v>
      </c>
      <c r="C31" t="s">
        <v>148</v>
      </c>
      <c r="D31" t="s">
        <v>68</v>
      </c>
      <c r="E31" t="s">
        <v>536</v>
      </c>
      <c r="F31" t="s">
        <v>537</v>
      </c>
      <c r="G31" t="s">
        <v>664</v>
      </c>
      <c r="H31" t="s">
        <v>378</v>
      </c>
      <c r="I31">
        <v>380</v>
      </c>
      <c r="J31">
        <v>30</v>
      </c>
      <c r="K31" t="s">
        <v>377</v>
      </c>
      <c r="L31">
        <v>8243</v>
      </c>
      <c r="M31" t="s">
        <v>355</v>
      </c>
      <c r="N31" t="s">
        <v>383</v>
      </c>
      <c r="O31">
        <v>1</v>
      </c>
      <c r="P31">
        <v>1</v>
      </c>
      <c r="Q31">
        <v>-99</v>
      </c>
      <c r="R31" t="s">
        <v>690</v>
      </c>
    </row>
    <row r="32" spans="1:18" x14ac:dyDescent="0.2">
      <c r="A32">
        <v>31</v>
      </c>
      <c r="B32">
        <v>-99</v>
      </c>
      <c r="C32" t="s">
        <v>148</v>
      </c>
      <c r="D32" t="s">
        <v>68</v>
      </c>
      <c r="E32" t="s">
        <v>538</v>
      </c>
      <c r="F32" t="s">
        <v>539</v>
      </c>
      <c r="G32" t="s">
        <v>664</v>
      </c>
      <c r="H32" t="s">
        <v>378</v>
      </c>
      <c r="I32">
        <v>380</v>
      </c>
      <c r="J32">
        <v>30</v>
      </c>
      <c r="K32" t="s">
        <v>377</v>
      </c>
      <c r="L32">
        <v>8243</v>
      </c>
      <c r="M32" t="s">
        <v>355</v>
      </c>
      <c r="N32" t="s">
        <v>383</v>
      </c>
      <c r="O32">
        <v>-99</v>
      </c>
      <c r="P32">
        <v>1</v>
      </c>
      <c r="Q32">
        <v>-99</v>
      </c>
      <c r="R32" t="s">
        <v>689</v>
      </c>
    </row>
    <row r="33" spans="1:18" x14ac:dyDescent="0.2">
      <c r="A33">
        <v>32</v>
      </c>
      <c r="B33">
        <v>16</v>
      </c>
      <c r="C33" t="s">
        <v>149</v>
      </c>
      <c r="D33" t="s">
        <v>36</v>
      </c>
      <c r="E33" t="s">
        <v>540</v>
      </c>
      <c r="F33" t="s">
        <v>541</v>
      </c>
      <c r="G33" t="s">
        <v>664</v>
      </c>
      <c r="H33" t="s">
        <v>378</v>
      </c>
      <c r="I33">
        <v>380</v>
      </c>
      <c r="J33">
        <v>30</v>
      </c>
      <c r="K33" t="s">
        <v>377</v>
      </c>
      <c r="L33">
        <v>8244</v>
      </c>
      <c r="M33" t="s">
        <v>350</v>
      </c>
      <c r="N33" t="s">
        <v>384</v>
      </c>
      <c r="O33">
        <v>1</v>
      </c>
      <c r="P33">
        <v>2</v>
      </c>
      <c r="Q33">
        <v>-99</v>
      </c>
      <c r="R33" t="s">
        <v>690</v>
      </c>
    </row>
    <row r="34" spans="1:18" x14ac:dyDescent="0.2">
      <c r="A34">
        <v>33</v>
      </c>
      <c r="B34">
        <v>23</v>
      </c>
      <c r="C34" t="s">
        <v>108</v>
      </c>
      <c r="D34" t="s">
        <v>72</v>
      </c>
      <c r="E34" t="s">
        <v>542</v>
      </c>
      <c r="F34" t="s">
        <v>543</v>
      </c>
      <c r="G34" t="s">
        <v>665</v>
      </c>
      <c r="H34" t="s">
        <v>385</v>
      </c>
      <c r="I34">
        <v>381</v>
      </c>
      <c r="J34">
        <v>30</v>
      </c>
      <c r="K34" t="s">
        <v>377</v>
      </c>
      <c r="L34">
        <v>8245</v>
      </c>
      <c r="M34" t="s">
        <v>329</v>
      </c>
      <c r="N34" t="s">
        <v>386</v>
      </c>
      <c r="O34">
        <v>1</v>
      </c>
      <c r="P34">
        <v>2</v>
      </c>
      <c r="Q34">
        <v>-99</v>
      </c>
      <c r="R34" t="s">
        <v>690</v>
      </c>
    </row>
    <row r="35" spans="1:18" x14ac:dyDescent="0.2">
      <c r="A35">
        <v>34</v>
      </c>
      <c r="B35">
        <v>24</v>
      </c>
      <c r="C35" t="s">
        <v>150</v>
      </c>
      <c r="D35" t="s">
        <v>50</v>
      </c>
      <c r="E35" t="s">
        <v>544</v>
      </c>
      <c r="F35" t="s">
        <v>545</v>
      </c>
      <c r="G35" t="s">
        <v>665</v>
      </c>
      <c r="H35" t="s">
        <v>385</v>
      </c>
      <c r="I35">
        <v>381</v>
      </c>
      <c r="J35">
        <v>30</v>
      </c>
      <c r="K35" t="s">
        <v>377</v>
      </c>
      <c r="L35">
        <v>8246</v>
      </c>
      <c r="M35" t="s">
        <v>345</v>
      </c>
      <c r="N35" t="s">
        <v>387</v>
      </c>
      <c r="O35">
        <v>1</v>
      </c>
      <c r="P35">
        <v>2</v>
      </c>
      <c r="Q35">
        <v>-99</v>
      </c>
      <c r="R35" t="s">
        <v>690</v>
      </c>
    </row>
    <row r="36" spans="1:18" x14ac:dyDescent="0.2">
      <c r="A36">
        <v>35</v>
      </c>
      <c r="B36">
        <v>30</v>
      </c>
      <c r="C36" t="s">
        <v>151</v>
      </c>
      <c r="D36" t="s">
        <v>25</v>
      </c>
      <c r="E36" t="s">
        <v>546</v>
      </c>
      <c r="F36" t="s">
        <v>547</v>
      </c>
      <c r="G36" t="s">
        <v>665</v>
      </c>
      <c r="H36" t="s">
        <v>385</v>
      </c>
      <c r="I36">
        <v>381</v>
      </c>
      <c r="J36">
        <v>31</v>
      </c>
      <c r="K36" t="s">
        <v>388</v>
      </c>
      <c r="L36">
        <v>8247</v>
      </c>
      <c r="M36" t="s">
        <v>370</v>
      </c>
      <c r="N36" t="s">
        <v>389</v>
      </c>
      <c r="O36">
        <v>1</v>
      </c>
      <c r="P36">
        <v>2</v>
      </c>
      <c r="Q36">
        <v>-99</v>
      </c>
      <c r="R36" t="s">
        <v>690</v>
      </c>
    </row>
    <row r="37" spans="1:18" x14ac:dyDescent="0.2">
      <c r="A37">
        <v>36</v>
      </c>
      <c r="B37">
        <v>194</v>
      </c>
      <c r="C37" t="s">
        <v>152</v>
      </c>
      <c r="D37" t="s">
        <v>80</v>
      </c>
      <c r="E37" t="s">
        <v>548</v>
      </c>
      <c r="F37" t="s">
        <v>549</v>
      </c>
      <c r="G37" t="s">
        <v>665</v>
      </c>
      <c r="H37" t="s">
        <v>385</v>
      </c>
      <c r="I37">
        <v>381</v>
      </c>
      <c r="J37">
        <v>31</v>
      </c>
      <c r="K37" t="s">
        <v>388</v>
      </c>
      <c r="L37">
        <v>8248</v>
      </c>
      <c r="M37" t="s">
        <v>325</v>
      </c>
      <c r="N37" t="s">
        <v>433</v>
      </c>
      <c r="O37">
        <v>1</v>
      </c>
      <c r="P37">
        <v>2</v>
      </c>
      <c r="Q37">
        <v>-99</v>
      </c>
      <c r="R37" t="s">
        <v>690</v>
      </c>
    </row>
    <row r="38" spans="1:18" x14ac:dyDescent="0.2">
      <c r="A38">
        <v>37</v>
      </c>
      <c r="B38">
        <v>34</v>
      </c>
      <c r="C38" t="s">
        <v>153</v>
      </c>
      <c r="D38" t="s">
        <v>86</v>
      </c>
      <c r="E38" t="s">
        <v>550</v>
      </c>
      <c r="F38" t="s">
        <v>551</v>
      </c>
      <c r="G38" t="s">
        <v>665</v>
      </c>
      <c r="H38" t="s">
        <v>385</v>
      </c>
      <c r="I38">
        <v>381</v>
      </c>
      <c r="J38">
        <v>30</v>
      </c>
      <c r="K38" t="s">
        <v>377</v>
      </c>
      <c r="L38">
        <v>8249</v>
      </c>
      <c r="M38" t="s">
        <v>356</v>
      </c>
      <c r="N38" t="s">
        <v>390</v>
      </c>
      <c r="O38">
        <v>1</v>
      </c>
      <c r="P38">
        <v>1</v>
      </c>
      <c r="Q38">
        <v>-99</v>
      </c>
      <c r="R38" t="s">
        <v>690</v>
      </c>
    </row>
    <row r="39" spans="1:18" x14ac:dyDescent="0.2">
      <c r="A39">
        <v>38</v>
      </c>
      <c r="B39">
        <v>-99</v>
      </c>
      <c r="C39" t="s">
        <v>153</v>
      </c>
      <c r="D39" t="s">
        <v>86</v>
      </c>
      <c r="E39" t="s">
        <v>552</v>
      </c>
      <c r="F39" t="s">
        <v>219</v>
      </c>
      <c r="G39" t="s">
        <v>665</v>
      </c>
      <c r="H39" t="s">
        <v>385</v>
      </c>
      <c r="I39">
        <v>381</v>
      </c>
      <c r="J39">
        <v>30</v>
      </c>
      <c r="K39" t="s">
        <v>377</v>
      </c>
      <c r="L39">
        <v>8249</v>
      </c>
      <c r="M39" t="s">
        <v>356</v>
      </c>
      <c r="N39" t="s">
        <v>390</v>
      </c>
      <c r="O39">
        <v>-99</v>
      </c>
      <c r="P39">
        <v>1</v>
      </c>
      <c r="Q39">
        <v>-99</v>
      </c>
      <c r="R39" t="s">
        <v>687</v>
      </c>
    </row>
    <row r="40" spans="1:18" x14ac:dyDescent="0.2">
      <c r="A40">
        <v>39</v>
      </c>
      <c r="B40">
        <v>-99</v>
      </c>
      <c r="C40" t="s">
        <v>153</v>
      </c>
      <c r="D40" t="s">
        <v>86</v>
      </c>
      <c r="E40" t="s">
        <v>553</v>
      </c>
      <c r="F40" t="s">
        <v>965</v>
      </c>
      <c r="G40" t="s">
        <v>665</v>
      </c>
      <c r="H40" t="s">
        <v>385</v>
      </c>
      <c r="I40">
        <v>381</v>
      </c>
      <c r="J40">
        <v>30</v>
      </c>
      <c r="K40" t="s">
        <v>377</v>
      </c>
      <c r="L40">
        <v>8249</v>
      </c>
      <c r="M40" t="s">
        <v>356</v>
      </c>
      <c r="N40" t="s">
        <v>390</v>
      </c>
      <c r="O40">
        <v>-99</v>
      </c>
      <c r="P40">
        <v>1</v>
      </c>
      <c r="Q40">
        <v>-99</v>
      </c>
      <c r="R40" t="s">
        <v>688</v>
      </c>
    </row>
    <row r="41" spans="1:18" x14ac:dyDescent="0.2">
      <c r="A41">
        <v>40</v>
      </c>
      <c r="B41">
        <v>35</v>
      </c>
      <c r="C41" t="s">
        <v>154</v>
      </c>
      <c r="D41" t="s">
        <v>42</v>
      </c>
      <c r="E41" t="s">
        <v>554</v>
      </c>
      <c r="F41" t="s">
        <v>555</v>
      </c>
      <c r="G41" t="s">
        <v>665</v>
      </c>
      <c r="H41" t="s">
        <v>385</v>
      </c>
      <c r="I41">
        <v>381</v>
      </c>
      <c r="J41">
        <v>31</v>
      </c>
      <c r="K41" t="s">
        <v>388</v>
      </c>
      <c r="L41">
        <v>8250</v>
      </c>
      <c r="M41" t="s">
        <v>348</v>
      </c>
      <c r="N41" t="s">
        <v>391</v>
      </c>
      <c r="O41">
        <v>1</v>
      </c>
      <c r="P41">
        <v>2</v>
      </c>
      <c r="Q41">
        <v>-99</v>
      </c>
      <c r="R41" t="s">
        <v>690</v>
      </c>
    </row>
    <row r="42" spans="1:18" x14ac:dyDescent="0.2">
      <c r="A42">
        <v>41</v>
      </c>
      <c r="B42">
        <v>36</v>
      </c>
      <c r="C42" t="s">
        <v>94</v>
      </c>
      <c r="D42" t="s">
        <v>61</v>
      </c>
      <c r="E42" t="s">
        <v>556</v>
      </c>
      <c r="F42" t="s">
        <v>557</v>
      </c>
      <c r="G42" t="s">
        <v>665</v>
      </c>
      <c r="H42" t="s">
        <v>385</v>
      </c>
      <c r="I42">
        <v>381</v>
      </c>
      <c r="J42">
        <v>31</v>
      </c>
      <c r="K42" t="s">
        <v>388</v>
      </c>
      <c r="L42">
        <v>8251</v>
      </c>
      <c r="M42" t="s">
        <v>351</v>
      </c>
      <c r="N42" t="s">
        <v>392</v>
      </c>
      <c r="O42">
        <v>1</v>
      </c>
      <c r="P42">
        <v>2</v>
      </c>
      <c r="Q42">
        <v>-99</v>
      </c>
      <c r="R42" t="s">
        <v>690</v>
      </c>
    </row>
    <row r="43" spans="1:18" x14ac:dyDescent="0.2">
      <c r="A43">
        <v>42</v>
      </c>
      <c r="B43">
        <v>37</v>
      </c>
      <c r="C43" t="s">
        <v>155</v>
      </c>
      <c r="D43" t="s">
        <v>62</v>
      </c>
      <c r="E43" t="s">
        <v>558</v>
      </c>
      <c r="F43" t="s">
        <v>559</v>
      </c>
      <c r="G43" t="s">
        <v>666</v>
      </c>
      <c r="H43" t="s">
        <v>394</v>
      </c>
      <c r="I43">
        <v>382</v>
      </c>
      <c r="J43">
        <v>33</v>
      </c>
      <c r="K43" t="s">
        <v>393</v>
      </c>
      <c r="L43">
        <v>8252</v>
      </c>
      <c r="M43" t="s">
        <v>328</v>
      </c>
      <c r="N43" t="s">
        <v>395</v>
      </c>
      <c r="O43">
        <v>1</v>
      </c>
      <c r="P43">
        <v>2</v>
      </c>
      <c r="Q43">
        <v>-99</v>
      </c>
      <c r="R43" t="s">
        <v>690</v>
      </c>
    </row>
    <row r="44" spans="1:18" x14ac:dyDescent="0.2">
      <c r="A44">
        <v>43</v>
      </c>
      <c r="B44">
        <v>38</v>
      </c>
      <c r="C44" t="s">
        <v>156</v>
      </c>
      <c r="D44" t="s">
        <v>60</v>
      </c>
      <c r="E44" t="s">
        <v>560</v>
      </c>
      <c r="F44" t="s">
        <v>561</v>
      </c>
      <c r="G44" t="s">
        <v>665</v>
      </c>
      <c r="H44" t="s">
        <v>385</v>
      </c>
      <c r="I44">
        <v>381</v>
      </c>
      <c r="J44">
        <v>31</v>
      </c>
      <c r="K44" t="s">
        <v>388</v>
      </c>
      <c r="L44">
        <v>8253</v>
      </c>
      <c r="M44" t="s">
        <v>362</v>
      </c>
      <c r="N44" t="s">
        <v>396</v>
      </c>
      <c r="O44">
        <v>1</v>
      </c>
      <c r="P44">
        <v>2</v>
      </c>
      <c r="Q44">
        <v>-99</v>
      </c>
      <c r="R44" t="s">
        <v>690</v>
      </c>
    </row>
    <row r="45" spans="1:18" x14ac:dyDescent="0.2">
      <c r="A45">
        <v>44</v>
      </c>
      <c r="B45">
        <v>39</v>
      </c>
      <c r="C45" t="s">
        <v>157</v>
      </c>
      <c r="D45" t="s">
        <v>52</v>
      </c>
      <c r="E45" t="s">
        <v>562</v>
      </c>
      <c r="F45" t="s">
        <v>563</v>
      </c>
      <c r="G45" t="s">
        <v>665</v>
      </c>
      <c r="H45" t="s">
        <v>385</v>
      </c>
      <c r="I45">
        <v>381</v>
      </c>
      <c r="J45">
        <v>33</v>
      </c>
      <c r="K45" t="s">
        <v>393</v>
      </c>
      <c r="L45">
        <v>8254</v>
      </c>
      <c r="M45" t="s">
        <v>363</v>
      </c>
      <c r="N45" t="s">
        <v>397</v>
      </c>
      <c r="O45">
        <v>1</v>
      </c>
      <c r="P45">
        <v>1</v>
      </c>
      <c r="Q45">
        <v>-99</v>
      </c>
      <c r="R45" t="s">
        <v>690</v>
      </c>
    </row>
    <row r="46" spans="1:18" x14ac:dyDescent="0.2">
      <c r="A46">
        <v>45</v>
      </c>
      <c r="B46">
        <v>-99</v>
      </c>
      <c r="C46" t="s">
        <v>157</v>
      </c>
      <c r="D46" t="s">
        <v>52</v>
      </c>
      <c r="E46" t="s">
        <v>564</v>
      </c>
      <c r="F46" t="s">
        <v>565</v>
      </c>
      <c r="G46" t="s">
        <v>665</v>
      </c>
      <c r="H46" t="s">
        <v>385</v>
      </c>
      <c r="I46">
        <v>381</v>
      </c>
      <c r="J46">
        <v>33</v>
      </c>
      <c r="K46" t="s">
        <v>393</v>
      </c>
      <c r="L46">
        <v>8254</v>
      </c>
      <c r="M46" t="s">
        <v>363</v>
      </c>
      <c r="N46" t="s">
        <v>397</v>
      </c>
      <c r="O46">
        <v>-99</v>
      </c>
      <c r="P46">
        <v>1</v>
      </c>
      <c r="Q46">
        <v>-99</v>
      </c>
      <c r="R46" t="s">
        <v>691</v>
      </c>
    </row>
    <row r="47" spans="1:18" x14ac:dyDescent="0.2">
      <c r="A47">
        <v>46</v>
      </c>
      <c r="B47">
        <v>52</v>
      </c>
      <c r="C47" t="s">
        <v>158</v>
      </c>
      <c r="D47" t="s">
        <v>41</v>
      </c>
      <c r="E47" t="s">
        <v>566</v>
      </c>
      <c r="F47" t="s">
        <v>567</v>
      </c>
      <c r="G47" t="s">
        <v>664</v>
      </c>
      <c r="H47" t="s">
        <v>378</v>
      </c>
      <c r="I47">
        <v>380</v>
      </c>
      <c r="J47">
        <v>32</v>
      </c>
      <c r="K47" t="s">
        <v>398</v>
      </c>
      <c r="L47">
        <v>8255</v>
      </c>
      <c r="M47" t="s">
        <v>364</v>
      </c>
      <c r="N47" t="s">
        <v>399</v>
      </c>
      <c r="O47">
        <v>1</v>
      </c>
      <c r="P47">
        <v>2</v>
      </c>
      <c r="Q47">
        <v>-99</v>
      </c>
      <c r="R47" t="s">
        <v>690</v>
      </c>
    </row>
    <row r="48" spans="1:18" x14ac:dyDescent="0.2">
      <c r="A48">
        <v>47</v>
      </c>
      <c r="B48">
        <v>53</v>
      </c>
      <c r="C48" t="s">
        <v>159</v>
      </c>
      <c r="D48" t="s">
        <v>51</v>
      </c>
      <c r="E48" t="s">
        <v>568</v>
      </c>
      <c r="F48" t="s">
        <v>569</v>
      </c>
      <c r="G48" t="s">
        <v>664</v>
      </c>
      <c r="H48" t="s">
        <v>378</v>
      </c>
      <c r="I48">
        <v>380</v>
      </c>
      <c r="J48">
        <v>32</v>
      </c>
      <c r="K48" t="s">
        <v>398</v>
      </c>
      <c r="L48">
        <v>8256</v>
      </c>
      <c r="M48" t="s">
        <v>338</v>
      </c>
      <c r="N48" t="s">
        <v>400</v>
      </c>
      <c r="O48">
        <v>1</v>
      </c>
      <c r="P48">
        <v>2</v>
      </c>
      <c r="Q48">
        <v>-99</v>
      </c>
      <c r="R48" t="s">
        <v>690</v>
      </c>
    </row>
    <row r="49" spans="1:18" x14ac:dyDescent="0.2">
      <c r="A49">
        <v>48</v>
      </c>
      <c r="B49">
        <v>54</v>
      </c>
      <c r="C49" t="s">
        <v>160</v>
      </c>
      <c r="D49" t="s">
        <v>56</v>
      </c>
      <c r="E49" t="s">
        <v>570</v>
      </c>
      <c r="F49" t="s">
        <v>571</v>
      </c>
      <c r="G49" t="s">
        <v>665</v>
      </c>
      <c r="H49" t="s">
        <v>385</v>
      </c>
      <c r="I49">
        <v>381</v>
      </c>
      <c r="J49">
        <v>31</v>
      </c>
      <c r="K49" t="s">
        <v>388</v>
      </c>
      <c r="L49">
        <v>8257</v>
      </c>
      <c r="M49" t="s">
        <v>344</v>
      </c>
      <c r="N49" t="s">
        <v>401</v>
      </c>
      <c r="O49">
        <v>1</v>
      </c>
      <c r="P49">
        <v>1</v>
      </c>
      <c r="Q49">
        <v>-99</v>
      </c>
      <c r="R49" t="s">
        <v>690</v>
      </c>
    </row>
    <row r="50" spans="1:18" x14ac:dyDescent="0.2">
      <c r="A50">
        <v>49</v>
      </c>
      <c r="B50">
        <v>-99</v>
      </c>
      <c r="C50" t="s">
        <v>160</v>
      </c>
      <c r="D50" t="s">
        <v>56</v>
      </c>
      <c r="E50" t="s">
        <v>572</v>
      </c>
      <c r="F50" t="s">
        <v>573</v>
      </c>
      <c r="G50" t="s">
        <v>665</v>
      </c>
      <c r="H50" t="s">
        <v>385</v>
      </c>
      <c r="I50">
        <v>381</v>
      </c>
      <c r="J50">
        <v>31</v>
      </c>
      <c r="K50" t="s">
        <v>388</v>
      </c>
      <c r="L50">
        <v>8257</v>
      </c>
      <c r="M50" t="s">
        <v>344</v>
      </c>
      <c r="N50" t="s">
        <v>401</v>
      </c>
      <c r="O50">
        <v>-99</v>
      </c>
      <c r="P50">
        <v>1</v>
      </c>
      <c r="Q50">
        <v>-99</v>
      </c>
      <c r="R50" t="s">
        <v>692</v>
      </c>
    </row>
    <row r="51" spans="1:18" x14ac:dyDescent="0.2">
      <c r="A51">
        <v>50</v>
      </c>
      <c r="B51">
        <v>55</v>
      </c>
      <c r="C51" t="s">
        <v>161</v>
      </c>
      <c r="D51" t="s">
        <v>40</v>
      </c>
      <c r="E51" t="s">
        <v>574</v>
      </c>
      <c r="F51" t="s">
        <v>575</v>
      </c>
      <c r="G51" t="s">
        <v>666</v>
      </c>
      <c r="H51" t="s">
        <v>394</v>
      </c>
      <c r="I51">
        <v>382</v>
      </c>
      <c r="J51">
        <v>32</v>
      </c>
      <c r="K51" t="s">
        <v>398</v>
      </c>
      <c r="L51">
        <v>8258</v>
      </c>
      <c r="M51" t="s">
        <v>357</v>
      </c>
      <c r="N51" t="s">
        <v>402</v>
      </c>
      <c r="O51">
        <v>1</v>
      </c>
      <c r="P51">
        <v>2</v>
      </c>
      <c r="Q51">
        <v>-99</v>
      </c>
      <c r="R51" t="s">
        <v>690</v>
      </c>
    </row>
    <row r="52" spans="1:18" x14ac:dyDescent="0.2">
      <c r="A52">
        <v>51</v>
      </c>
      <c r="B52">
        <v>56</v>
      </c>
      <c r="C52" t="s">
        <v>162</v>
      </c>
      <c r="D52" t="s">
        <v>45</v>
      </c>
      <c r="E52" t="s">
        <v>576</v>
      </c>
      <c r="F52" t="s">
        <v>577</v>
      </c>
      <c r="G52" t="s">
        <v>664</v>
      </c>
      <c r="H52" t="s">
        <v>378</v>
      </c>
      <c r="I52">
        <v>380</v>
      </c>
      <c r="J52">
        <v>32</v>
      </c>
      <c r="K52" t="s">
        <v>398</v>
      </c>
      <c r="L52">
        <v>8259</v>
      </c>
      <c r="M52" t="s">
        <v>334</v>
      </c>
      <c r="N52" t="s">
        <v>403</v>
      </c>
      <c r="O52">
        <v>1</v>
      </c>
      <c r="P52">
        <v>2</v>
      </c>
      <c r="Q52">
        <v>-99</v>
      </c>
      <c r="R52" t="s">
        <v>690</v>
      </c>
    </row>
    <row r="53" spans="1:18" x14ac:dyDescent="0.2">
      <c r="A53">
        <v>52</v>
      </c>
      <c r="B53">
        <v>57</v>
      </c>
      <c r="C53" t="s">
        <v>163</v>
      </c>
      <c r="D53" t="s">
        <v>59</v>
      </c>
      <c r="E53" t="s">
        <v>578</v>
      </c>
      <c r="F53" t="s">
        <v>579</v>
      </c>
      <c r="G53" t="s">
        <v>666</v>
      </c>
      <c r="H53" t="s">
        <v>394</v>
      </c>
      <c r="I53">
        <v>382</v>
      </c>
      <c r="J53">
        <v>32</v>
      </c>
      <c r="K53" t="s">
        <v>398</v>
      </c>
      <c r="L53">
        <v>8260</v>
      </c>
      <c r="M53" t="s">
        <v>324</v>
      </c>
      <c r="N53" t="s">
        <v>404</v>
      </c>
      <c r="O53">
        <v>1</v>
      </c>
      <c r="P53">
        <v>1</v>
      </c>
      <c r="Q53">
        <v>-99</v>
      </c>
      <c r="R53" t="s">
        <v>690</v>
      </c>
    </row>
    <row r="54" spans="1:18" x14ac:dyDescent="0.2">
      <c r="A54">
        <v>53</v>
      </c>
      <c r="B54">
        <v>-99</v>
      </c>
      <c r="C54" t="s">
        <v>163</v>
      </c>
      <c r="D54" t="s">
        <v>59</v>
      </c>
      <c r="E54" t="s">
        <v>580</v>
      </c>
      <c r="F54" t="s">
        <v>215</v>
      </c>
      <c r="G54" t="s">
        <v>666</v>
      </c>
      <c r="H54" t="s">
        <v>394</v>
      </c>
      <c r="I54">
        <v>382</v>
      </c>
      <c r="J54">
        <v>32</v>
      </c>
      <c r="K54" t="s">
        <v>398</v>
      </c>
      <c r="L54">
        <v>8260</v>
      </c>
      <c r="M54" t="s">
        <v>324</v>
      </c>
      <c r="N54" t="s">
        <v>404</v>
      </c>
      <c r="O54">
        <v>-99</v>
      </c>
      <c r="P54">
        <v>1</v>
      </c>
      <c r="Q54">
        <v>-99</v>
      </c>
      <c r="R54" t="s">
        <v>214</v>
      </c>
    </row>
    <row r="55" spans="1:18" x14ac:dyDescent="0.2">
      <c r="A55">
        <v>54</v>
      </c>
      <c r="B55">
        <v>58</v>
      </c>
      <c r="C55" t="s">
        <v>164</v>
      </c>
      <c r="D55" t="s">
        <v>78</v>
      </c>
      <c r="E55" t="s">
        <v>581</v>
      </c>
      <c r="F55" t="s">
        <v>582</v>
      </c>
      <c r="G55" t="s">
        <v>666</v>
      </c>
      <c r="H55" t="s">
        <v>394</v>
      </c>
      <c r="I55">
        <v>382</v>
      </c>
      <c r="J55">
        <v>32</v>
      </c>
      <c r="K55" t="s">
        <v>398</v>
      </c>
      <c r="L55">
        <v>8261</v>
      </c>
      <c r="M55" t="s">
        <v>347</v>
      </c>
      <c r="N55" t="s">
        <v>405</v>
      </c>
      <c r="O55">
        <v>1</v>
      </c>
      <c r="P55">
        <v>2</v>
      </c>
      <c r="Q55">
        <v>-99</v>
      </c>
      <c r="R55" t="s">
        <v>690</v>
      </c>
    </row>
    <row r="56" spans="1:18" x14ac:dyDescent="0.2">
      <c r="A56">
        <v>55</v>
      </c>
      <c r="B56">
        <v>59</v>
      </c>
      <c r="C56" t="s">
        <v>165</v>
      </c>
      <c r="D56" t="s">
        <v>44</v>
      </c>
      <c r="E56" t="s">
        <v>583</v>
      </c>
      <c r="F56" t="s">
        <v>584</v>
      </c>
      <c r="G56" t="s">
        <v>666</v>
      </c>
      <c r="H56" t="s">
        <v>394</v>
      </c>
      <c r="I56">
        <v>382</v>
      </c>
      <c r="J56">
        <v>32</v>
      </c>
      <c r="K56" t="s">
        <v>398</v>
      </c>
      <c r="L56">
        <v>8262</v>
      </c>
      <c r="M56" t="s">
        <v>371</v>
      </c>
      <c r="N56" t="s">
        <v>407</v>
      </c>
      <c r="O56">
        <v>1</v>
      </c>
      <c r="P56">
        <v>2</v>
      </c>
      <c r="Q56">
        <v>-99</v>
      </c>
      <c r="R56" t="s">
        <v>690</v>
      </c>
    </row>
    <row r="57" spans="1:18" x14ac:dyDescent="0.2">
      <c r="A57">
        <v>56</v>
      </c>
      <c r="B57">
        <v>60</v>
      </c>
      <c r="C57" t="s">
        <v>166</v>
      </c>
      <c r="D57" t="s">
        <v>53</v>
      </c>
      <c r="E57" t="s">
        <v>585</v>
      </c>
      <c r="F57" t="s">
        <v>586</v>
      </c>
      <c r="G57" t="s">
        <v>666</v>
      </c>
      <c r="H57" t="s">
        <v>394</v>
      </c>
      <c r="I57">
        <v>382</v>
      </c>
      <c r="J57">
        <v>32</v>
      </c>
      <c r="K57" t="s">
        <v>398</v>
      </c>
      <c r="L57">
        <v>8263</v>
      </c>
      <c r="M57" t="s">
        <v>330</v>
      </c>
      <c r="N57" t="s">
        <v>408</v>
      </c>
      <c r="O57">
        <v>1</v>
      </c>
      <c r="P57">
        <v>2</v>
      </c>
      <c r="Q57">
        <v>-99</v>
      </c>
      <c r="R57" t="s">
        <v>690</v>
      </c>
    </row>
    <row r="58" spans="1:18" x14ac:dyDescent="0.2">
      <c r="A58">
        <v>57</v>
      </c>
      <c r="B58">
        <v>84</v>
      </c>
      <c r="C58" t="s">
        <v>167</v>
      </c>
      <c r="D58" t="s">
        <v>79</v>
      </c>
      <c r="E58" t="s">
        <v>587</v>
      </c>
      <c r="F58" t="s">
        <v>588</v>
      </c>
      <c r="G58" t="s">
        <v>666</v>
      </c>
      <c r="H58" t="s">
        <v>394</v>
      </c>
      <c r="I58">
        <v>382</v>
      </c>
      <c r="J58">
        <v>32</v>
      </c>
      <c r="K58" t="s">
        <v>398</v>
      </c>
      <c r="L58">
        <v>8264</v>
      </c>
      <c r="M58" t="s">
        <v>341</v>
      </c>
      <c r="N58" t="s">
        <v>409</v>
      </c>
      <c r="O58">
        <v>1</v>
      </c>
      <c r="P58">
        <v>1</v>
      </c>
      <c r="Q58">
        <v>-99</v>
      </c>
      <c r="R58" t="s">
        <v>690</v>
      </c>
    </row>
    <row r="59" spans="1:18" x14ac:dyDescent="0.2">
      <c r="A59">
        <v>58</v>
      </c>
      <c r="B59">
        <v>-99</v>
      </c>
      <c r="C59" t="s">
        <v>167</v>
      </c>
      <c r="D59" t="s">
        <v>79</v>
      </c>
      <c r="E59" t="s">
        <v>589</v>
      </c>
      <c r="F59" t="s">
        <v>499</v>
      </c>
      <c r="G59" t="s">
        <v>666</v>
      </c>
      <c r="H59" t="s">
        <v>394</v>
      </c>
      <c r="I59">
        <v>382</v>
      </c>
      <c r="J59">
        <v>32</v>
      </c>
      <c r="K59" t="s">
        <v>398</v>
      </c>
      <c r="L59">
        <v>8264</v>
      </c>
      <c r="M59" t="s">
        <v>341</v>
      </c>
      <c r="N59" t="s">
        <v>409</v>
      </c>
      <c r="O59">
        <v>-99</v>
      </c>
      <c r="P59">
        <v>1</v>
      </c>
      <c r="Q59">
        <v>-99</v>
      </c>
      <c r="R59" t="s">
        <v>662</v>
      </c>
    </row>
    <row r="60" spans="1:18" x14ac:dyDescent="0.2">
      <c r="A60">
        <v>59</v>
      </c>
      <c r="B60">
        <v>-99</v>
      </c>
      <c r="C60" t="s">
        <v>167</v>
      </c>
      <c r="D60" t="s">
        <v>79</v>
      </c>
      <c r="E60" t="s">
        <v>590</v>
      </c>
      <c r="F60" t="s">
        <v>218</v>
      </c>
      <c r="G60" t="s">
        <v>666</v>
      </c>
      <c r="H60" t="s">
        <v>394</v>
      </c>
      <c r="I60">
        <v>382</v>
      </c>
      <c r="J60">
        <v>32</v>
      </c>
      <c r="K60" t="s">
        <v>398</v>
      </c>
      <c r="L60">
        <v>8264</v>
      </c>
      <c r="M60" t="s">
        <v>341</v>
      </c>
      <c r="N60" t="s">
        <v>409</v>
      </c>
      <c r="O60">
        <v>-99</v>
      </c>
      <c r="P60">
        <v>1</v>
      </c>
      <c r="Q60">
        <v>-99</v>
      </c>
      <c r="R60" t="s">
        <v>214</v>
      </c>
    </row>
    <row r="61" spans="1:18" x14ac:dyDescent="0.2">
      <c r="A61">
        <v>60</v>
      </c>
      <c r="B61">
        <v>100</v>
      </c>
      <c r="C61" t="s">
        <v>168</v>
      </c>
      <c r="D61" t="s">
        <v>43</v>
      </c>
      <c r="E61" t="s">
        <v>591</v>
      </c>
      <c r="F61" t="s">
        <v>592</v>
      </c>
      <c r="G61" t="s">
        <v>668</v>
      </c>
      <c r="H61" t="s">
        <v>410</v>
      </c>
      <c r="I61">
        <v>383</v>
      </c>
      <c r="J61">
        <v>33</v>
      </c>
      <c r="K61" t="s">
        <v>393</v>
      </c>
      <c r="L61">
        <v>8268</v>
      </c>
      <c r="M61" t="s">
        <v>358</v>
      </c>
      <c r="N61" t="s">
        <v>411</v>
      </c>
      <c r="O61">
        <v>1</v>
      </c>
      <c r="P61">
        <v>2</v>
      </c>
      <c r="Q61">
        <v>-99</v>
      </c>
      <c r="R61" t="s">
        <v>690</v>
      </c>
    </row>
    <row r="62" spans="1:18" x14ac:dyDescent="0.2">
      <c r="A62">
        <v>61</v>
      </c>
      <c r="B62">
        <v>101</v>
      </c>
      <c r="C62" t="s">
        <v>169</v>
      </c>
      <c r="D62" t="s">
        <v>34</v>
      </c>
      <c r="E62" t="s">
        <v>593</v>
      </c>
      <c r="F62" t="s">
        <v>594</v>
      </c>
      <c r="G62" t="s">
        <v>668</v>
      </c>
      <c r="H62" t="s">
        <v>410</v>
      </c>
      <c r="I62">
        <v>383</v>
      </c>
      <c r="J62">
        <v>34</v>
      </c>
      <c r="K62" t="s">
        <v>412</v>
      </c>
      <c r="L62">
        <v>8269</v>
      </c>
      <c r="M62" t="s">
        <v>326</v>
      </c>
      <c r="N62" t="s">
        <v>413</v>
      </c>
      <c r="O62">
        <v>1</v>
      </c>
      <c r="P62">
        <v>2</v>
      </c>
      <c r="Q62">
        <v>-99</v>
      </c>
      <c r="R62" t="s">
        <v>690</v>
      </c>
    </row>
    <row r="63" spans="1:18" x14ac:dyDescent="0.2">
      <c r="A63">
        <v>62</v>
      </c>
      <c r="B63">
        <v>102</v>
      </c>
      <c r="C63" t="s">
        <v>170</v>
      </c>
      <c r="D63" t="s">
        <v>73</v>
      </c>
      <c r="E63" t="s">
        <v>595</v>
      </c>
      <c r="F63" t="s">
        <v>596</v>
      </c>
      <c r="G63" t="s">
        <v>668</v>
      </c>
      <c r="H63" t="s">
        <v>410</v>
      </c>
      <c r="I63">
        <v>383</v>
      </c>
      <c r="J63">
        <v>33</v>
      </c>
      <c r="K63" t="s">
        <v>393</v>
      </c>
      <c r="L63">
        <v>8270</v>
      </c>
      <c r="M63" t="s">
        <v>352</v>
      </c>
      <c r="N63" t="s">
        <v>414</v>
      </c>
      <c r="O63">
        <v>1</v>
      </c>
      <c r="P63">
        <v>1</v>
      </c>
      <c r="Q63">
        <v>-99</v>
      </c>
      <c r="R63" t="s">
        <v>690</v>
      </c>
    </row>
    <row r="64" spans="1:18" x14ac:dyDescent="0.2">
      <c r="A64">
        <v>63</v>
      </c>
      <c r="B64">
        <v>-99</v>
      </c>
      <c r="C64" t="s">
        <v>170</v>
      </c>
      <c r="D64" t="s">
        <v>73</v>
      </c>
      <c r="E64" t="s">
        <v>597</v>
      </c>
      <c r="F64" t="s">
        <v>217</v>
      </c>
      <c r="G64" t="s">
        <v>668</v>
      </c>
      <c r="H64" t="s">
        <v>410</v>
      </c>
      <c r="I64">
        <v>383</v>
      </c>
      <c r="J64">
        <v>33</v>
      </c>
      <c r="K64" t="s">
        <v>393</v>
      </c>
      <c r="L64">
        <v>8270</v>
      </c>
      <c r="M64" t="s">
        <v>352</v>
      </c>
      <c r="N64" t="s">
        <v>414</v>
      </c>
      <c r="O64">
        <v>-99</v>
      </c>
      <c r="P64">
        <v>1</v>
      </c>
      <c r="Q64">
        <v>-99</v>
      </c>
      <c r="R64" t="s">
        <v>687</v>
      </c>
    </row>
    <row r="65" spans="1:18" x14ac:dyDescent="0.2">
      <c r="A65">
        <v>64</v>
      </c>
      <c r="B65">
        <v>103</v>
      </c>
      <c r="C65" t="s">
        <v>171</v>
      </c>
      <c r="D65" t="s">
        <v>65</v>
      </c>
      <c r="E65" t="s">
        <v>598</v>
      </c>
      <c r="F65" t="s">
        <v>599</v>
      </c>
      <c r="G65" t="s">
        <v>668</v>
      </c>
      <c r="H65" t="s">
        <v>410</v>
      </c>
      <c r="I65">
        <v>383</v>
      </c>
      <c r="J65">
        <v>34</v>
      </c>
      <c r="K65" t="s">
        <v>412</v>
      </c>
      <c r="L65">
        <v>8272</v>
      </c>
      <c r="M65" t="s">
        <v>340</v>
      </c>
      <c r="N65" t="s">
        <v>415</v>
      </c>
      <c r="O65">
        <v>1</v>
      </c>
      <c r="P65">
        <v>2</v>
      </c>
      <c r="Q65">
        <v>-99</v>
      </c>
      <c r="R65" t="s">
        <v>690</v>
      </c>
    </row>
    <row r="66" spans="1:18" x14ac:dyDescent="0.2">
      <c r="A66">
        <v>65</v>
      </c>
      <c r="B66">
        <v>104</v>
      </c>
      <c r="C66" t="s">
        <v>172</v>
      </c>
      <c r="D66" t="s">
        <v>55</v>
      </c>
      <c r="E66" t="s">
        <v>600</v>
      </c>
      <c r="F66" t="s">
        <v>601</v>
      </c>
      <c r="G66" t="s">
        <v>668</v>
      </c>
      <c r="H66" t="s">
        <v>410</v>
      </c>
      <c r="I66">
        <v>383</v>
      </c>
      <c r="J66">
        <v>34</v>
      </c>
      <c r="K66" t="s">
        <v>412</v>
      </c>
      <c r="L66">
        <v>8221</v>
      </c>
      <c r="M66" t="s">
        <v>340</v>
      </c>
      <c r="N66" t="s">
        <v>415</v>
      </c>
      <c r="O66">
        <v>1</v>
      </c>
      <c r="P66">
        <v>2</v>
      </c>
      <c r="Q66">
        <v>-99</v>
      </c>
      <c r="R66" t="s">
        <v>690</v>
      </c>
    </row>
    <row r="67" spans="1:18" x14ac:dyDescent="0.2">
      <c r="A67">
        <v>66</v>
      </c>
      <c r="B67">
        <v>196</v>
      </c>
      <c r="C67" t="s">
        <v>173</v>
      </c>
      <c r="D67" t="s">
        <v>67</v>
      </c>
      <c r="E67" t="s">
        <v>602</v>
      </c>
      <c r="F67" t="s">
        <v>603</v>
      </c>
      <c r="G67" t="s">
        <v>668</v>
      </c>
      <c r="H67" t="s">
        <v>410</v>
      </c>
      <c r="I67">
        <v>383</v>
      </c>
      <c r="J67">
        <v>34</v>
      </c>
      <c r="K67" t="s">
        <v>412</v>
      </c>
      <c r="L67">
        <v>8202</v>
      </c>
      <c r="M67" t="s">
        <v>353</v>
      </c>
      <c r="N67" t="s">
        <v>434</v>
      </c>
      <c r="O67">
        <v>1</v>
      </c>
      <c r="P67">
        <v>2</v>
      </c>
      <c r="Q67">
        <v>-99</v>
      </c>
      <c r="R67" t="s">
        <v>690</v>
      </c>
    </row>
    <row r="68" spans="1:18" x14ac:dyDescent="0.2">
      <c r="A68">
        <v>67</v>
      </c>
      <c r="B68">
        <v>110</v>
      </c>
      <c r="C68" t="s">
        <v>174</v>
      </c>
      <c r="D68" t="s">
        <v>76</v>
      </c>
      <c r="E68" t="s">
        <v>604</v>
      </c>
      <c r="F68" t="s">
        <v>605</v>
      </c>
      <c r="G68" t="s">
        <v>668</v>
      </c>
      <c r="H68" t="s">
        <v>410</v>
      </c>
      <c r="I68">
        <v>383</v>
      </c>
      <c r="J68">
        <v>34</v>
      </c>
      <c r="K68" t="s">
        <v>412</v>
      </c>
      <c r="L68">
        <v>8203</v>
      </c>
      <c r="M68" t="s">
        <v>337</v>
      </c>
      <c r="N68" t="s">
        <v>83</v>
      </c>
      <c r="O68">
        <v>1</v>
      </c>
      <c r="P68">
        <v>1</v>
      </c>
      <c r="Q68">
        <v>-99</v>
      </c>
      <c r="R68" t="s">
        <v>690</v>
      </c>
    </row>
    <row r="69" spans="1:18" x14ac:dyDescent="0.2">
      <c r="A69">
        <v>68</v>
      </c>
      <c r="B69">
        <v>-99</v>
      </c>
      <c r="C69" t="s">
        <v>174</v>
      </c>
      <c r="D69" t="s">
        <v>76</v>
      </c>
      <c r="E69" t="s">
        <v>606</v>
      </c>
      <c r="F69" t="s">
        <v>607</v>
      </c>
      <c r="G69" t="s">
        <v>668</v>
      </c>
      <c r="H69" t="s">
        <v>410</v>
      </c>
      <c r="I69">
        <v>383</v>
      </c>
      <c r="J69">
        <v>34</v>
      </c>
      <c r="K69" t="s">
        <v>412</v>
      </c>
      <c r="L69">
        <v>8203</v>
      </c>
      <c r="M69" t="s">
        <v>337</v>
      </c>
      <c r="N69" t="s">
        <v>83</v>
      </c>
      <c r="O69">
        <v>-99</v>
      </c>
      <c r="P69">
        <v>1</v>
      </c>
      <c r="Q69">
        <v>-99</v>
      </c>
      <c r="R69" t="s">
        <v>406</v>
      </c>
    </row>
    <row r="70" spans="1:18" x14ac:dyDescent="0.2">
      <c r="A70">
        <v>69</v>
      </c>
      <c r="B70">
        <v>111</v>
      </c>
      <c r="C70" t="s">
        <v>175</v>
      </c>
      <c r="D70" t="s">
        <v>37</v>
      </c>
      <c r="E70" t="s">
        <v>608</v>
      </c>
      <c r="F70" t="s">
        <v>609</v>
      </c>
      <c r="G70" t="s">
        <v>668</v>
      </c>
      <c r="H70" t="s">
        <v>410</v>
      </c>
      <c r="I70">
        <v>383</v>
      </c>
      <c r="J70">
        <v>34</v>
      </c>
      <c r="K70" t="s">
        <v>412</v>
      </c>
      <c r="L70">
        <v>8204</v>
      </c>
      <c r="M70" t="s">
        <v>342</v>
      </c>
      <c r="N70" t="s">
        <v>416</v>
      </c>
      <c r="O70">
        <v>1</v>
      </c>
      <c r="P70">
        <v>2</v>
      </c>
      <c r="Q70">
        <v>-99</v>
      </c>
      <c r="R70" t="s">
        <v>690</v>
      </c>
    </row>
    <row r="71" spans="1:18" x14ac:dyDescent="0.2">
      <c r="A71">
        <v>70</v>
      </c>
      <c r="B71">
        <v>112</v>
      </c>
      <c r="C71" t="s">
        <v>176</v>
      </c>
      <c r="D71" t="s">
        <v>69</v>
      </c>
      <c r="E71" t="s">
        <v>610</v>
      </c>
      <c r="F71" t="s">
        <v>611</v>
      </c>
      <c r="G71" t="s">
        <v>668</v>
      </c>
      <c r="H71" t="s">
        <v>410</v>
      </c>
      <c r="I71">
        <v>383</v>
      </c>
      <c r="J71">
        <v>34</v>
      </c>
      <c r="K71" t="s">
        <v>412</v>
      </c>
      <c r="L71">
        <v>8205</v>
      </c>
      <c r="M71" t="s">
        <v>359</v>
      </c>
      <c r="N71" t="s">
        <v>417</v>
      </c>
      <c r="O71">
        <v>1</v>
      </c>
      <c r="P71">
        <v>2</v>
      </c>
      <c r="Q71">
        <v>-99</v>
      </c>
      <c r="R71" t="s">
        <v>690</v>
      </c>
    </row>
    <row r="72" spans="1:18" x14ac:dyDescent="0.2">
      <c r="A72">
        <v>71</v>
      </c>
      <c r="B72">
        <v>113</v>
      </c>
      <c r="C72" t="s">
        <v>177</v>
      </c>
      <c r="D72" t="s">
        <v>82</v>
      </c>
      <c r="E72" t="s">
        <v>612</v>
      </c>
      <c r="F72" t="s">
        <v>613</v>
      </c>
      <c r="G72" t="s">
        <v>666</v>
      </c>
      <c r="H72" t="s">
        <v>394</v>
      </c>
      <c r="I72">
        <v>382</v>
      </c>
      <c r="J72">
        <v>33</v>
      </c>
      <c r="K72" t="s">
        <v>393</v>
      </c>
      <c r="L72">
        <v>8206</v>
      </c>
      <c r="M72" t="s">
        <v>335</v>
      </c>
      <c r="N72" t="s">
        <v>418</v>
      </c>
      <c r="O72">
        <v>1</v>
      </c>
      <c r="P72">
        <v>2</v>
      </c>
      <c r="Q72">
        <v>-99</v>
      </c>
      <c r="R72" t="s">
        <v>690</v>
      </c>
    </row>
    <row r="73" spans="1:18" x14ac:dyDescent="0.2">
      <c r="A73">
        <v>72</v>
      </c>
      <c r="B73">
        <v>114</v>
      </c>
      <c r="C73" t="s">
        <v>178</v>
      </c>
      <c r="D73" t="s">
        <v>54</v>
      </c>
      <c r="E73" t="s">
        <v>614</v>
      </c>
      <c r="F73" t="s">
        <v>615</v>
      </c>
      <c r="G73" t="s">
        <v>666</v>
      </c>
      <c r="H73" t="s">
        <v>394</v>
      </c>
      <c r="I73">
        <v>382</v>
      </c>
      <c r="J73">
        <v>33</v>
      </c>
      <c r="K73" t="s">
        <v>393</v>
      </c>
      <c r="L73">
        <v>8207</v>
      </c>
      <c r="M73" t="s">
        <v>323</v>
      </c>
      <c r="N73" t="s">
        <v>419</v>
      </c>
      <c r="O73">
        <v>1</v>
      </c>
      <c r="P73">
        <v>2</v>
      </c>
      <c r="Q73">
        <v>-99</v>
      </c>
      <c r="R73" t="s">
        <v>690</v>
      </c>
    </row>
    <row r="74" spans="1:18" x14ac:dyDescent="0.2">
      <c r="A74">
        <v>73</v>
      </c>
      <c r="B74">
        <v>115</v>
      </c>
      <c r="C74" t="s">
        <v>179</v>
      </c>
      <c r="D74" t="s">
        <v>27</v>
      </c>
      <c r="E74" t="s">
        <v>616</v>
      </c>
      <c r="F74" t="s">
        <v>617</v>
      </c>
      <c r="G74" t="s">
        <v>666</v>
      </c>
      <c r="H74" t="s">
        <v>394</v>
      </c>
      <c r="I74">
        <v>382</v>
      </c>
      <c r="J74">
        <v>33</v>
      </c>
      <c r="K74" t="s">
        <v>393</v>
      </c>
      <c r="L74">
        <v>8208</v>
      </c>
      <c r="M74" t="s">
        <v>346</v>
      </c>
      <c r="N74" t="s">
        <v>420</v>
      </c>
      <c r="O74">
        <v>1</v>
      </c>
      <c r="P74">
        <v>2</v>
      </c>
      <c r="Q74">
        <v>-99</v>
      </c>
      <c r="R74" t="s">
        <v>690</v>
      </c>
    </row>
    <row r="75" spans="1:18" x14ac:dyDescent="0.2">
      <c r="A75">
        <v>74</v>
      </c>
      <c r="B75">
        <v>116</v>
      </c>
      <c r="C75" t="s">
        <v>180</v>
      </c>
      <c r="D75" t="s">
        <v>71</v>
      </c>
      <c r="E75" t="s">
        <v>618</v>
      </c>
      <c r="F75" t="s">
        <v>619</v>
      </c>
      <c r="G75" t="s">
        <v>668</v>
      </c>
      <c r="H75" t="s">
        <v>410</v>
      </c>
      <c r="I75">
        <v>383</v>
      </c>
      <c r="J75">
        <v>34</v>
      </c>
      <c r="K75" t="s">
        <v>412</v>
      </c>
      <c r="L75">
        <v>8210</v>
      </c>
      <c r="M75" t="s">
        <v>336</v>
      </c>
      <c r="N75" t="s">
        <v>421</v>
      </c>
      <c r="O75">
        <v>1</v>
      </c>
      <c r="P75">
        <v>2</v>
      </c>
      <c r="Q75">
        <v>-99</v>
      </c>
      <c r="R75" t="s">
        <v>690</v>
      </c>
    </row>
    <row r="76" spans="1:18" x14ac:dyDescent="0.2">
      <c r="A76">
        <v>75</v>
      </c>
      <c r="B76">
        <v>197</v>
      </c>
      <c r="C76" t="s">
        <v>181</v>
      </c>
      <c r="D76" t="s">
        <v>75</v>
      </c>
      <c r="E76" t="s">
        <v>620</v>
      </c>
      <c r="F76" t="s">
        <v>621</v>
      </c>
      <c r="G76" t="s">
        <v>665</v>
      </c>
      <c r="H76" t="s">
        <v>385</v>
      </c>
      <c r="I76">
        <v>381</v>
      </c>
      <c r="J76">
        <v>31</v>
      </c>
      <c r="K76" t="s">
        <v>388</v>
      </c>
      <c r="L76">
        <v>8211</v>
      </c>
      <c r="M76" t="s">
        <v>339</v>
      </c>
      <c r="N76" t="s">
        <v>435</v>
      </c>
      <c r="O76">
        <v>1</v>
      </c>
      <c r="P76">
        <v>2</v>
      </c>
      <c r="Q76">
        <v>-99</v>
      </c>
      <c r="R76" t="s">
        <v>690</v>
      </c>
    </row>
    <row r="77" spans="1:18" x14ac:dyDescent="0.2">
      <c r="A77">
        <v>76</v>
      </c>
      <c r="B77">
        <v>119</v>
      </c>
      <c r="C77" t="s">
        <v>182</v>
      </c>
      <c r="D77" t="s">
        <v>58</v>
      </c>
      <c r="E77" t="s">
        <v>622</v>
      </c>
      <c r="F77" t="s">
        <v>623</v>
      </c>
      <c r="G77" t="s">
        <v>668</v>
      </c>
      <c r="H77" t="s">
        <v>410</v>
      </c>
      <c r="I77">
        <v>383</v>
      </c>
      <c r="J77">
        <v>34</v>
      </c>
      <c r="K77" t="s">
        <v>412</v>
      </c>
      <c r="L77">
        <v>8223</v>
      </c>
      <c r="M77" t="s">
        <v>624</v>
      </c>
      <c r="N77" t="s">
        <v>625</v>
      </c>
      <c r="O77">
        <v>1</v>
      </c>
      <c r="P77">
        <v>2</v>
      </c>
      <c r="Q77">
        <v>-99</v>
      </c>
      <c r="R77" t="s">
        <v>690</v>
      </c>
    </row>
    <row r="78" spans="1:18" x14ac:dyDescent="0.2">
      <c r="A78">
        <v>77</v>
      </c>
      <c r="B78">
        <v>131</v>
      </c>
      <c r="C78" t="s">
        <v>183</v>
      </c>
      <c r="D78" t="s">
        <v>49</v>
      </c>
      <c r="E78" t="s">
        <v>626</v>
      </c>
      <c r="F78" t="s">
        <v>627</v>
      </c>
      <c r="G78" t="s">
        <v>666</v>
      </c>
      <c r="H78" t="s">
        <v>394</v>
      </c>
      <c r="I78">
        <v>382</v>
      </c>
      <c r="J78">
        <v>33</v>
      </c>
      <c r="K78" t="s">
        <v>393</v>
      </c>
      <c r="L78">
        <v>8226</v>
      </c>
      <c r="M78" t="s">
        <v>335</v>
      </c>
      <c r="N78" t="s">
        <v>418</v>
      </c>
      <c r="O78">
        <v>1</v>
      </c>
      <c r="P78">
        <v>2</v>
      </c>
      <c r="Q78">
        <v>-99</v>
      </c>
      <c r="R78" t="s">
        <v>690</v>
      </c>
    </row>
    <row r="79" spans="1:18" x14ac:dyDescent="0.2">
      <c r="A79">
        <v>78</v>
      </c>
      <c r="B79">
        <v>132</v>
      </c>
      <c r="C79" t="s">
        <v>677</v>
      </c>
      <c r="D79" t="s">
        <v>438</v>
      </c>
      <c r="E79" t="s">
        <v>628</v>
      </c>
      <c r="F79" t="s">
        <v>678</v>
      </c>
      <c r="G79" t="s">
        <v>665</v>
      </c>
      <c r="H79" t="s">
        <v>385</v>
      </c>
      <c r="I79">
        <v>381</v>
      </c>
      <c r="J79">
        <v>30</v>
      </c>
      <c r="K79" t="s">
        <v>377</v>
      </c>
      <c r="L79">
        <v>8229</v>
      </c>
      <c r="M79" t="s">
        <v>354</v>
      </c>
      <c r="N79" t="s">
        <v>422</v>
      </c>
      <c r="O79">
        <v>1</v>
      </c>
      <c r="P79">
        <v>2</v>
      </c>
      <c r="Q79">
        <v>-99</v>
      </c>
      <c r="R79" t="s">
        <v>690</v>
      </c>
    </row>
    <row r="80" spans="1:18" x14ac:dyDescent="0.2">
      <c r="A80">
        <v>79</v>
      </c>
      <c r="B80">
        <v>143</v>
      </c>
      <c r="C80" t="s">
        <v>184</v>
      </c>
      <c r="D80" t="s">
        <v>57</v>
      </c>
      <c r="E80" t="s">
        <v>629</v>
      </c>
      <c r="F80" t="s">
        <v>630</v>
      </c>
      <c r="G80" t="s">
        <v>664</v>
      </c>
      <c r="H80" t="s">
        <v>378</v>
      </c>
      <c r="I80">
        <v>380</v>
      </c>
      <c r="J80">
        <v>30</v>
      </c>
      <c r="K80" t="s">
        <v>377</v>
      </c>
      <c r="L80">
        <v>8230</v>
      </c>
      <c r="M80" t="s">
        <v>367</v>
      </c>
      <c r="N80" t="s">
        <v>423</v>
      </c>
      <c r="O80">
        <v>1</v>
      </c>
      <c r="P80">
        <v>2</v>
      </c>
      <c r="Q80">
        <v>-99</v>
      </c>
      <c r="R80" t="s">
        <v>690</v>
      </c>
    </row>
    <row r="81" spans="1:18" x14ac:dyDescent="0.2">
      <c r="A81">
        <v>80</v>
      </c>
      <c r="B81">
        <v>144</v>
      </c>
      <c r="C81" t="s">
        <v>679</v>
      </c>
      <c r="D81" t="s">
        <v>497</v>
      </c>
      <c r="E81" t="s">
        <v>679</v>
      </c>
      <c r="F81" t="s">
        <v>497</v>
      </c>
      <c r="G81" t="s">
        <v>676</v>
      </c>
      <c r="H81" t="s">
        <v>8</v>
      </c>
      <c r="I81">
        <v>-99</v>
      </c>
      <c r="J81">
        <v>35</v>
      </c>
      <c r="K81" t="s">
        <v>8</v>
      </c>
      <c r="L81">
        <v>8215</v>
      </c>
      <c r="M81" t="s">
        <v>347</v>
      </c>
      <c r="N81" t="s">
        <v>405</v>
      </c>
      <c r="O81">
        <v>1</v>
      </c>
      <c r="P81">
        <v>2</v>
      </c>
      <c r="Q81">
        <v>-99</v>
      </c>
      <c r="R81" t="s">
        <v>662</v>
      </c>
    </row>
    <row r="82" spans="1:18" x14ac:dyDescent="0.2">
      <c r="A82">
        <v>81</v>
      </c>
      <c r="B82">
        <v>145</v>
      </c>
      <c r="C82" t="s">
        <v>185</v>
      </c>
      <c r="D82" t="s">
        <v>74</v>
      </c>
      <c r="E82" t="s">
        <v>631</v>
      </c>
      <c r="F82" t="s">
        <v>632</v>
      </c>
      <c r="G82" t="s">
        <v>668</v>
      </c>
      <c r="H82" t="s">
        <v>410</v>
      </c>
      <c r="I82">
        <v>383</v>
      </c>
      <c r="J82">
        <v>34</v>
      </c>
      <c r="K82" t="s">
        <v>412</v>
      </c>
      <c r="L82">
        <v>8231</v>
      </c>
      <c r="M82" t="s">
        <v>340</v>
      </c>
      <c r="N82" t="s">
        <v>415</v>
      </c>
      <c r="O82">
        <v>1</v>
      </c>
      <c r="P82">
        <v>1</v>
      </c>
      <c r="Q82">
        <v>-99</v>
      </c>
      <c r="R82" t="s">
        <v>690</v>
      </c>
    </row>
    <row r="83" spans="1:18" x14ac:dyDescent="0.2">
      <c r="A83">
        <v>82</v>
      </c>
      <c r="B83">
        <v>-99</v>
      </c>
      <c r="C83" t="s">
        <v>185</v>
      </c>
      <c r="D83" t="s">
        <v>74</v>
      </c>
      <c r="E83" t="s">
        <v>633</v>
      </c>
      <c r="F83" t="s">
        <v>964</v>
      </c>
      <c r="G83" t="s">
        <v>668</v>
      </c>
      <c r="H83" t="s">
        <v>410</v>
      </c>
      <c r="I83">
        <v>383</v>
      </c>
      <c r="J83">
        <v>34</v>
      </c>
      <c r="K83" t="s">
        <v>412</v>
      </c>
      <c r="L83">
        <v>8231</v>
      </c>
      <c r="M83" t="s">
        <v>340</v>
      </c>
      <c r="N83" t="s">
        <v>415</v>
      </c>
      <c r="O83">
        <v>-99</v>
      </c>
      <c r="P83">
        <v>1</v>
      </c>
      <c r="Q83">
        <v>-99</v>
      </c>
      <c r="R83" t="s">
        <v>688</v>
      </c>
    </row>
    <row r="84" spans="1:18" x14ac:dyDescent="0.2">
      <c r="A84">
        <v>83</v>
      </c>
      <c r="B84">
        <v>151</v>
      </c>
      <c r="C84" t="s">
        <v>680</v>
      </c>
      <c r="D84" t="s">
        <v>1065</v>
      </c>
      <c r="E84" t="s">
        <v>680</v>
      </c>
      <c r="F84" t="s">
        <v>498</v>
      </c>
      <c r="G84" t="s">
        <v>676</v>
      </c>
      <c r="H84" t="s">
        <v>8</v>
      </c>
      <c r="I84">
        <v>380</v>
      </c>
      <c r="J84">
        <v>35</v>
      </c>
      <c r="K84" t="s">
        <v>8</v>
      </c>
      <c r="L84">
        <v>3180155</v>
      </c>
      <c r="M84" t="s">
        <v>354</v>
      </c>
      <c r="N84" t="s">
        <v>422</v>
      </c>
      <c r="O84">
        <v>1</v>
      </c>
      <c r="P84">
        <v>2</v>
      </c>
      <c r="Q84">
        <v>-99</v>
      </c>
      <c r="R84" t="s">
        <v>662</v>
      </c>
    </row>
    <row r="85" spans="1:18" x14ac:dyDescent="0.2">
      <c r="A85">
        <v>84</v>
      </c>
      <c r="B85">
        <v>152</v>
      </c>
      <c r="C85" t="s">
        <v>186</v>
      </c>
      <c r="D85" t="s">
        <v>81</v>
      </c>
      <c r="E85" t="s">
        <v>634</v>
      </c>
      <c r="F85" t="s">
        <v>635</v>
      </c>
      <c r="G85" t="s">
        <v>664</v>
      </c>
      <c r="H85" t="s">
        <v>378</v>
      </c>
      <c r="I85">
        <v>380</v>
      </c>
      <c r="J85">
        <v>30</v>
      </c>
      <c r="K85" t="s">
        <v>377</v>
      </c>
      <c r="L85">
        <v>8234</v>
      </c>
      <c r="M85" t="s">
        <v>360</v>
      </c>
      <c r="N85" t="s">
        <v>424</v>
      </c>
      <c r="O85">
        <v>1</v>
      </c>
      <c r="P85">
        <v>2</v>
      </c>
      <c r="Q85">
        <v>-99</v>
      </c>
      <c r="R85" t="s">
        <v>690</v>
      </c>
    </row>
    <row r="86" spans="1:18" x14ac:dyDescent="0.2">
      <c r="A86">
        <v>85</v>
      </c>
      <c r="B86">
        <v>153</v>
      </c>
      <c r="C86" t="s">
        <v>92</v>
      </c>
      <c r="D86" t="s">
        <v>141</v>
      </c>
      <c r="E86" t="s">
        <v>636</v>
      </c>
      <c r="F86" t="s">
        <v>637</v>
      </c>
      <c r="G86" t="s">
        <v>664</v>
      </c>
      <c r="H86" t="s">
        <v>378</v>
      </c>
      <c r="I86">
        <v>380</v>
      </c>
      <c r="J86">
        <v>30</v>
      </c>
      <c r="K86" t="s">
        <v>377</v>
      </c>
      <c r="L86">
        <v>8236</v>
      </c>
      <c r="M86" t="s">
        <v>373</v>
      </c>
      <c r="N86" t="s">
        <v>425</v>
      </c>
      <c r="O86">
        <v>1</v>
      </c>
      <c r="P86">
        <v>2</v>
      </c>
      <c r="Q86">
        <v>-99</v>
      </c>
      <c r="R86" t="s">
        <v>690</v>
      </c>
    </row>
    <row r="87" spans="1:18" x14ac:dyDescent="0.2">
      <c r="A87">
        <v>86</v>
      </c>
      <c r="B87">
        <v>154</v>
      </c>
      <c r="C87" t="s">
        <v>188</v>
      </c>
      <c r="D87" t="s">
        <v>187</v>
      </c>
      <c r="E87" t="s">
        <v>638</v>
      </c>
      <c r="F87" t="s">
        <v>639</v>
      </c>
      <c r="G87" t="s">
        <v>668</v>
      </c>
      <c r="H87" t="s">
        <v>410</v>
      </c>
      <c r="I87">
        <v>383</v>
      </c>
      <c r="J87">
        <v>33</v>
      </c>
      <c r="K87" t="s">
        <v>393</v>
      </c>
      <c r="L87">
        <v>8265</v>
      </c>
      <c r="M87" t="s">
        <v>366</v>
      </c>
      <c r="N87" t="s">
        <v>426</v>
      </c>
      <c r="O87">
        <v>1</v>
      </c>
      <c r="P87">
        <v>2</v>
      </c>
      <c r="Q87">
        <v>-99</v>
      </c>
      <c r="R87" t="s">
        <v>690</v>
      </c>
    </row>
    <row r="88" spans="1:18" x14ac:dyDescent="0.2">
      <c r="A88">
        <v>87</v>
      </c>
      <c r="B88">
        <v>155</v>
      </c>
      <c r="C88" t="s">
        <v>189</v>
      </c>
      <c r="D88" t="s">
        <v>46</v>
      </c>
      <c r="E88" t="s">
        <v>640</v>
      </c>
      <c r="F88" t="s">
        <v>641</v>
      </c>
      <c r="G88" t="s">
        <v>666</v>
      </c>
      <c r="H88" t="s">
        <v>394</v>
      </c>
      <c r="I88">
        <v>382</v>
      </c>
      <c r="J88">
        <v>32</v>
      </c>
      <c r="K88" t="s">
        <v>398</v>
      </c>
      <c r="L88">
        <v>8266</v>
      </c>
      <c r="M88" t="s">
        <v>331</v>
      </c>
      <c r="N88" t="s">
        <v>427</v>
      </c>
      <c r="O88">
        <v>1</v>
      </c>
      <c r="P88">
        <v>2</v>
      </c>
      <c r="Q88">
        <v>-99</v>
      </c>
      <c r="R88" t="s">
        <v>690</v>
      </c>
    </row>
    <row r="89" spans="1:18" x14ac:dyDescent="0.2">
      <c r="A89">
        <v>88</v>
      </c>
      <c r="B89">
        <v>156</v>
      </c>
      <c r="C89" t="s">
        <v>190</v>
      </c>
      <c r="D89" t="s">
        <v>77</v>
      </c>
      <c r="E89" t="s">
        <v>642</v>
      </c>
      <c r="F89" t="s">
        <v>643</v>
      </c>
      <c r="G89" t="s">
        <v>666</v>
      </c>
      <c r="H89" t="s">
        <v>394</v>
      </c>
      <c r="I89">
        <v>382</v>
      </c>
      <c r="J89">
        <v>32</v>
      </c>
      <c r="K89" t="s">
        <v>398</v>
      </c>
      <c r="L89">
        <v>8267</v>
      </c>
      <c r="M89" t="s">
        <v>349</v>
      </c>
      <c r="N89" t="s">
        <v>428</v>
      </c>
      <c r="O89">
        <v>1</v>
      </c>
      <c r="P89">
        <v>2</v>
      </c>
      <c r="Q89">
        <v>-99</v>
      </c>
      <c r="R89" t="s">
        <v>690</v>
      </c>
    </row>
    <row r="90" spans="1:18" x14ac:dyDescent="0.2">
      <c r="A90">
        <v>89</v>
      </c>
      <c r="B90">
        <v>157</v>
      </c>
      <c r="C90" t="s">
        <v>681</v>
      </c>
      <c r="D90" t="s">
        <v>39</v>
      </c>
      <c r="E90" t="s">
        <v>644</v>
      </c>
      <c r="F90" t="s">
        <v>645</v>
      </c>
      <c r="G90" t="s">
        <v>668</v>
      </c>
      <c r="H90" t="s">
        <v>410</v>
      </c>
      <c r="I90">
        <v>383</v>
      </c>
      <c r="J90">
        <v>33</v>
      </c>
      <c r="K90" t="s">
        <v>393</v>
      </c>
      <c r="L90">
        <v>8271</v>
      </c>
      <c r="M90" t="s">
        <v>327</v>
      </c>
      <c r="N90" t="s">
        <v>429</v>
      </c>
      <c r="O90">
        <v>1</v>
      </c>
      <c r="P90">
        <v>2</v>
      </c>
      <c r="Q90">
        <v>-99</v>
      </c>
      <c r="R90" t="s">
        <v>690</v>
      </c>
    </row>
    <row r="91" spans="1:18" x14ac:dyDescent="0.2">
      <c r="A91">
        <v>90</v>
      </c>
      <c r="B91">
        <v>158</v>
      </c>
      <c r="C91" t="s">
        <v>191</v>
      </c>
      <c r="D91" t="s">
        <v>84</v>
      </c>
      <c r="E91" t="s">
        <v>646</v>
      </c>
      <c r="F91" t="s">
        <v>647</v>
      </c>
      <c r="G91" t="s">
        <v>666</v>
      </c>
      <c r="H91" t="s">
        <v>394</v>
      </c>
      <c r="I91">
        <v>382</v>
      </c>
      <c r="J91">
        <v>32</v>
      </c>
      <c r="K91" t="s">
        <v>398</v>
      </c>
      <c r="L91">
        <v>8209</v>
      </c>
      <c r="M91" t="s">
        <v>372</v>
      </c>
      <c r="N91" t="s">
        <v>430</v>
      </c>
      <c r="O91">
        <v>1</v>
      </c>
      <c r="P91">
        <v>2</v>
      </c>
      <c r="Q91">
        <v>-99</v>
      </c>
      <c r="R91" t="s">
        <v>690</v>
      </c>
    </row>
    <row r="92" spans="1:18" x14ac:dyDescent="0.2">
      <c r="A92">
        <v>91</v>
      </c>
      <c r="B92">
        <v>198</v>
      </c>
      <c r="C92" t="s">
        <v>192</v>
      </c>
      <c r="D92" t="s">
        <v>48</v>
      </c>
      <c r="E92" t="s">
        <v>648</v>
      </c>
      <c r="F92" t="s">
        <v>649</v>
      </c>
      <c r="G92" t="s">
        <v>668</v>
      </c>
      <c r="H92" t="s">
        <v>410</v>
      </c>
      <c r="I92">
        <v>383</v>
      </c>
      <c r="J92">
        <v>34</v>
      </c>
      <c r="K92" t="s">
        <v>412</v>
      </c>
      <c r="L92">
        <v>8224</v>
      </c>
      <c r="M92" t="s">
        <v>369</v>
      </c>
      <c r="N92" t="s">
        <v>436</v>
      </c>
      <c r="O92">
        <v>1</v>
      </c>
      <c r="P92">
        <v>2</v>
      </c>
      <c r="Q92">
        <v>-99</v>
      </c>
      <c r="R92" t="s">
        <v>690</v>
      </c>
    </row>
    <row r="93" spans="1:18" x14ac:dyDescent="0.2">
      <c r="A93">
        <v>92</v>
      </c>
      <c r="B93">
        <v>161</v>
      </c>
      <c r="C93" t="s">
        <v>193</v>
      </c>
      <c r="D93" t="s">
        <v>85</v>
      </c>
      <c r="E93" t="s">
        <v>650</v>
      </c>
      <c r="F93" t="s">
        <v>651</v>
      </c>
      <c r="G93" t="s">
        <v>664</v>
      </c>
      <c r="H93" t="s">
        <v>378</v>
      </c>
      <c r="I93">
        <v>380</v>
      </c>
      <c r="J93">
        <v>30</v>
      </c>
      <c r="K93" t="s">
        <v>377</v>
      </c>
      <c r="L93">
        <v>8225</v>
      </c>
      <c r="M93" t="s">
        <v>332</v>
      </c>
      <c r="N93" t="s">
        <v>431</v>
      </c>
      <c r="O93">
        <v>1</v>
      </c>
      <c r="P93">
        <v>2</v>
      </c>
      <c r="Q93">
        <v>-99</v>
      </c>
      <c r="R93" t="s">
        <v>690</v>
      </c>
    </row>
    <row r="94" spans="1:18" x14ac:dyDescent="0.2">
      <c r="A94">
        <v>93</v>
      </c>
      <c r="B94">
        <v>162</v>
      </c>
      <c r="C94" t="s">
        <v>194</v>
      </c>
      <c r="D94" t="s">
        <v>35</v>
      </c>
      <c r="E94" t="s">
        <v>652</v>
      </c>
      <c r="F94" t="s">
        <v>653</v>
      </c>
      <c r="G94" t="s">
        <v>668</v>
      </c>
      <c r="H94" t="s">
        <v>410</v>
      </c>
      <c r="I94">
        <v>383</v>
      </c>
      <c r="J94">
        <v>34</v>
      </c>
      <c r="K94" t="s">
        <v>412</v>
      </c>
      <c r="L94">
        <v>8227</v>
      </c>
      <c r="M94" t="s">
        <v>485</v>
      </c>
      <c r="N94" t="s">
        <v>432</v>
      </c>
      <c r="O94">
        <v>1</v>
      </c>
      <c r="P94">
        <v>2</v>
      </c>
      <c r="Q94">
        <v>-99</v>
      </c>
      <c r="R94" t="s">
        <v>690</v>
      </c>
    </row>
    <row r="95" spans="1:18" x14ac:dyDescent="0.2">
      <c r="A95">
        <v>94</v>
      </c>
      <c r="B95">
        <v>-99</v>
      </c>
      <c r="C95" t="s">
        <v>682</v>
      </c>
      <c r="D95" t="s">
        <v>8</v>
      </c>
      <c r="E95" t="s">
        <v>683</v>
      </c>
      <c r="F95" t="s">
        <v>230</v>
      </c>
      <c r="G95" t="s">
        <v>662</v>
      </c>
      <c r="H95" t="s">
        <v>8</v>
      </c>
      <c r="I95">
        <v>-99</v>
      </c>
      <c r="J95">
        <v>-99</v>
      </c>
      <c r="K95" t="s">
        <v>8</v>
      </c>
      <c r="L95">
        <v>-99</v>
      </c>
      <c r="M95" t="s">
        <v>662</v>
      </c>
      <c r="N95" t="s">
        <v>662</v>
      </c>
      <c r="O95">
        <v>-99</v>
      </c>
      <c r="P95">
        <v>-99</v>
      </c>
      <c r="Q95">
        <v>-99</v>
      </c>
      <c r="R95" t="s">
        <v>214</v>
      </c>
    </row>
    <row r="96" spans="1:18" x14ac:dyDescent="0.2">
      <c r="A96">
        <v>95</v>
      </c>
      <c r="B96">
        <v>-99</v>
      </c>
      <c r="C96" t="s">
        <v>682</v>
      </c>
      <c r="D96" t="s">
        <v>8</v>
      </c>
      <c r="E96" t="s">
        <v>684</v>
      </c>
      <c r="F96" t="s">
        <v>315</v>
      </c>
      <c r="G96" t="s">
        <v>662</v>
      </c>
      <c r="H96" t="s">
        <v>8</v>
      </c>
      <c r="I96">
        <v>-99</v>
      </c>
      <c r="J96">
        <v>-99</v>
      </c>
      <c r="K96" t="s">
        <v>8</v>
      </c>
      <c r="L96">
        <v>-99</v>
      </c>
      <c r="M96" t="s">
        <v>662</v>
      </c>
      <c r="N96" t="s">
        <v>662</v>
      </c>
      <c r="O96">
        <v>-99</v>
      </c>
      <c r="P96">
        <v>-99</v>
      </c>
      <c r="Q96">
        <v>-99</v>
      </c>
      <c r="R96" t="s">
        <v>687</v>
      </c>
    </row>
    <row r="97" spans="1:18" x14ac:dyDescent="0.2">
      <c r="A97">
        <v>96</v>
      </c>
      <c r="B97">
        <v>-99</v>
      </c>
      <c r="C97" t="s">
        <v>682</v>
      </c>
      <c r="D97" t="s">
        <v>8</v>
      </c>
      <c r="E97" t="s">
        <v>685</v>
      </c>
      <c r="F97" t="s">
        <v>314</v>
      </c>
      <c r="G97" t="s">
        <v>662</v>
      </c>
      <c r="H97" t="s">
        <v>8</v>
      </c>
      <c r="I97">
        <v>-99</v>
      </c>
      <c r="J97">
        <v>-99</v>
      </c>
      <c r="K97" t="s">
        <v>8</v>
      </c>
      <c r="L97">
        <v>-99</v>
      </c>
      <c r="M97" t="s">
        <v>662</v>
      </c>
      <c r="N97" t="s">
        <v>662</v>
      </c>
      <c r="O97">
        <v>-99</v>
      </c>
      <c r="P97">
        <v>-99</v>
      </c>
      <c r="Q97">
        <v>-99</v>
      </c>
      <c r="R97" t="s">
        <v>688</v>
      </c>
    </row>
    <row r="98" spans="1:18" x14ac:dyDescent="0.2">
      <c r="A98">
        <v>97</v>
      </c>
      <c r="B98">
        <v>-99</v>
      </c>
      <c r="C98" t="s">
        <v>674</v>
      </c>
      <c r="D98" t="s">
        <v>1064</v>
      </c>
      <c r="E98" t="s">
        <v>674</v>
      </c>
      <c r="F98" t="s">
        <v>1064</v>
      </c>
      <c r="G98" t="s">
        <v>662</v>
      </c>
      <c r="H98" t="s">
        <v>662</v>
      </c>
      <c r="I98">
        <v>-99</v>
      </c>
      <c r="J98">
        <v>35</v>
      </c>
      <c r="K98" t="s">
        <v>8</v>
      </c>
      <c r="L98">
        <v>-99</v>
      </c>
      <c r="M98" t="s">
        <v>662</v>
      </c>
      <c r="N98" t="s">
        <v>662</v>
      </c>
      <c r="O98">
        <v>-99</v>
      </c>
      <c r="P98">
        <v>-99</v>
      </c>
      <c r="Q98">
        <v>3</v>
      </c>
      <c r="R98" t="s">
        <v>662</v>
      </c>
    </row>
    <row r="99" spans="1:18" x14ac:dyDescent="0.2">
      <c r="A99">
        <v>98</v>
      </c>
      <c r="B99">
        <v>-99</v>
      </c>
      <c r="C99" t="s">
        <v>682</v>
      </c>
      <c r="D99" t="s">
        <v>8</v>
      </c>
      <c r="E99" t="s">
        <v>693</v>
      </c>
      <c r="F99" t="s">
        <v>694</v>
      </c>
      <c r="G99" t="s">
        <v>662</v>
      </c>
      <c r="H99" t="s">
        <v>8</v>
      </c>
      <c r="I99">
        <v>-99</v>
      </c>
      <c r="J99">
        <v>-99</v>
      </c>
      <c r="K99" t="s">
        <v>8</v>
      </c>
      <c r="L99">
        <v>-99</v>
      </c>
      <c r="M99" t="s">
        <v>662</v>
      </c>
      <c r="N99" t="s">
        <v>662</v>
      </c>
      <c r="O99">
        <v>-99</v>
      </c>
      <c r="P99">
        <v>-99</v>
      </c>
      <c r="Q99">
        <v>-99</v>
      </c>
      <c r="R99" t="s">
        <v>690</v>
      </c>
    </row>
    <row r="100" spans="1:18" x14ac:dyDescent="0.2">
      <c r="A100">
        <v>99</v>
      </c>
      <c r="B100">
        <v>250</v>
      </c>
      <c r="C100" t="s">
        <v>662</v>
      </c>
      <c r="D100" t="s">
        <v>35</v>
      </c>
      <c r="E100" t="s">
        <v>729</v>
      </c>
      <c r="F100" t="s">
        <v>695</v>
      </c>
      <c r="G100" t="s">
        <v>662</v>
      </c>
      <c r="H100" t="s">
        <v>410</v>
      </c>
      <c r="I100">
        <v>-99</v>
      </c>
      <c r="J100">
        <v>-99</v>
      </c>
      <c r="K100" t="s">
        <v>412</v>
      </c>
      <c r="L100">
        <v>-99</v>
      </c>
      <c r="M100" t="s">
        <v>662</v>
      </c>
      <c r="N100" t="s">
        <v>662</v>
      </c>
      <c r="O100">
        <v>-99</v>
      </c>
      <c r="P100">
        <v>-99</v>
      </c>
      <c r="Q100">
        <v>-99</v>
      </c>
      <c r="R100" t="s">
        <v>696</v>
      </c>
    </row>
    <row r="101" spans="1:18" x14ac:dyDescent="0.2">
      <c r="A101">
        <v>100</v>
      </c>
      <c r="B101">
        <v>256</v>
      </c>
      <c r="C101" t="s">
        <v>662</v>
      </c>
      <c r="D101" t="s">
        <v>218</v>
      </c>
      <c r="E101" t="s">
        <v>730</v>
      </c>
      <c r="F101" t="s">
        <v>697</v>
      </c>
      <c r="G101" t="s">
        <v>662</v>
      </c>
      <c r="H101" t="s">
        <v>394</v>
      </c>
      <c r="I101">
        <v>-99</v>
      </c>
      <c r="J101">
        <v>-99</v>
      </c>
      <c r="K101" t="s">
        <v>398</v>
      </c>
      <c r="L101">
        <v>-99</v>
      </c>
      <c r="M101" t="s">
        <v>662</v>
      </c>
      <c r="N101" t="s">
        <v>662</v>
      </c>
      <c r="O101">
        <v>-99</v>
      </c>
      <c r="P101">
        <v>-99</v>
      </c>
      <c r="Q101">
        <v>-99</v>
      </c>
      <c r="R101" t="s">
        <v>696</v>
      </c>
    </row>
    <row r="102" spans="1:18" x14ac:dyDescent="0.2">
      <c r="A102">
        <v>101</v>
      </c>
      <c r="B102">
        <v>257</v>
      </c>
      <c r="C102" t="s">
        <v>662</v>
      </c>
      <c r="D102" t="s">
        <v>215</v>
      </c>
      <c r="E102" t="s">
        <v>731</v>
      </c>
      <c r="F102" t="s">
        <v>698</v>
      </c>
      <c r="G102" t="s">
        <v>662</v>
      </c>
      <c r="H102" t="s">
        <v>394</v>
      </c>
      <c r="I102">
        <v>-99</v>
      </c>
      <c r="J102">
        <v>-99</v>
      </c>
      <c r="K102" t="s">
        <v>398</v>
      </c>
      <c r="L102">
        <v>-99</v>
      </c>
      <c r="M102" t="s">
        <v>662</v>
      </c>
      <c r="N102" t="s">
        <v>662</v>
      </c>
      <c r="O102">
        <v>-99</v>
      </c>
      <c r="P102">
        <v>-99</v>
      </c>
      <c r="Q102">
        <v>-99</v>
      </c>
      <c r="R102" t="s">
        <v>696</v>
      </c>
    </row>
    <row r="103" spans="1:18" x14ac:dyDescent="0.2">
      <c r="A103">
        <v>102</v>
      </c>
      <c r="B103">
        <v>258</v>
      </c>
      <c r="C103" t="s">
        <v>662</v>
      </c>
      <c r="D103" t="s">
        <v>216</v>
      </c>
      <c r="E103" t="s">
        <v>732</v>
      </c>
      <c r="F103" t="s">
        <v>699</v>
      </c>
      <c r="G103" t="s">
        <v>662</v>
      </c>
      <c r="H103" t="s">
        <v>378</v>
      </c>
      <c r="I103">
        <v>-99</v>
      </c>
      <c r="J103">
        <v>-99</v>
      </c>
      <c r="K103" t="s">
        <v>377</v>
      </c>
      <c r="L103">
        <v>-99</v>
      </c>
      <c r="M103" t="s">
        <v>662</v>
      </c>
      <c r="N103" t="s">
        <v>662</v>
      </c>
      <c r="O103">
        <v>-99</v>
      </c>
      <c r="P103">
        <v>-99</v>
      </c>
      <c r="Q103">
        <v>-99</v>
      </c>
      <c r="R103" t="s">
        <v>696</v>
      </c>
    </row>
    <row r="104" spans="1:18" x14ac:dyDescent="0.2">
      <c r="A104">
        <v>103</v>
      </c>
      <c r="B104">
        <v>259</v>
      </c>
      <c r="C104" t="s">
        <v>662</v>
      </c>
      <c r="D104" t="s">
        <v>141</v>
      </c>
      <c r="E104" t="s">
        <v>733</v>
      </c>
      <c r="F104" t="s">
        <v>700</v>
      </c>
      <c r="G104" t="s">
        <v>662</v>
      </c>
      <c r="H104" t="s">
        <v>378</v>
      </c>
      <c r="I104">
        <v>-99</v>
      </c>
      <c r="J104">
        <v>-99</v>
      </c>
      <c r="K104" t="s">
        <v>377</v>
      </c>
      <c r="L104">
        <v>-99</v>
      </c>
      <c r="M104" t="s">
        <v>662</v>
      </c>
      <c r="N104" t="s">
        <v>662</v>
      </c>
      <c r="O104">
        <v>-99</v>
      </c>
      <c r="P104">
        <v>-99</v>
      </c>
      <c r="Q104">
        <v>-99</v>
      </c>
      <c r="R104" t="s">
        <v>696</v>
      </c>
    </row>
    <row r="105" spans="1:18" x14ac:dyDescent="0.2">
      <c r="A105">
        <v>104</v>
      </c>
      <c r="B105">
        <v>260</v>
      </c>
      <c r="C105" t="s">
        <v>662</v>
      </c>
      <c r="D105" t="s">
        <v>49</v>
      </c>
      <c r="E105" t="s">
        <v>734</v>
      </c>
      <c r="F105" t="s">
        <v>701</v>
      </c>
      <c r="G105" t="s">
        <v>662</v>
      </c>
      <c r="H105" t="s">
        <v>394</v>
      </c>
      <c r="I105">
        <v>-99</v>
      </c>
      <c r="J105">
        <v>-99</v>
      </c>
      <c r="K105" t="s">
        <v>393</v>
      </c>
      <c r="L105">
        <v>-99</v>
      </c>
      <c r="M105" t="s">
        <v>662</v>
      </c>
      <c r="N105" t="s">
        <v>662</v>
      </c>
      <c r="O105">
        <v>-99</v>
      </c>
      <c r="P105">
        <v>-99</v>
      </c>
      <c r="Q105">
        <v>-99</v>
      </c>
      <c r="R105" t="s">
        <v>696</v>
      </c>
    </row>
    <row r="106" spans="1:18" x14ac:dyDescent="0.2">
      <c r="A106">
        <v>105</v>
      </c>
      <c r="B106">
        <v>261</v>
      </c>
      <c r="C106" t="s">
        <v>662</v>
      </c>
      <c r="D106" t="s">
        <v>68</v>
      </c>
      <c r="E106" t="s">
        <v>735</v>
      </c>
      <c r="F106" t="s">
        <v>702</v>
      </c>
      <c r="G106" t="s">
        <v>662</v>
      </c>
      <c r="H106" t="s">
        <v>378</v>
      </c>
      <c r="I106">
        <v>-99</v>
      </c>
      <c r="J106">
        <v>-99</v>
      </c>
      <c r="K106" t="s">
        <v>377</v>
      </c>
      <c r="L106">
        <v>-99</v>
      </c>
      <c r="M106" t="s">
        <v>662</v>
      </c>
      <c r="N106" t="s">
        <v>662</v>
      </c>
      <c r="O106">
        <v>-99</v>
      </c>
      <c r="P106">
        <v>-99</v>
      </c>
      <c r="Q106">
        <v>-99</v>
      </c>
      <c r="R106" t="s">
        <v>696</v>
      </c>
    </row>
  </sheetData>
  <sheetProtection autoFilter="0"/>
  <conditionalFormatting sqref="A2:A106">
    <cfRule type="duplicateValues" dxfId="3" priority="2"/>
  </conditionalFormatting>
  <conditionalFormatting sqref="B2:B106">
    <cfRule type="duplicateValues" dxfId="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471</v>
      </c>
      <c r="B1" t="s">
        <v>465</v>
      </c>
      <c r="C1" t="s">
        <v>472</v>
      </c>
      <c r="D1" t="s">
        <v>473</v>
      </c>
      <c r="E1" t="s">
        <v>500</v>
      </c>
    </row>
    <row r="2" spans="1:5" x14ac:dyDescent="0.2">
      <c r="A2" t="s">
        <v>333</v>
      </c>
      <c r="B2" t="s">
        <v>379</v>
      </c>
      <c r="C2" t="s">
        <v>379</v>
      </c>
      <c r="D2" t="s">
        <v>474</v>
      </c>
      <c r="E2" t="s">
        <v>377</v>
      </c>
    </row>
    <row r="3" spans="1:5" x14ac:dyDescent="0.2">
      <c r="A3" t="s">
        <v>365</v>
      </c>
      <c r="B3" t="s">
        <v>382</v>
      </c>
      <c r="C3" t="s">
        <v>382</v>
      </c>
      <c r="D3" t="s">
        <v>474</v>
      </c>
      <c r="E3" t="s">
        <v>377</v>
      </c>
    </row>
    <row r="4" spans="1:5" x14ac:dyDescent="0.2">
      <c r="A4" t="s">
        <v>360</v>
      </c>
      <c r="B4" t="s">
        <v>424</v>
      </c>
      <c r="C4" t="s">
        <v>424</v>
      </c>
      <c r="D4" t="s">
        <v>474</v>
      </c>
      <c r="E4" t="s">
        <v>377</v>
      </c>
    </row>
    <row r="5" spans="1:5" x14ac:dyDescent="0.2">
      <c r="A5" t="s">
        <v>339</v>
      </c>
      <c r="B5" t="s">
        <v>435</v>
      </c>
      <c r="C5" t="s">
        <v>435</v>
      </c>
      <c r="D5" t="s">
        <v>475</v>
      </c>
      <c r="E5" t="s">
        <v>388</v>
      </c>
    </row>
    <row r="6" spans="1:5" x14ac:dyDescent="0.2">
      <c r="A6" t="s">
        <v>363</v>
      </c>
      <c r="B6" t="s">
        <v>397</v>
      </c>
      <c r="C6" t="s">
        <v>397</v>
      </c>
      <c r="D6" t="s">
        <v>475</v>
      </c>
      <c r="E6" t="s">
        <v>393</v>
      </c>
    </row>
    <row r="7" spans="1:5" x14ac:dyDescent="0.2">
      <c r="A7" t="s">
        <v>366</v>
      </c>
      <c r="B7" t="s">
        <v>426</v>
      </c>
      <c r="C7" t="s">
        <v>426</v>
      </c>
      <c r="D7" t="s">
        <v>477</v>
      </c>
      <c r="E7" t="s">
        <v>393</v>
      </c>
    </row>
    <row r="8" spans="1:5" x14ac:dyDescent="0.2">
      <c r="A8" t="s">
        <v>341</v>
      </c>
      <c r="B8" t="s">
        <v>409</v>
      </c>
      <c r="C8" t="s">
        <v>409</v>
      </c>
      <c r="D8" t="s">
        <v>478</v>
      </c>
      <c r="E8" t="s">
        <v>398</v>
      </c>
    </row>
    <row r="9" spans="1:5" x14ac:dyDescent="0.2">
      <c r="A9" t="s">
        <v>358</v>
      </c>
      <c r="B9" t="s">
        <v>411</v>
      </c>
      <c r="C9" t="s">
        <v>411</v>
      </c>
      <c r="D9" t="s">
        <v>477</v>
      </c>
      <c r="E9" t="s">
        <v>393</v>
      </c>
    </row>
    <row r="10" spans="1:5" x14ac:dyDescent="0.2">
      <c r="A10" t="s">
        <v>486</v>
      </c>
      <c r="B10" t="s">
        <v>487</v>
      </c>
      <c r="C10" t="s">
        <v>316</v>
      </c>
      <c r="D10" t="s">
        <v>462</v>
      </c>
      <c r="E10" t="s">
        <v>8</v>
      </c>
    </row>
    <row r="11" spans="1:5" x14ac:dyDescent="0.2">
      <c r="A11" t="s">
        <v>367</v>
      </c>
      <c r="B11" t="s">
        <v>423</v>
      </c>
      <c r="C11" t="s">
        <v>423</v>
      </c>
      <c r="D11" t="s">
        <v>474</v>
      </c>
      <c r="E11" t="s">
        <v>377</v>
      </c>
    </row>
    <row r="12" spans="1:5" x14ac:dyDescent="0.2">
      <c r="A12" t="s">
        <v>345</v>
      </c>
      <c r="B12" t="s">
        <v>387</v>
      </c>
      <c r="C12" t="s">
        <v>387</v>
      </c>
      <c r="D12" t="s">
        <v>475</v>
      </c>
      <c r="E12" t="s">
        <v>377</v>
      </c>
    </row>
    <row r="13" spans="1:5" x14ac:dyDescent="0.2">
      <c r="A13" t="s">
        <v>350</v>
      </c>
      <c r="B13" t="s">
        <v>384</v>
      </c>
      <c r="C13" t="s">
        <v>384</v>
      </c>
      <c r="D13" t="s">
        <v>474</v>
      </c>
      <c r="E13" t="s">
        <v>377</v>
      </c>
    </row>
    <row r="14" spans="1:5" x14ac:dyDescent="0.2">
      <c r="A14" t="s">
        <v>348</v>
      </c>
      <c r="B14" t="s">
        <v>391</v>
      </c>
      <c r="C14" t="s">
        <v>391</v>
      </c>
      <c r="D14" t="s">
        <v>475</v>
      </c>
      <c r="E14" t="s">
        <v>388</v>
      </c>
    </row>
    <row r="15" spans="1:5" x14ac:dyDescent="0.2">
      <c r="A15" t="s">
        <v>338</v>
      </c>
      <c r="B15" t="s">
        <v>400</v>
      </c>
      <c r="C15" t="s">
        <v>400</v>
      </c>
      <c r="D15" t="s">
        <v>474</v>
      </c>
      <c r="E15" t="s">
        <v>398</v>
      </c>
    </row>
    <row r="16" spans="1:5" x14ac:dyDescent="0.2">
      <c r="A16" t="s">
        <v>352</v>
      </c>
      <c r="B16" t="s">
        <v>414</v>
      </c>
      <c r="C16" t="s">
        <v>414</v>
      </c>
      <c r="D16" t="s">
        <v>477</v>
      </c>
      <c r="E16" t="s">
        <v>393</v>
      </c>
    </row>
    <row r="17" spans="1:5" x14ac:dyDescent="0.2">
      <c r="A17" t="s">
        <v>488</v>
      </c>
      <c r="B17" t="s">
        <v>489</v>
      </c>
      <c r="C17" t="s">
        <v>316</v>
      </c>
      <c r="D17" t="s">
        <v>462</v>
      </c>
      <c r="E17" t="s">
        <v>8</v>
      </c>
    </row>
    <row r="18" spans="1:5" x14ac:dyDescent="0.2">
      <c r="A18" t="s">
        <v>364</v>
      </c>
      <c r="B18" t="s">
        <v>399</v>
      </c>
      <c r="C18" t="s">
        <v>399</v>
      </c>
      <c r="D18" t="s">
        <v>474</v>
      </c>
      <c r="E18" t="s">
        <v>398</v>
      </c>
    </row>
    <row r="19" spans="1:5" x14ac:dyDescent="0.2">
      <c r="A19" t="s">
        <v>357</v>
      </c>
      <c r="B19" t="s">
        <v>402</v>
      </c>
      <c r="C19" t="s">
        <v>402</v>
      </c>
      <c r="D19" t="s">
        <v>478</v>
      </c>
      <c r="E19" t="s">
        <v>398</v>
      </c>
    </row>
    <row r="20" spans="1:5" x14ac:dyDescent="0.2">
      <c r="A20" t="s">
        <v>347</v>
      </c>
      <c r="B20" t="s">
        <v>405</v>
      </c>
      <c r="C20" t="s">
        <v>405</v>
      </c>
      <c r="D20" t="s">
        <v>478</v>
      </c>
      <c r="E20" t="s">
        <v>398</v>
      </c>
    </row>
    <row r="21" spans="1:5" x14ac:dyDescent="0.2">
      <c r="A21" t="s">
        <v>372</v>
      </c>
      <c r="B21" t="s">
        <v>430</v>
      </c>
      <c r="C21" t="s">
        <v>430</v>
      </c>
      <c r="D21" t="s">
        <v>478</v>
      </c>
      <c r="E21" t="s">
        <v>398</v>
      </c>
    </row>
    <row r="22" spans="1:5" x14ac:dyDescent="0.2">
      <c r="A22" t="s">
        <v>343</v>
      </c>
      <c r="B22" t="s">
        <v>63</v>
      </c>
      <c r="C22" t="s">
        <v>63</v>
      </c>
      <c r="D22" t="s">
        <v>474</v>
      </c>
      <c r="E22" t="s">
        <v>377</v>
      </c>
    </row>
    <row r="23" spans="1:5" x14ac:dyDescent="0.2">
      <c r="A23" t="s">
        <v>356</v>
      </c>
      <c r="B23" t="s">
        <v>390</v>
      </c>
      <c r="C23" t="s">
        <v>390</v>
      </c>
      <c r="D23" t="s">
        <v>316</v>
      </c>
      <c r="E23" t="s">
        <v>377</v>
      </c>
    </row>
    <row r="24" spans="1:5" x14ac:dyDescent="0.2">
      <c r="A24" t="s">
        <v>351</v>
      </c>
      <c r="B24" t="s">
        <v>392</v>
      </c>
      <c r="C24" t="s">
        <v>392</v>
      </c>
      <c r="D24" t="s">
        <v>475</v>
      </c>
      <c r="E24" t="s">
        <v>388</v>
      </c>
    </row>
    <row r="25" spans="1:5" x14ac:dyDescent="0.2">
      <c r="A25" t="s">
        <v>349</v>
      </c>
      <c r="B25" t="s">
        <v>428</v>
      </c>
      <c r="C25" t="s">
        <v>428</v>
      </c>
      <c r="D25" t="s">
        <v>478</v>
      </c>
      <c r="E25" t="s">
        <v>398</v>
      </c>
    </row>
    <row r="26" spans="1:5" x14ac:dyDescent="0.2">
      <c r="A26" t="s">
        <v>326</v>
      </c>
      <c r="B26" t="s">
        <v>413</v>
      </c>
      <c r="C26" t="s">
        <v>413</v>
      </c>
      <c r="D26" t="s">
        <v>477</v>
      </c>
      <c r="E26" t="s">
        <v>412</v>
      </c>
    </row>
    <row r="27" spans="1:5" x14ac:dyDescent="0.2">
      <c r="A27" t="s">
        <v>327</v>
      </c>
      <c r="B27" t="s">
        <v>429</v>
      </c>
      <c r="C27" t="s">
        <v>429</v>
      </c>
      <c r="D27" t="s">
        <v>477</v>
      </c>
      <c r="E27" t="s">
        <v>393</v>
      </c>
    </row>
    <row r="28" spans="1:5" x14ac:dyDescent="0.2">
      <c r="A28" t="s">
        <v>361</v>
      </c>
      <c r="B28" t="s">
        <v>381</v>
      </c>
      <c r="C28" t="s">
        <v>381</v>
      </c>
      <c r="D28" t="s">
        <v>474</v>
      </c>
      <c r="E28" t="s">
        <v>377</v>
      </c>
    </row>
    <row r="29" spans="1:5" x14ac:dyDescent="0.2">
      <c r="A29" t="s">
        <v>476</v>
      </c>
      <c r="B29" t="s">
        <v>462</v>
      </c>
      <c r="C29" t="s">
        <v>316</v>
      </c>
      <c r="D29" t="s">
        <v>462</v>
      </c>
      <c r="E29" t="s">
        <v>8</v>
      </c>
    </row>
    <row r="30" spans="1:5" x14ac:dyDescent="0.2">
      <c r="A30" t="s">
        <v>373</v>
      </c>
      <c r="B30" t="s">
        <v>425</v>
      </c>
      <c r="C30" t="s">
        <v>425</v>
      </c>
      <c r="D30" t="s">
        <v>474</v>
      </c>
      <c r="E30" t="s">
        <v>377</v>
      </c>
    </row>
    <row r="31" spans="1:5" x14ac:dyDescent="0.2">
      <c r="A31" t="s">
        <v>354</v>
      </c>
      <c r="B31" t="s">
        <v>422</v>
      </c>
      <c r="C31" t="s">
        <v>422</v>
      </c>
      <c r="D31" t="s">
        <v>316</v>
      </c>
      <c r="E31" t="s">
        <v>377</v>
      </c>
    </row>
    <row r="32" spans="1:5" x14ac:dyDescent="0.2">
      <c r="A32" t="s">
        <v>334</v>
      </c>
      <c r="B32" t="s">
        <v>403</v>
      </c>
      <c r="C32" t="s">
        <v>403</v>
      </c>
      <c r="D32" t="s">
        <v>474</v>
      </c>
      <c r="E32" t="s">
        <v>398</v>
      </c>
    </row>
    <row r="33" spans="1:5" x14ac:dyDescent="0.2">
      <c r="A33" t="s">
        <v>331</v>
      </c>
      <c r="B33" t="s">
        <v>427</v>
      </c>
      <c r="C33" t="s">
        <v>427</v>
      </c>
      <c r="D33" t="s">
        <v>478</v>
      </c>
      <c r="E33" t="s">
        <v>398</v>
      </c>
    </row>
    <row r="34" spans="1:5" x14ac:dyDescent="0.2">
      <c r="A34" t="s">
        <v>353</v>
      </c>
      <c r="B34" t="s">
        <v>434</v>
      </c>
      <c r="C34" t="s">
        <v>434</v>
      </c>
      <c r="D34" t="s">
        <v>477</v>
      </c>
      <c r="E34" t="s">
        <v>412</v>
      </c>
    </row>
    <row r="35" spans="1:5" x14ac:dyDescent="0.2">
      <c r="A35" t="s">
        <v>342</v>
      </c>
      <c r="B35" t="s">
        <v>416</v>
      </c>
      <c r="C35" t="s">
        <v>416</v>
      </c>
      <c r="D35" t="s">
        <v>477</v>
      </c>
      <c r="E35" t="s">
        <v>412</v>
      </c>
    </row>
    <row r="36" spans="1:5" x14ac:dyDescent="0.2">
      <c r="A36" t="s">
        <v>369</v>
      </c>
      <c r="B36" t="s">
        <v>436</v>
      </c>
      <c r="C36" t="s">
        <v>436</v>
      </c>
      <c r="D36" t="s">
        <v>477</v>
      </c>
      <c r="E36" t="s">
        <v>412</v>
      </c>
    </row>
    <row r="37" spans="1:5" x14ac:dyDescent="0.2">
      <c r="A37" t="s">
        <v>485</v>
      </c>
      <c r="B37" t="s">
        <v>432</v>
      </c>
      <c r="C37" t="s">
        <v>432</v>
      </c>
      <c r="D37" t="s">
        <v>477</v>
      </c>
      <c r="E37" t="s">
        <v>412</v>
      </c>
    </row>
    <row r="38" spans="1:5" x14ac:dyDescent="0.2">
      <c r="A38" t="s">
        <v>483</v>
      </c>
      <c r="B38" t="s">
        <v>484</v>
      </c>
      <c r="C38" t="s">
        <v>316</v>
      </c>
      <c r="D38" t="s">
        <v>462</v>
      </c>
      <c r="E38" t="s">
        <v>8</v>
      </c>
    </row>
    <row r="39" spans="1:5" x14ac:dyDescent="0.2">
      <c r="A39" t="s">
        <v>359</v>
      </c>
      <c r="B39" t="s">
        <v>417</v>
      </c>
      <c r="C39" t="s">
        <v>417</v>
      </c>
      <c r="D39" t="s">
        <v>477</v>
      </c>
      <c r="E39" t="s">
        <v>412</v>
      </c>
    </row>
    <row r="40" spans="1:5" x14ac:dyDescent="0.2">
      <c r="A40" t="s">
        <v>492</v>
      </c>
      <c r="B40" t="s">
        <v>493</v>
      </c>
      <c r="C40" t="s">
        <v>316</v>
      </c>
      <c r="D40" t="s">
        <v>462</v>
      </c>
      <c r="E40" t="s">
        <v>8</v>
      </c>
    </row>
    <row r="41" spans="1:5" x14ac:dyDescent="0.2">
      <c r="A41" t="s">
        <v>479</v>
      </c>
      <c r="B41" t="s">
        <v>480</v>
      </c>
      <c r="C41" t="s">
        <v>316</v>
      </c>
      <c r="D41" t="s">
        <v>462</v>
      </c>
      <c r="E41" t="s">
        <v>8</v>
      </c>
    </row>
    <row r="42" spans="1:5" x14ac:dyDescent="0.2">
      <c r="A42" t="s">
        <v>368</v>
      </c>
      <c r="B42" t="s">
        <v>380</v>
      </c>
      <c r="C42" t="s">
        <v>380</v>
      </c>
      <c r="D42" t="s">
        <v>474</v>
      </c>
      <c r="E42" t="s">
        <v>377</v>
      </c>
    </row>
    <row r="43" spans="1:5" x14ac:dyDescent="0.2">
      <c r="A43" t="s">
        <v>329</v>
      </c>
      <c r="B43" t="s">
        <v>386</v>
      </c>
      <c r="C43" t="s">
        <v>386</v>
      </c>
      <c r="D43" t="s">
        <v>475</v>
      </c>
      <c r="E43" t="s">
        <v>377</v>
      </c>
    </row>
    <row r="44" spans="1:5" x14ac:dyDescent="0.2">
      <c r="A44" t="s">
        <v>332</v>
      </c>
      <c r="B44" t="s">
        <v>431</v>
      </c>
      <c r="C44" t="s">
        <v>431</v>
      </c>
      <c r="D44" t="s">
        <v>474</v>
      </c>
      <c r="E44" t="s">
        <v>377</v>
      </c>
    </row>
    <row r="45" spans="1:5" x14ac:dyDescent="0.2">
      <c r="A45" t="s">
        <v>362</v>
      </c>
      <c r="B45" t="s">
        <v>396</v>
      </c>
      <c r="C45" t="s">
        <v>396</v>
      </c>
      <c r="D45" t="s">
        <v>475</v>
      </c>
      <c r="E45" t="s">
        <v>388</v>
      </c>
    </row>
    <row r="46" spans="1:5" x14ac:dyDescent="0.2">
      <c r="A46" t="s">
        <v>344</v>
      </c>
      <c r="B46" t="s">
        <v>401</v>
      </c>
      <c r="C46" t="s">
        <v>401</v>
      </c>
      <c r="D46" t="s">
        <v>475</v>
      </c>
      <c r="E46" t="s">
        <v>388</v>
      </c>
    </row>
    <row r="47" spans="1:5" x14ac:dyDescent="0.2">
      <c r="A47" t="s">
        <v>371</v>
      </c>
      <c r="B47" t="s">
        <v>407</v>
      </c>
      <c r="C47" t="s">
        <v>407</v>
      </c>
      <c r="D47" t="s">
        <v>478</v>
      </c>
      <c r="E47" t="s">
        <v>398</v>
      </c>
    </row>
    <row r="48" spans="1:5" x14ac:dyDescent="0.2">
      <c r="A48" t="s">
        <v>346</v>
      </c>
      <c r="B48" t="s">
        <v>420</v>
      </c>
      <c r="C48" t="s">
        <v>420</v>
      </c>
      <c r="D48" t="s">
        <v>478</v>
      </c>
      <c r="E48" t="s">
        <v>393</v>
      </c>
    </row>
    <row r="49" spans="1:5" x14ac:dyDescent="0.2">
      <c r="A49" t="s">
        <v>335</v>
      </c>
      <c r="B49" t="s">
        <v>418</v>
      </c>
      <c r="C49" t="s">
        <v>418</v>
      </c>
      <c r="D49" t="s">
        <v>478</v>
      </c>
      <c r="E49" t="s">
        <v>393</v>
      </c>
    </row>
    <row r="50" spans="1:5" x14ac:dyDescent="0.2">
      <c r="A50" t="s">
        <v>340</v>
      </c>
      <c r="B50" t="s">
        <v>415</v>
      </c>
      <c r="C50" t="s">
        <v>415</v>
      </c>
      <c r="D50" t="s">
        <v>477</v>
      </c>
      <c r="E50" t="s">
        <v>412</v>
      </c>
    </row>
    <row r="51" spans="1:5" x14ac:dyDescent="0.2">
      <c r="A51" t="s">
        <v>328</v>
      </c>
      <c r="B51" t="s">
        <v>395</v>
      </c>
      <c r="C51" t="s">
        <v>395</v>
      </c>
      <c r="D51" t="s">
        <v>478</v>
      </c>
      <c r="E51" t="s">
        <v>393</v>
      </c>
    </row>
    <row r="52" spans="1:5" x14ac:dyDescent="0.2">
      <c r="A52" t="s">
        <v>481</v>
      </c>
      <c r="B52" t="s">
        <v>482</v>
      </c>
      <c r="C52" t="s">
        <v>316</v>
      </c>
      <c r="D52" t="s">
        <v>462</v>
      </c>
      <c r="E52" t="s">
        <v>8</v>
      </c>
    </row>
    <row r="53" spans="1:5" x14ac:dyDescent="0.2">
      <c r="A53" t="s">
        <v>490</v>
      </c>
      <c r="B53" t="s">
        <v>491</v>
      </c>
      <c r="C53" t="s">
        <v>316</v>
      </c>
      <c r="D53" t="s">
        <v>462</v>
      </c>
      <c r="E53" t="s">
        <v>8</v>
      </c>
    </row>
    <row r="54" spans="1:5" x14ac:dyDescent="0.2">
      <c r="A54" t="s">
        <v>355</v>
      </c>
      <c r="B54" t="s">
        <v>383</v>
      </c>
      <c r="C54" t="s">
        <v>383</v>
      </c>
      <c r="D54" t="s">
        <v>474</v>
      </c>
      <c r="E54" t="s">
        <v>377</v>
      </c>
    </row>
    <row r="55" spans="1:5" x14ac:dyDescent="0.2">
      <c r="A55" t="s">
        <v>370</v>
      </c>
      <c r="B55" t="s">
        <v>389</v>
      </c>
      <c r="C55" t="s">
        <v>389</v>
      </c>
      <c r="D55" t="s">
        <v>475</v>
      </c>
      <c r="E55" t="s">
        <v>388</v>
      </c>
    </row>
    <row r="56" spans="1:5" x14ac:dyDescent="0.2">
      <c r="A56" t="s">
        <v>325</v>
      </c>
      <c r="B56" t="s">
        <v>433</v>
      </c>
      <c r="C56" t="s">
        <v>433</v>
      </c>
      <c r="D56" t="s">
        <v>475</v>
      </c>
      <c r="E56" t="s">
        <v>388</v>
      </c>
    </row>
    <row r="57" spans="1:5" x14ac:dyDescent="0.2">
      <c r="A57" t="s">
        <v>324</v>
      </c>
      <c r="B57" t="s">
        <v>404</v>
      </c>
      <c r="C57" t="s">
        <v>404</v>
      </c>
      <c r="D57" t="s">
        <v>478</v>
      </c>
      <c r="E57" t="s">
        <v>398</v>
      </c>
    </row>
    <row r="58" spans="1:5" x14ac:dyDescent="0.2">
      <c r="A58" t="s">
        <v>330</v>
      </c>
      <c r="B58" t="s">
        <v>408</v>
      </c>
      <c r="C58" t="s">
        <v>408</v>
      </c>
      <c r="D58" t="s">
        <v>478</v>
      </c>
      <c r="E58" t="s">
        <v>398</v>
      </c>
    </row>
    <row r="59" spans="1:5" x14ac:dyDescent="0.2">
      <c r="A59" t="s">
        <v>336</v>
      </c>
      <c r="B59" t="s">
        <v>421</v>
      </c>
      <c r="C59" t="s">
        <v>421</v>
      </c>
      <c r="D59" t="s">
        <v>477</v>
      </c>
      <c r="E59" t="s">
        <v>412</v>
      </c>
    </row>
    <row r="60" spans="1:5" x14ac:dyDescent="0.2">
      <c r="A60" t="s">
        <v>323</v>
      </c>
      <c r="B60" t="s">
        <v>419</v>
      </c>
      <c r="C60" t="s">
        <v>419</v>
      </c>
      <c r="D60" t="s">
        <v>478</v>
      </c>
      <c r="E60" t="s">
        <v>393</v>
      </c>
    </row>
    <row r="61" spans="1:5" x14ac:dyDescent="0.2">
      <c r="A61" t="s">
        <v>337</v>
      </c>
      <c r="B61" t="s">
        <v>83</v>
      </c>
      <c r="C61" t="s">
        <v>83</v>
      </c>
      <c r="D61" t="s">
        <v>477</v>
      </c>
      <c r="E61" t="s">
        <v>412</v>
      </c>
    </row>
  </sheetData>
  <sheetProtection autoFilter="0"/>
  <conditionalFormatting sqref="A2:A61">
    <cfRule type="duplicateValues" dxfId="1"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140625" customWidth="1"/>
    <col min="4" max="4" width="15.14062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1043</v>
      </c>
      <c r="C2" t="s">
        <v>445</v>
      </c>
      <c r="D2" t="s">
        <v>446</v>
      </c>
      <c r="E2" t="s">
        <v>447</v>
      </c>
      <c r="F2" t="s">
        <v>448</v>
      </c>
      <c r="G2" t="s">
        <v>449</v>
      </c>
      <c r="H2" t="s">
        <v>450</v>
      </c>
      <c r="I2" t="s">
        <v>451</v>
      </c>
      <c r="J2" t="s">
        <v>452</v>
      </c>
      <c r="K2" t="s">
        <v>453</v>
      </c>
      <c r="L2" t="s">
        <v>454</v>
      </c>
      <c r="M2" t="s">
        <v>455</v>
      </c>
      <c r="N2" t="s">
        <v>456</v>
      </c>
      <c r="O2" t="s">
        <v>457</v>
      </c>
      <c r="P2" t="s">
        <v>458</v>
      </c>
      <c r="Q2" t="s">
        <v>460</v>
      </c>
    </row>
    <row r="3" spans="2:33" x14ac:dyDescent="0.2">
      <c r="B3" t="s">
        <v>393</v>
      </c>
      <c r="C3" t="s">
        <v>419</v>
      </c>
      <c r="D3" t="s">
        <v>411</v>
      </c>
      <c r="E3" t="s">
        <v>395</v>
      </c>
      <c r="F3" t="s">
        <v>397</v>
      </c>
      <c r="G3" t="s">
        <v>426</v>
      </c>
      <c r="H3" t="s">
        <v>420</v>
      </c>
      <c r="I3" t="s">
        <v>418</v>
      </c>
      <c r="J3" t="s">
        <v>414</v>
      </c>
      <c r="K3" t="s">
        <v>429</v>
      </c>
      <c r="L3" t="s">
        <v>459</v>
      </c>
      <c r="M3" t="s">
        <v>459</v>
      </c>
      <c r="N3" t="s">
        <v>459</v>
      </c>
      <c r="O3" t="s">
        <v>459</v>
      </c>
      <c r="P3" t="s">
        <v>459</v>
      </c>
      <c r="Q3" t="s">
        <v>459</v>
      </c>
      <c r="S3" s="14" t="s">
        <v>419</v>
      </c>
      <c r="T3" s="14" t="s">
        <v>411</v>
      </c>
      <c r="U3" s="14" t="s">
        <v>395</v>
      </c>
      <c r="V3" s="14" t="s">
        <v>397</v>
      </c>
      <c r="W3" s="14" t="s">
        <v>426</v>
      </c>
      <c r="X3" s="14" t="s">
        <v>420</v>
      </c>
      <c r="Y3" s="14" t="s">
        <v>418</v>
      </c>
      <c r="Z3" s="14" t="s">
        <v>414</v>
      </c>
      <c r="AA3" s="14" t="s">
        <v>429</v>
      </c>
      <c r="AB3" s="14"/>
      <c r="AC3" s="14"/>
      <c r="AD3" s="14"/>
      <c r="AE3" s="14"/>
      <c r="AF3" s="15"/>
      <c r="AG3" s="15"/>
    </row>
    <row r="4" spans="2:33" x14ac:dyDescent="0.2">
      <c r="B4" t="s">
        <v>398</v>
      </c>
      <c r="C4" t="s">
        <v>402</v>
      </c>
      <c r="D4" t="s">
        <v>400</v>
      </c>
      <c r="E4" t="s">
        <v>407</v>
      </c>
      <c r="F4" t="s">
        <v>430</v>
      </c>
      <c r="G4" t="s">
        <v>403</v>
      </c>
      <c r="H4" t="s">
        <v>409</v>
      </c>
      <c r="I4" t="s">
        <v>405</v>
      </c>
      <c r="J4" t="s">
        <v>408</v>
      </c>
      <c r="K4" t="s">
        <v>427</v>
      </c>
      <c r="L4" t="s">
        <v>399</v>
      </c>
      <c r="M4" t="s">
        <v>428</v>
      </c>
      <c r="N4" t="s">
        <v>404</v>
      </c>
      <c r="O4" t="s">
        <v>459</v>
      </c>
      <c r="P4" t="s">
        <v>459</v>
      </c>
      <c r="Q4" t="s">
        <v>459</v>
      </c>
      <c r="S4" s="14" t="s">
        <v>402</v>
      </c>
      <c r="T4" s="14" t="s">
        <v>400</v>
      </c>
      <c r="U4" s="14" t="s">
        <v>407</v>
      </c>
      <c r="V4" s="14" t="s">
        <v>430</v>
      </c>
      <c r="W4" s="14" t="s">
        <v>403</v>
      </c>
      <c r="X4" s="14" t="s">
        <v>409</v>
      </c>
      <c r="Y4" s="14" t="s">
        <v>405</v>
      </c>
      <c r="Z4" s="14" t="s">
        <v>408</v>
      </c>
      <c r="AA4" s="14" t="s">
        <v>427</v>
      </c>
      <c r="AB4" s="14" t="s">
        <v>399</v>
      </c>
      <c r="AC4" s="14" t="s">
        <v>428</v>
      </c>
      <c r="AD4" s="14" t="s">
        <v>404</v>
      </c>
      <c r="AE4" s="14"/>
      <c r="AF4" s="15"/>
      <c r="AG4" s="15"/>
    </row>
    <row r="5" spans="2:33" x14ac:dyDescent="0.2">
      <c r="B5" t="s">
        <v>377</v>
      </c>
      <c r="C5" t="s">
        <v>381</v>
      </c>
      <c r="D5" t="s">
        <v>431</v>
      </c>
      <c r="E5" t="s">
        <v>422</v>
      </c>
      <c r="F5" t="s">
        <v>424</v>
      </c>
      <c r="G5" t="s">
        <v>384</v>
      </c>
      <c r="H5" t="s">
        <v>379</v>
      </c>
      <c r="I5" t="s">
        <v>423</v>
      </c>
      <c r="J5" t="s">
        <v>382</v>
      </c>
      <c r="K5" t="s">
        <v>63</v>
      </c>
      <c r="L5" t="s">
        <v>390</v>
      </c>
      <c r="M5" t="s">
        <v>383</v>
      </c>
      <c r="N5" t="s">
        <v>380</v>
      </c>
      <c r="O5" t="s">
        <v>425</v>
      </c>
      <c r="P5" t="s">
        <v>386</v>
      </c>
      <c r="Q5" t="s">
        <v>387</v>
      </c>
      <c r="S5" s="14" t="s">
        <v>381</v>
      </c>
      <c r="T5" s="14" t="s">
        <v>431</v>
      </c>
      <c r="U5" s="14" t="s">
        <v>422</v>
      </c>
      <c r="V5" s="14" t="s">
        <v>424</v>
      </c>
      <c r="W5" s="14" t="s">
        <v>384</v>
      </c>
      <c r="X5" s="14" t="s">
        <v>379</v>
      </c>
      <c r="Y5" s="14" t="s">
        <v>423</v>
      </c>
      <c r="Z5" s="14" t="s">
        <v>382</v>
      </c>
      <c r="AA5" s="14" t="s">
        <v>63</v>
      </c>
      <c r="AB5" s="14" t="s">
        <v>390</v>
      </c>
      <c r="AC5" s="14" t="s">
        <v>383</v>
      </c>
      <c r="AD5" s="14" t="s">
        <v>380</v>
      </c>
      <c r="AE5" s="14" t="s">
        <v>425</v>
      </c>
      <c r="AF5" s="15" t="s">
        <v>386</v>
      </c>
      <c r="AG5" s="15" t="s">
        <v>387</v>
      </c>
    </row>
    <row r="6" spans="2:33" x14ac:dyDescent="0.2">
      <c r="B6" t="s">
        <v>412</v>
      </c>
      <c r="C6" t="s">
        <v>432</v>
      </c>
      <c r="D6" t="s">
        <v>434</v>
      </c>
      <c r="E6" t="s">
        <v>415</v>
      </c>
      <c r="F6" t="s">
        <v>436</v>
      </c>
      <c r="G6" t="s">
        <v>416</v>
      </c>
      <c r="H6" t="s">
        <v>421</v>
      </c>
      <c r="I6" t="s">
        <v>413</v>
      </c>
      <c r="J6" t="s">
        <v>417</v>
      </c>
      <c r="K6" t="s">
        <v>83</v>
      </c>
      <c r="L6" t="s">
        <v>459</v>
      </c>
      <c r="M6" t="s">
        <v>459</v>
      </c>
      <c r="N6" t="s">
        <v>459</v>
      </c>
      <c r="O6" t="s">
        <v>459</v>
      </c>
      <c r="P6" t="s">
        <v>459</v>
      </c>
      <c r="Q6" t="s">
        <v>459</v>
      </c>
      <c r="S6" s="14" t="s">
        <v>432</v>
      </c>
      <c r="T6" s="14" t="s">
        <v>434</v>
      </c>
      <c r="U6" s="14" t="s">
        <v>415</v>
      </c>
      <c r="V6" s="14" t="s">
        <v>436</v>
      </c>
      <c r="W6" s="14" t="s">
        <v>416</v>
      </c>
      <c r="X6" s="14" t="s">
        <v>421</v>
      </c>
      <c r="Y6" s="14" t="s">
        <v>413</v>
      </c>
      <c r="Z6" s="14" t="s">
        <v>417</v>
      </c>
      <c r="AA6" s="14" t="s">
        <v>83</v>
      </c>
      <c r="AB6" s="14"/>
      <c r="AC6" s="14"/>
      <c r="AD6" s="14"/>
      <c r="AE6" s="14"/>
      <c r="AF6" s="15"/>
      <c r="AG6" s="15"/>
    </row>
    <row r="7" spans="2:33" x14ac:dyDescent="0.2">
      <c r="B7" t="s">
        <v>388</v>
      </c>
      <c r="C7" t="s">
        <v>396</v>
      </c>
      <c r="D7" t="s">
        <v>433</v>
      </c>
      <c r="E7" t="s">
        <v>389</v>
      </c>
      <c r="F7" t="s">
        <v>401</v>
      </c>
      <c r="G7" t="s">
        <v>435</v>
      </c>
      <c r="H7" t="s">
        <v>391</v>
      </c>
      <c r="I7" t="s">
        <v>392</v>
      </c>
      <c r="J7" t="s">
        <v>459</v>
      </c>
      <c r="K7" t="s">
        <v>459</v>
      </c>
      <c r="L7" t="s">
        <v>459</v>
      </c>
      <c r="M7" t="s">
        <v>459</v>
      </c>
      <c r="N7" t="s">
        <v>459</v>
      </c>
      <c r="O7" t="s">
        <v>459</v>
      </c>
      <c r="P7" t="s">
        <v>459</v>
      </c>
      <c r="Q7" t="s">
        <v>459</v>
      </c>
      <c r="S7" s="14" t="s">
        <v>396</v>
      </c>
      <c r="T7" s="14" t="s">
        <v>433</v>
      </c>
      <c r="U7" s="14" t="s">
        <v>389</v>
      </c>
      <c r="V7" s="14" t="s">
        <v>401</v>
      </c>
      <c r="W7" s="14" t="s">
        <v>435</v>
      </c>
      <c r="X7" s="14" t="s">
        <v>391</v>
      </c>
      <c r="Y7" s="14" t="s">
        <v>392</v>
      </c>
      <c r="Z7" s="14"/>
      <c r="AA7" s="14"/>
      <c r="AB7" s="14"/>
      <c r="AC7" s="14"/>
      <c r="AD7" s="14"/>
      <c r="AE7" s="14"/>
      <c r="AF7" s="15"/>
      <c r="AG7" s="15"/>
    </row>
    <row r="8" spans="2:33" x14ac:dyDescent="0.2">
      <c r="B8" t="s">
        <v>8</v>
      </c>
      <c r="C8" t="s">
        <v>8</v>
      </c>
      <c r="D8" t="s">
        <v>459</v>
      </c>
      <c r="E8" t="s">
        <v>459</v>
      </c>
      <c r="F8" t="s">
        <v>459</v>
      </c>
      <c r="G8" t="s">
        <v>459</v>
      </c>
      <c r="H8" t="s">
        <v>459</v>
      </c>
      <c r="I8" t="s">
        <v>459</v>
      </c>
      <c r="J8" t="s">
        <v>459</v>
      </c>
      <c r="K8" t="s">
        <v>459</v>
      </c>
      <c r="L8" t="s">
        <v>459</v>
      </c>
      <c r="M8" t="s">
        <v>459</v>
      </c>
      <c r="N8" t="s">
        <v>459</v>
      </c>
      <c r="O8" t="s">
        <v>459</v>
      </c>
      <c r="P8" t="s">
        <v>459</v>
      </c>
      <c r="Q8" t="s">
        <v>459</v>
      </c>
      <c r="S8" s="16" t="s">
        <v>8</v>
      </c>
      <c r="T8" s="16"/>
      <c r="U8" s="16"/>
      <c r="V8" s="16"/>
      <c r="W8" s="16"/>
      <c r="X8" s="16"/>
      <c r="Y8" s="16"/>
      <c r="Z8" s="16"/>
      <c r="AA8" s="16"/>
      <c r="AB8" s="16"/>
      <c r="AC8" s="16"/>
      <c r="AD8" s="16"/>
      <c r="AE8" s="16"/>
      <c r="AF8" s="17"/>
      <c r="AG8" s="17"/>
    </row>
    <row r="10" spans="2:33" x14ac:dyDescent="0.2">
      <c r="B10" t="s">
        <v>444</v>
      </c>
      <c r="C10" t="s">
        <v>445</v>
      </c>
      <c r="D10" t="s">
        <v>446</v>
      </c>
      <c r="E10" t="s">
        <v>447</v>
      </c>
      <c r="F10" t="s">
        <v>448</v>
      </c>
      <c r="G10" t="s">
        <v>449</v>
      </c>
      <c r="H10" t="s">
        <v>450</v>
      </c>
      <c r="I10" t="s">
        <v>451</v>
      </c>
      <c r="J10" t="s">
        <v>452</v>
      </c>
      <c r="K10" t="s">
        <v>453</v>
      </c>
      <c r="L10" t="s">
        <v>454</v>
      </c>
      <c r="M10" t="s">
        <v>455</v>
      </c>
      <c r="N10" t="s">
        <v>456</v>
      </c>
      <c r="O10" t="s">
        <v>457</v>
      </c>
      <c r="P10" t="s">
        <v>458</v>
      </c>
      <c r="Q10" t="s">
        <v>460</v>
      </c>
      <c r="R10" t="s">
        <v>461</v>
      </c>
    </row>
    <row r="11" spans="2:33" x14ac:dyDescent="0.2">
      <c r="B11" t="s">
        <v>393</v>
      </c>
      <c r="C11" t="s">
        <v>645</v>
      </c>
      <c r="D11" t="s">
        <v>592</v>
      </c>
      <c r="E11" t="s">
        <v>639</v>
      </c>
      <c r="F11" t="s">
        <v>627</v>
      </c>
      <c r="G11" t="s">
        <v>563</v>
      </c>
      <c r="H11" t="s">
        <v>615</v>
      </c>
      <c r="I11" t="s">
        <v>617</v>
      </c>
      <c r="J11" t="s">
        <v>559</v>
      </c>
      <c r="K11" t="s">
        <v>596</v>
      </c>
      <c r="L11" t="s">
        <v>613</v>
      </c>
      <c r="M11" t="s">
        <v>459</v>
      </c>
      <c r="N11" t="s">
        <v>459</v>
      </c>
      <c r="O11" t="s">
        <v>459</v>
      </c>
      <c r="P11" t="s">
        <v>459</v>
      </c>
      <c r="Q11" t="s">
        <v>459</v>
      </c>
      <c r="R11" t="s">
        <v>459</v>
      </c>
    </row>
    <row r="12" spans="2:33" x14ac:dyDescent="0.2">
      <c r="B12" t="s">
        <v>398</v>
      </c>
      <c r="C12" t="s">
        <v>575</v>
      </c>
      <c r="D12" t="s">
        <v>567</v>
      </c>
      <c r="E12" t="s">
        <v>584</v>
      </c>
      <c r="F12" t="s">
        <v>577</v>
      </c>
      <c r="G12" t="s">
        <v>641</v>
      </c>
      <c r="H12" t="s">
        <v>569</v>
      </c>
      <c r="I12" t="s">
        <v>586</v>
      </c>
      <c r="J12" t="s">
        <v>579</v>
      </c>
      <c r="K12" t="s">
        <v>643</v>
      </c>
      <c r="L12" t="s">
        <v>582</v>
      </c>
      <c r="M12" t="s">
        <v>588</v>
      </c>
      <c r="N12" t="s">
        <v>647</v>
      </c>
      <c r="O12" t="s">
        <v>459</v>
      </c>
      <c r="P12" t="s">
        <v>459</v>
      </c>
      <c r="Q12" t="s">
        <v>459</v>
      </c>
      <c r="R12" t="s">
        <v>459</v>
      </c>
    </row>
    <row r="13" spans="2:33" x14ac:dyDescent="0.2">
      <c r="B13" t="s">
        <v>377</v>
      </c>
      <c r="C13" t="s">
        <v>541</v>
      </c>
      <c r="D13" t="s">
        <v>520</v>
      </c>
      <c r="E13" t="s">
        <v>528</v>
      </c>
      <c r="F13" t="s">
        <v>530</v>
      </c>
      <c r="G13" t="s">
        <v>545</v>
      </c>
      <c r="H13" t="s">
        <v>630</v>
      </c>
      <c r="I13" t="s">
        <v>526</v>
      </c>
      <c r="J13" t="s">
        <v>532</v>
      </c>
      <c r="K13" t="s">
        <v>534</v>
      </c>
      <c r="L13" t="s">
        <v>537</v>
      </c>
      <c r="M13" t="s">
        <v>522</v>
      </c>
      <c r="N13" t="s">
        <v>543</v>
      </c>
      <c r="O13" t="s">
        <v>635</v>
      </c>
      <c r="P13" t="s">
        <v>637</v>
      </c>
      <c r="Q13" t="s">
        <v>651</v>
      </c>
      <c r="R13" t="s">
        <v>551</v>
      </c>
    </row>
    <row r="14" spans="2:33" x14ac:dyDescent="0.2">
      <c r="B14" t="s">
        <v>412</v>
      </c>
      <c r="C14" t="s">
        <v>594</v>
      </c>
      <c r="D14" t="s">
        <v>653</v>
      </c>
      <c r="E14" t="s">
        <v>609</v>
      </c>
      <c r="F14" t="s">
        <v>649</v>
      </c>
      <c r="G14" t="s">
        <v>601</v>
      </c>
      <c r="H14" t="s">
        <v>623</v>
      </c>
      <c r="I14" t="s">
        <v>599</v>
      </c>
      <c r="J14" t="s">
        <v>603</v>
      </c>
      <c r="K14" t="s">
        <v>611</v>
      </c>
      <c r="L14" t="s">
        <v>619</v>
      </c>
      <c r="M14" t="s">
        <v>632</v>
      </c>
      <c r="N14" t="s">
        <v>605</v>
      </c>
      <c r="O14" t="s">
        <v>459</v>
      </c>
      <c r="P14" t="s">
        <v>459</v>
      </c>
      <c r="Q14" t="s">
        <v>459</v>
      </c>
      <c r="R14" t="s">
        <v>459</v>
      </c>
    </row>
    <row r="15" spans="2:33" x14ac:dyDescent="0.2">
      <c r="B15" t="s">
        <v>388</v>
      </c>
      <c r="C15" t="s">
        <v>547</v>
      </c>
      <c r="D15" t="s">
        <v>555</v>
      </c>
      <c r="E15" t="s">
        <v>571</v>
      </c>
      <c r="F15" t="s">
        <v>561</v>
      </c>
      <c r="G15" t="s">
        <v>557</v>
      </c>
      <c r="H15" t="s">
        <v>621</v>
      </c>
      <c r="I15" t="s">
        <v>549</v>
      </c>
      <c r="J15" t="s">
        <v>459</v>
      </c>
      <c r="K15" t="s">
        <v>459</v>
      </c>
      <c r="L15" t="s">
        <v>459</v>
      </c>
      <c r="M15" t="s">
        <v>459</v>
      </c>
      <c r="N15" t="s">
        <v>459</v>
      </c>
      <c r="O15" t="s">
        <v>459</v>
      </c>
      <c r="P15" t="s">
        <v>459</v>
      </c>
      <c r="Q15" t="s">
        <v>459</v>
      </c>
      <c r="R15" t="s">
        <v>459</v>
      </c>
    </row>
    <row r="16" spans="2:33" x14ac:dyDescent="0.2">
      <c r="B16" t="s">
        <v>8</v>
      </c>
      <c r="C16" t="s">
        <v>459</v>
      </c>
      <c r="D16" t="s">
        <v>459</v>
      </c>
      <c r="E16" t="s">
        <v>459</v>
      </c>
      <c r="F16" t="s">
        <v>459</v>
      </c>
      <c r="G16" t="s">
        <v>459</v>
      </c>
      <c r="H16" t="s">
        <v>459</v>
      </c>
      <c r="I16" t="s">
        <v>459</v>
      </c>
      <c r="J16" t="s">
        <v>459</v>
      </c>
      <c r="K16" t="s">
        <v>459</v>
      </c>
      <c r="L16" t="s">
        <v>459</v>
      </c>
      <c r="M16" t="s">
        <v>459</v>
      </c>
      <c r="N16" t="s">
        <v>459</v>
      </c>
      <c r="O16" t="s">
        <v>459</v>
      </c>
      <c r="P16" t="s">
        <v>459</v>
      </c>
      <c r="Q16" t="s">
        <v>459</v>
      </c>
      <c r="R16" t="s">
        <v>459</v>
      </c>
    </row>
    <row r="19" spans="2:4" x14ac:dyDescent="0.2">
      <c r="B19" t="s">
        <v>981</v>
      </c>
      <c r="C19" t="s">
        <v>982</v>
      </c>
      <c r="D19" t="s">
        <v>983</v>
      </c>
    </row>
    <row r="20" spans="2:4" x14ac:dyDescent="0.2">
      <c r="B20" s="152">
        <v>42266</v>
      </c>
      <c r="C20">
        <v>24003</v>
      </c>
      <c r="D20">
        <v>9</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4" t="s">
        <v>987</v>
      </c>
      <c r="C2" s="325"/>
      <c r="D2" s="325"/>
      <c r="E2" s="325"/>
      <c r="F2" s="325"/>
      <c r="G2" s="326"/>
      <c r="H2" s="135" t="s">
        <v>5</v>
      </c>
      <c r="I2" s="136" t="s">
        <v>2</v>
      </c>
      <c r="J2" s="136" t="s">
        <v>234</v>
      </c>
      <c r="K2" s="134"/>
    </row>
    <row r="3" spans="1:11" ht="59.25" customHeight="1" x14ac:dyDescent="0.2">
      <c r="A3" s="130"/>
      <c r="B3" s="327"/>
      <c r="C3" s="328"/>
      <c r="D3" s="328"/>
      <c r="E3" s="328"/>
      <c r="F3" s="328"/>
      <c r="G3" s="328"/>
      <c r="H3" s="320">
        <f>SUM(H5,H10)</f>
        <v>369352</v>
      </c>
      <c r="I3" s="320">
        <f>SUM(I5,I10)</f>
        <v>81881</v>
      </c>
      <c r="J3" s="322">
        <f>ROUND(I3/H3,5)</f>
        <v>0.22169</v>
      </c>
      <c r="K3" s="134"/>
    </row>
    <row r="4" spans="1:11" ht="33" customHeight="1" thickBot="1" x14ac:dyDescent="0.25">
      <c r="A4" s="130"/>
      <c r="B4" s="329" t="str">
        <f>"As of: "&amp;TEXT(INDEX(MMWR_DATES[],1,1),"MMMM DD, YYYY")</f>
        <v>As of: September 19, 2015</v>
      </c>
      <c r="C4" s="330"/>
      <c r="D4" s="330"/>
      <c r="E4" s="330"/>
      <c r="F4" s="330"/>
      <c r="G4" s="331"/>
      <c r="H4" s="321"/>
      <c r="I4" s="321"/>
      <c r="J4" s="323"/>
      <c r="K4" s="137"/>
    </row>
    <row r="5" spans="1:11" ht="16.5" customHeight="1" thickBot="1" x14ac:dyDescent="0.25">
      <c r="A5" s="130"/>
      <c r="B5" s="318" t="s">
        <v>239</v>
      </c>
      <c r="C5" s="319"/>
      <c r="D5" s="319"/>
      <c r="E5" s="319"/>
      <c r="F5" s="319"/>
      <c r="G5" s="138" t="s">
        <v>250</v>
      </c>
      <c r="H5" s="160">
        <f>SUM(H6:H9)</f>
        <v>139447</v>
      </c>
      <c r="I5" s="160">
        <f>SUM(I6:I9)</f>
        <v>37650</v>
      </c>
      <c r="J5" s="161">
        <f t="shared" ref="J5:J15" si="0">IF(H5=0, 0,I5/H5)</f>
        <v>0.26999505188351131</v>
      </c>
      <c r="K5" s="134"/>
    </row>
    <row r="6" spans="1:11" ht="16.5" customHeight="1" x14ac:dyDescent="0.2">
      <c r="A6" s="130"/>
      <c r="B6" s="283" t="s">
        <v>16</v>
      </c>
      <c r="C6" s="284"/>
      <c r="D6" s="284"/>
      <c r="E6" s="284"/>
      <c r="F6" s="284"/>
      <c r="G6" s="139" t="s">
        <v>196</v>
      </c>
      <c r="H6" s="162">
        <f>IFERROR(VLOOKUP(MID($G6,4,3),MMWR_TRAD_AGG_NATIONAL[],2,0),0)</f>
        <v>40702</v>
      </c>
      <c r="I6" s="162">
        <f>IFERROR(VLOOKUP(MID($G6,4,3),MMWR_TRAD_AGG_NATIONAL[],3,0),0)</f>
        <v>12608</v>
      </c>
      <c r="J6" s="163">
        <f t="shared" si="0"/>
        <v>0.30976364797798633</v>
      </c>
      <c r="K6" s="134"/>
    </row>
    <row r="7" spans="1:11" ht="16.5" customHeight="1" x14ac:dyDescent="0.2">
      <c r="A7" s="130"/>
      <c r="B7" s="285" t="s">
        <v>0</v>
      </c>
      <c r="C7" s="286"/>
      <c r="D7" s="286"/>
      <c r="E7" s="286"/>
      <c r="F7" s="286"/>
      <c r="G7" s="140" t="s">
        <v>197</v>
      </c>
      <c r="H7" s="162">
        <f>IFERROR(VLOOKUP(MID($G7,4,3),MMWR_TRAD_AGG_NATIONAL[],2,0),0)</f>
        <v>86063</v>
      </c>
      <c r="I7" s="162">
        <f>IFERROR(VLOOKUP(MID($G7,4,3),MMWR_TRAD_AGG_NATIONAL[],3,0),0)</f>
        <v>23791</v>
      </c>
      <c r="J7" s="163">
        <f t="shared" si="0"/>
        <v>0.27643702868828651</v>
      </c>
      <c r="K7" s="134"/>
    </row>
    <row r="8" spans="1:11" ht="16.5" customHeight="1" x14ac:dyDescent="0.2">
      <c r="A8" s="130"/>
      <c r="B8" s="287" t="s">
        <v>240</v>
      </c>
      <c r="C8" s="288"/>
      <c r="D8" s="288"/>
      <c r="E8" s="288"/>
      <c r="F8" s="288"/>
      <c r="G8" s="141" t="s">
        <v>199</v>
      </c>
      <c r="H8" s="162">
        <f>IFERROR(VLOOKUP(MID($G8,4,3),MMWR_TRAD_AGG_NATIONAL[],2,0),0)</f>
        <v>6028</v>
      </c>
      <c r="I8" s="162">
        <f>IFERROR(VLOOKUP(MID($G8,4,3),MMWR_TRAD_AGG_NATIONAL[],3,0),0)</f>
        <v>255</v>
      </c>
      <c r="J8" s="163">
        <f t="shared" si="0"/>
        <v>4.2302587923025881E-2</v>
      </c>
      <c r="K8" s="134"/>
    </row>
    <row r="9" spans="1:11" ht="16.5" customHeight="1" thickBot="1" x14ac:dyDescent="0.25">
      <c r="A9" s="130"/>
      <c r="B9" s="292" t="s">
        <v>17</v>
      </c>
      <c r="C9" s="293"/>
      <c r="D9" s="293"/>
      <c r="E9" s="293"/>
      <c r="F9" s="293"/>
      <c r="G9" s="140" t="s">
        <v>201</v>
      </c>
      <c r="H9" s="162">
        <f>IFERROR(VLOOKUP(MID($G9,4,3),MMWR_TRAD_AGG_NATIONAL[],2,0),0)</f>
        <v>6654</v>
      </c>
      <c r="I9" s="162">
        <f>IFERROR(VLOOKUP(MID($G9,4,3),MMWR_TRAD_AGG_NATIONAL[],3,0),0)</f>
        <v>996</v>
      </c>
      <c r="J9" s="163">
        <f t="shared" si="0"/>
        <v>0.14968440036068531</v>
      </c>
      <c r="K9" s="134"/>
    </row>
    <row r="10" spans="1:11" ht="17.25" thickBot="1" x14ac:dyDescent="0.25">
      <c r="A10" s="130"/>
      <c r="B10" s="318" t="s">
        <v>1</v>
      </c>
      <c r="C10" s="319"/>
      <c r="D10" s="319"/>
      <c r="E10" s="319"/>
      <c r="F10" s="319"/>
      <c r="G10" s="138" t="s">
        <v>250</v>
      </c>
      <c r="H10" s="160">
        <f>SUM(H11:H18)</f>
        <v>229905</v>
      </c>
      <c r="I10" s="160">
        <f>SUM(I11:I18)</f>
        <v>44231</v>
      </c>
      <c r="J10" s="161">
        <f t="shared" si="0"/>
        <v>0.19238816032709163</v>
      </c>
      <c r="K10" s="134"/>
    </row>
    <row r="11" spans="1:11" ht="16.5" customHeight="1" x14ac:dyDescent="0.2">
      <c r="A11" s="130"/>
      <c r="B11" s="283" t="s">
        <v>205</v>
      </c>
      <c r="C11" s="284"/>
      <c r="D11" s="284"/>
      <c r="E11" s="284"/>
      <c r="F11" s="284"/>
      <c r="G11" s="142" t="s">
        <v>200</v>
      </c>
      <c r="H11" s="164">
        <f>IFERROR(VLOOKUP(MID($G11,4,3),MMWR_TRAD_AGG_NATIONAL[],2,0),0)</f>
        <v>6261</v>
      </c>
      <c r="I11" s="162">
        <f>IFERROR(VLOOKUP(MID($G11,4,3),MMWR_TRAD_AGG_NATIONAL[],3,0),0)</f>
        <v>224</v>
      </c>
      <c r="J11" s="163">
        <f t="shared" si="0"/>
        <v>3.5777032422935631E-2</v>
      </c>
      <c r="K11" s="134"/>
    </row>
    <row r="12" spans="1:11" ht="16.5" customHeight="1" x14ac:dyDescent="0.2">
      <c r="A12" s="130"/>
      <c r="B12" s="285" t="s">
        <v>18</v>
      </c>
      <c r="C12" s="286"/>
      <c r="D12" s="286"/>
      <c r="E12" s="286"/>
      <c r="F12" s="286"/>
      <c r="G12" s="143" t="s">
        <v>198</v>
      </c>
      <c r="H12" s="165">
        <f>IFERROR(VLOOKUP(MID($G12,4,3),MMWR_TRAD_AGG_NATIONAL[],2,0),0)</f>
        <v>207544</v>
      </c>
      <c r="I12" s="162">
        <f>IFERROR(VLOOKUP(MID($G12,4,3),MMWR_TRAD_AGG_NATIONAL[],3,0),0)</f>
        <v>42471</v>
      </c>
      <c r="J12" s="163">
        <f t="shared" si="0"/>
        <v>0.20463612535173265</v>
      </c>
      <c r="K12" s="134"/>
    </row>
    <row r="13" spans="1:11" ht="16.5" customHeight="1" x14ac:dyDescent="0.2">
      <c r="A13" s="130"/>
      <c r="B13" s="285" t="s">
        <v>14</v>
      </c>
      <c r="C13" s="286"/>
      <c r="D13" s="286"/>
      <c r="E13" s="286"/>
      <c r="F13" s="286"/>
      <c r="G13" s="143" t="s">
        <v>202</v>
      </c>
      <c r="H13" s="165">
        <f>IFERROR(VLOOKUP(MID($G13,4,3),MMWR_TRAD_AGG_NATIONAL[],2,0),0)</f>
        <v>15849</v>
      </c>
      <c r="I13" s="162">
        <f>IFERROR(VLOOKUP(MID($G13,4,3),MMWR_TRAD_AGG_NATIONAL[],3,0),0)</f>
        <v>1498</v>
      </c>
      <c r="J13" s="163">
        <f t="shared" si="0"/>
        <v>9.4517004227396048E-2</v>
      </c>
      <c r="K13" s="134"/>
    </row>
    <row r="14" spans="1:11" ht="16.5" customHeight="1" x14ac:dyDescent="0.2">
      <c r="A14" s="130"/>
      <c r="B14" s="287" t="s">
        <v>19</v>
      </c>
      <c r="C14" s="288"/>
      <c r="D14" s="288"/>
      <c r="E14" s="288"/>
      <c r="F14" s="288"/>
      <c r="G14" s="142" t="s">
        <v>203</v>
      </c>
      <c r="H14" s="165">
        <f>IFERROR(VLOOKUP(MID($G14,4,3),MMWR_TRAD_AGG_NATIONAL[],2,0),0)</f>
        <v>223</v>
      </c>
      <c r="I14" s="162">
        <f>IFERROR(VLOOKUP(MID($G14,4,3),MMWR_TRAD_AGG_NATIONAL[],3,0),0)</f>
        <v>30</v>
      </c>
      <c r="J14" s="163">
        <f t="shared" si="0"/>
        <v>0.13452914798206278</v>
      </c>
      <c r="K14" s="134"/>
    </row>
    <row r="15" spans="1:11" ht="16.5" customHeight="1" x14ac:dyDescent="0.2">
      <c r="A15" s="130"/>
      <c r="B15" s="287" t="s">
        <v>87</v>
      </c>
      <c r="C15" s="288"/>
      <c r="D15" s="288"/>
      <c r="E15" s="288"/>
      <c r="F15" s="288"/>
      <c r="G15" s="142" t="s">
        <v>206</v>
      </c>
      <c r="H15" s="165">
        <f>IFERROR(VLOOKUP(MID($G15,4,3),MMWR_TRAD_AGG_NATIONAL[],2,0),0)</f>
        <v>13</v>
      </c>
      <c r="I15" s="162">
        <f>IFERROR(VLOOKUP(MID($G15,4,3),MMWR_TRAD_AGG_NATIONAL[],3,0),0)</f>
        <v>5</v>
      </c>
      <c r="J15" s="163">
        <f t="shared" si="0"/>
        <v>0.38461538461538464</v>
      </c>
      <c r="K15" s="134"/>
    </row>
    <row r="16" spans="1:11" ht="15" x14ac:dyDescent="0.2">
      <c r="A16" s="130"/>
      <c r="B16" s="287" t="s">
        <v>88</v>
      </c>
      <c r="C16" s="288"/>
      <c r="D16" s="288"/>
      <c r="E16" s="288"/>
      <c r="F16" s="288"/>
      <c r="G16" s="142" t="s">
        <v>207</v>
      </c>
      <c r="H16" s="165">
        <f>IFERROR(VLOOKUP(MID($G16,4,3),MMWR_TRAD_AGG_NATIONAL[],2,0),0)</f>
        <v>2</v>
      </c>
      <c r="I16" s="162">
        <f>IFERROR(VLOOKUP(MID($G16,4,3),MMWR_TRAD_AGG_NATIONAL[],3,0),0)</f>
        <v>1</v>
      </c>
      <c r="J16" s="163">
        <f>IF(H16=0, 0,I16/H16)</f>
        <v>0.5</v>
      </c>
      <c r="K16" s="134"/>
    </row>
    <row r="17" spans="1:11" ht="16.5" customHeight="1" x14ac:dyDescent="0.2">
      <c r="A17" s="130"/>
      <c r="B17" s="287" t="s">
        <v>90</v>
      </c>
      <c r="C17" s="288"/>
      <c r="D17" s="288"/>
      <c r="E17" s="288"/>
      <c r="F17" s="288"/>
      <c r="G17" s="142" t="s">
        <v>208</v>
      </c>
      <c r="H17" s="165">
        <f>IFERROR(VLOOKUP(MID($G17,4,3),MMWR_TRAD_AGG_NATIONAL[],2,0),0)</f>
        <v>7</v>
      </c>
      <c r="I17" s="162">
        <f>IFERROR(VLOOKUP(MID($G17,4,3),MMWR_TRAD_AGG_NATIONAL[],3,0),0)</f>
        <v>2</v>
      </c>
      <c r="J17" s="163">
        <f>IF(H17=0, 0,I17/H17)</f>
        <v>0.2857142857142857</v>
      </c>
      <c r="K17" s="134"/>
    </row>
    <row r="18" spans="1:11" ht="16.5" customHeight="1" thickBot="1" x14ac:dyDescent="0.25">
      <c r="A18" s="130"/>
      <c r="B18" s="292" t="s">
        <v>89</v>
      </c>
      <c r="C18" s="293"/>
      <c r="D18" s="293"/>
      <c r="E18" s="293"/>
      <c r="F18" s="293"/>
      <c r="G18" s="142" t="s">
        <v>209</v>
      </c>
      <c r="H18" s="166">
        <f>IFERROR(VLOOKUP(MID($G18,4,3),MMWR_TRAD_AGG_NATIONAL[],2,0),0)</f>
        <v>6</v>
      </c>
      <c r="I18" s="162">
        <f>IFERROR(VLOOKUP(MID($G18,4,3),MMWR_TRAD_AGG_NATIONAL[],3,0),0)</f>
        <v>0</v>
      </c>
      <c r="J18" s="167">
        <f>IF(H18=0, 0,I18/H18)</f>
        <v>0</v>
      </c>
      <c r="K18" s="134"/>
    </row>
    <row r="19" spans="1:11" ht="16.5" customHeight="1" x14ac:dyDescent="0.2">
      <c r="A19" s="130"/>
      <c r="B19" s="297" t="s">
        <v>977</v>
      </c>
      <c r="C19" s="298"/>
      <c r="D19" s="298"/>
      <c r="E19" s="298"/>
      <c r="F19" s="298"/>
      <c r="G19" s="298"/>
      <c r="H19" s="298"/>
      <c r="I19" s="298"/>
      <c r="J19" s="299"/>
      <c r="K19" s="134"/>
    </row>
    <row r="20" spans="1:11" ht="36" customHeight="1" thickBot="1" x14ac:dyDescent="0.25">
      <c r="A20" s="130"/>
      <c r="B20" s="300"/>
      <c r="C20" s="301"/>
      <c r="D20" s="301"/>
      <c r="E20" s="301"/>
      <c r="F20" s="301"/>
      <c r="G20" s="301"/>
      <c r="H20" s="301"/>
      <c r="I20" s="301"/>
      <c r="J20" s="302"/>
      <c r="K20" s="134"/>
    </row>
    <row r="21" spans="1:11" ht="36" customHeight="1" x14ac:dyDescent="0.2">
      <c r="A21" s="130"/>
      <c r="B21" s="312" t="s">
        <v>968</v>
      </c>
      <c r="C21" s="313"/>
      <c r="D21" s="314"/>
      <c r="E21" s="312" t="s">
        <v>969</v>
      </c>
      <c r="F21" s="313"/>
      <c r="G21" s="314"/>
      <c r="H21" s="312" t="s">
        <v>970</v>
      </c>
      <c r="I21" s="313"/>
      <c r="J21" s="314"/>
      <c r="K21" s="134"/>
    </row>
    <row r="22" spans="1:11" ht="29.25" customHeight="1" thickBot="1" x14ac:dyDescent="0.25">
      <c r="A22" s="130"/>
      <c r="B22" s="315"/>
      <c r="C22" s="316"/>
      <c r="D22" s="317"/>
      <c r="E22" s="315"/>
      <c r="F22" s="316"/>
      <c r="G22" s="317"/>
      <c r="H22" s="315"/>
      <c r="I22" s="316"/>
      <c r="J22" s="317"/>
      <c r="K22" s="134"/>
    </row>
    <row r="23" spans="1:11" ht="36" customHeight="1" x14ac:dyDescent="0.35">
      <c r="A23" s="130"/>
      <c r="B23" s="312" t="s">
        <v>962</v>
      </c>
      <c r="C23" s="313"/>
      <c r="D23" s="314"/>
      <c r="E23" s="312" t="s">
        <v>963</v>
      </c>
      <c r="F23" s="313"/>
      <c r="G23" s="314"/>
      <c r="H23" s="144"/>
      <c r="I23" s="144"/>
      <c r="J23" s="144"/>
      <c r="K23" s="134"/>
    </row>
    <row r="24" spans="1:11" ht="29.25" customHeight="1" thickBot="1" x14ac:dyDescent="0.4">
      <c r="A24" s="130"/>
      <c r="B24" s="315"/>
      <c r="C24" s="316"/>
      <c r="D24" s="317"/>
      <c r="E24" s="315"/>
      <c r="F24" s="316"/>
      <c r="G24" s="317"/>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38"/>
      <c r="D26" s="338"/>
      <c r="E26" s="338"/>
      <c r="F26" s="339"/>
      <c r="G26" s="49" t="s">
        <v>28</v>
      </c>
      <c r="H26" s="49" t="s">
        <v>29</v>
      </c>
      <c r="I26" s="49" t="s">
        <v>30</v>
      </c>
      <c r="J26" s="149" t="s">
        <v>31</v>
      </c>
      <c r="K26" s="134"/>
    </row>
    <row r="27" spans="1:11" ht="16.5" x14ac:dyDescent="0.2">
      <c r="A27" s="130"/>
      <c r="B27" s="294" t="s">
        <v>971</v>
      </c>
      <c r="C27" s="295"/>
      <c r="D27" s="295"/>
      <c r="E27" s="295"/>
      <c r="F27" s="296"/>
      <c r="G27" s="258">
        <v>14006</v>
      </c>
      <c r="H27" s="258">
        <v>16530</v>
      </c>
      <c r="I27" s="258">
        <v>-2524</v>
      </c>
      <c r="J27" s="262">
        <v>-0.153</v>
      </c>
      <c r="K27" s="134"/>
    </row>
    <row r="28" spans="1:11" ht="15" x14ac:dyDescent="0.2">
      <c r="A28" s="130"/>
      <c r="B28" s="332" t="s">
        <v>24</v>
      </c>
      <c r="C28" s="333"/>
      <c r="D28" s="333"/>
      <c r="E28" s="333"/>
      <c r="F28" s="334"/>
      <c r="G28" s="259">
        <v>2840</v>
      </c>
      <c r="H28" s="259">
        <v>3183</v>
      </c>
      <c r="I28" s="259">
        <v>-343</v>
      </c>
      <c r="J28" s="255">
        <v>-0.108</v>
      </c>
      <c r="K28" s="134"/>
    </row>
    <row r="29" spans="1:11" ht="15" x14ac:dyDescent="0.2">
      <c r="A29" s="130"/>
      <c r="B29" s="303" t="s">
        <v>25</v>
      </c>
      <c r="C29" s="304"/>
      <c r="D29" s="304"/>
      <c r="E29" s="304"/>
      <c r="F29" s="305"/>
      <c r="G29" s="260">
        <v>1191</v>
      </c>
      <c r="H29" s="260">
        <v>1293</v>
      </c>
      <c r="I29" s="260">
        <v>-102</v>
      </c>
      <c r="J29" s="256">
        <v>-7.9000000000000001E-2</v>
      </c>
      <c r="K29" s="134"/>
    </row>
    <row r="30" spans="1:11" ht="15" x14ac:dyDescent="0.2">
      <c r="A30" s="130"/>
      <c r="B30" s="306" t="s">
        <v>26</v>
      </c>
      <c r="C30" s="307"/>
      <c r="D30" s="307"/>
      <c r="E30" s="307"/>
      <c r="F30" s="308"/>
      <c r="G30" s="260">
        <v>3232</v>
      </c>
      <c r="H30" s="260">
        <v>3601</v>
      </c>
      <c r="I30" s="260">
        <v>-369</v>
      </c>
      <c r="J30" s="256">
        <v>-0.10199999999999999</v>
      </c>
      <c r="K30" s="134"/>
    </row>
    <row r="31" spans="1:11" ht="15" x14ac:dyDescent="0.2">
      <c r="A31" s="130"/>
      <c r="B31" s="335" t="s">
        <v>27</v>
      </c>
      <c r="C31" s="336"/>
      <c r="D31" s="336"/>
      <c r="E31" s="336"/>
      <c r="F31" s="337"/>
      <c r="G31" s="261">
        <v>6743</v>
      </c>
      <c r="H31" s="261">
        <v>8453</v>
      </c>
      <c r="I31" s="261">
        <v>-1710</v>
      </c>
      <c r="J31" s="257">
        <v>-0.20200000000000001</v>
      </c>
      <c r="K31" s="134"/>
    </row>
    <row r="32" spans="1:11" ht="16.5" x14ac:dyDescent="0.2">
      <c r="A32" s="130"/>
      <c r="B32" s="294" t="s">
        <v>241</v>
      </c>
      <c r="C32" s="295"/>
      <c r="D32" s="295"/>
      <c r="E32" s="295"/>
      <c r="F32" s="296"/>
      <c r="G32" s="258">
        <v>170284</v>
      </c>
      <c r="H32" s="258">
        <v>191875</v>
      </c>
      <c r="I32" s="258">
        <v>-21591</v>
      </c>
      <c r="J32" s="262">
        <v>-0.113</v>
      </c>
      <c r="K32" s="134"/>
    </row>
    <row r="33" spans="1:11" ht="15" x14ac:dyDescent="0.2">
      <c r="A33" s="130"/>
      <c r="B33" s="332" t="s">
        <v>24</v>
      </c>
      <c r="C33" s="333"/>
      <c r="D33" s="333"/>
      <c r="E33" s="333"/>
      <c r="F33" s="334"/>
      <c r="G33" s="259">
        <v>38006</v>
      </c>
      <c r="H33" s="259">
        <v>39108</v>
      </c>
      <c r="I33" s="259">
        <v>-1102</v>
      </c>
      <c r="J33" s="255">
        <v>-2.8000000000000001E-2</v>
      </c>
      <c r="K33" s="134"/>
    </row>
    <row r="34" spans="1:11" ht="15" x14ac:dyDescent="0.2">
      <c r="A34" s="130"/>
      <c r="B34" s="303" t="s">
        <v>25</v>
      </c>
      <c r="C34" s="304"/>
      <c r="D34" s="304"/>
      <c r="E34" s="304"/>
      <c r="F34" s="305"/>
      <c r="G34" s="260">
        <v>11891</v>
      </c>
      <c r="H34" s="260">
        <v>13699</v>
      </c>
      <c r="I34" s="260">
        <v>-1808</v>
      </c>
      <c r="J34" s="256">
        <v>-0.13200000000000001</v>
      </c>
      <c r="K34" s="134"/>
    </row>
    <row r="35" spans="1:11" ht="15" x14ac:dyDescent="0.2">
      <c r="A35" s="130"/>
      <c r="B35" s="306" t="s">
        <v>26</v>
      </c>
      <c r="C35" s="307"/>
      <c r="D35" s="307"/>
      <c r="E35" s="307"/>
      <c r="F35" s="308"/>
      <c r="G35" s="260">
        <v>57788</v>
      </c>
      <c r="H35" s="260">
        <v>61325</v>
      </c>
      <c r="I35" s="260">
        <v>-3537</v>
      </c>
      <c r="J35" s="256">
        <v>-5.8000000000000003E-2</v>
      </c>
      <c r="K35" s="134"/>
    </row>
    <row r="36" spans="1:11" ht="15.75" thickBot="1" x14ac:dyDescent="0.25">
      <c r="A36" s="130"/>
      <c r="B36" s="309" t="s">
        <v>27</v>
      </c>
      <c r="C36" s="310"/>
      <c r="D36" s="310"/>
      <c r="E36" s="310"/>
      <c r="F36" s="311"/>
      <c r="G36" s="260">
        <v>62599</v>
      </c>
      <c r="H36" s="260">
        <v>77743</v>
      </c>
      <c r="I36" s="260">
        <v>-15144</v>
      </c>
      <c r="J36" s="256">
        <v>-0.19500000000000001</v>
      </c>
      <c r="K36" s="134"/>
    </row>
    <row r="37" spans="1:11" ht="15.75" customHeight="1" thickBot="1" x14ac:dyDescent="0.25">
      <c r="A37" s="130"/>
      <c r="B37" s="289" t="s">
        <v>976</v>
      </c>
      <c r="C37" s="290"/>
      <c r="D37" s="290"/>
      <c r="E37" s="290"/>
      <c r="F37" s="290"/>
      <c r="G37" s="290"/>
      <c r="H37" s="290"/>
      <c r="I37" s="290"/>
      <c r="J37" s="291"/>
      <c r="K37" s="134"/>
    </row>
    <row r="38" spans="1:11" ht="15" customHeight="1" x14ac:dyDescent="0.2">
      <c r="A38" s="150"/>
      <c r="B38" s="151"/>
      <c r="C38" s="151"/>
      <c r="D38" s="151"/>
      <c r="E38" s="151"/>
      <c r="F38" s="151"/>
      <c r="G38" s="151"/>
      <c r="H38" s="151"/>
      <c r="I38" s="151"/>
      <c r="J38" s="151"/>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80" zoomScaleNormal="8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49" t="s">
        <v>302</v>
      </c>
      <c r="D2" s="350"/>
      <c r="E2" s="350"/>
      <c r="F2" s="350"/>
      <c r="G2" s="350"/>
      <c r="H2" s="350"/>
      <c r="I2" s="350"/>
      <c r="J2" s="350"/>
      <c r="K2" s="351"/>
      <c r="L2" s="349" t="s">
        <v>307</v>
      </c>
      <c r="M2" s="350"/>
      <c r="N2" s="350"/>
      <c r="O2" s="351"/>
      <c r="P2" s="28"/>
    </row>
    <row r="3" spans="1:16" ht="24" customHeight="1" thickBot="1" x14ac:dyDescent="0.4">
      <c r="A3" s="25"/>
      <c r="B3" s="29"/>
      <c r="C3" s="352"/>
      <c r="D3" s="353"/>
      <c r="E3" s="353"/>
      <c r="F3" s="353"/>
      <c r="G3" s="353"/>
      <c r="H3" s="353"/>
      <c r="I3" s="353"/>
      <c r="J3" s="353"/>
      <c r="K3" s="354"/>
      <c r="L3" s="352" t="str">
        <f>Transformation!B4</f>
        <v>As of: September 19, 2015</v>
      </c>
      <c r="M3" s="353"/>
      <c r="N3" s="353"/>
      <c r="O3" s="354"/>
      <c r="P3" s="28"/>
    </row>
    <row r="4" spans="1:16" ht="51.75" customHeight="1" thickBot="1" x14ac:dyDescent="0.35">
      <c r="A4" s="30"/>
      <c r="B4" s="248" t="s">
        <v>463</v>
      </c>
      <c r="C4" s="355" t="s">
        <v>311</v>
      </c>
      <c r="D4" s="356"/>
      <c r="E4" s="356"/>
      <c r="F4" s="356"/>
      <c r="G4" s="356"/>
      <c r="H4" s="356"/>
      <c r="I4" s="356"/>
      <c r="J4" s="356"/>
      <c r="K4" s="356"/>
      <c r="L4" s="356"/>
      <c r="M4" s="356"/>
      <c r="N4" s="356"/>
      <c r="O4" s="357"/>
      <c r="P4" s="28"/>
    </row>
    <row r="5" spans="1:16" ht="27" customHeight="1" thickBot="1" x14ac:dyDescent="0.25">
      <c r="A5" s="30"/>
      <c r="B5" s="26"/>
      <c r="C5" s="358" t="s">
        <v>1050</v>
      </c>
      <c r="D5" s="359"/>
      <c r="E5" s="359"/>
      <c r="F5" s="359"/>
      <c r="G5" s="359"/>
      <c r="H5" s="359"/>
      <c r="I5" s="359"/>
      <c r="J5" s="359"/>
      <c r="K5" s="359"/>
      <c r="L5" s="359"/>
      <c r="M5" s="359"/>
      <c r="N5" s="359"/>
      <c r="O5" s="360"/>
      <c r="P5" s="28"/>
    </row>
    <row r="6" spans="1:16" ht="55.5" customHeight="1" x14ac:dyDescent="0.2">
      <c r="A6" s="30"/>
      <c r="B6" s="31"/>
      <c r="C6" s="32" t="s">
        <v>196</v>
      </c>
      <c r="D6" s="361" t="s">
        <v>16</v>
      </c>
      <c r="E6" s="362"/>
      <c r="F6" s="33" t="s">
        <v>199</v>
      </c>
      <c r="G6" s="361" t="s">
        <v>204</v>
      </c>
      <c r="H6" s="363"/>
      <c r="I6" s="33" t="s">
        <v>202</v>
      </c>
      <c r="J6" s="367" t="s">
        <v>14</v>
      </c>
      <c r="K6" s="368"/>
      <c r="L6" s="33" t="s">
        <v>207</v>
      </c>
      <c r="M6" s="364" t="s">
        <v>88</v>
      </c>
      <c r="N6" s="365"/>
      <c r="O6" s="366"/>
      <c r="P6" s="28"/>
    </row>
    <row r="7" spans="1:16" ht="51.75" customHeight="1" x14ac:dyDescent="0.2">
      <c r="A7" s="30"/>
      <c r="B7" s="34"/>
      <c r="C7" s="35" t="s">
        <v>197</v>
      </c>
      <c r="D7" s="379" t="s">
        <v>0</v>
      </c>
      <c r="E7" s="380"/>
      <c r="F7" s="36" t="s">
        <v>200</v>
      </c>
      <c r="G7" s="381" t="s">
        <v>205</v>
      </c>
      <c r="H7" s="381"/>
      <c r="I7" s="36" t="s">
        <v>203</v>
      </c>
      <c r="J7" s="369" t="s">
        <v>19</v>
      </c>
      <c r="K7" s="370"/>
      <c r="L7" s="36" t="s">
        <v>208</v>
      </c>
      <c r="M7" s="373" t="s">
        <v>90</v>
      </c>
      <c r="N7" s="374"/>
      <c r="O7" s="375"/>
      <c r="P7" s="28"/>
    </row>
    <row r="8" spans="1:16" ht="51.75" customHeight="1" thickBot="1" x14ac:dyDescent="0.25">
      <c r="A8" s="25"/>
      <c r="B8" s="28"/>
      <c r="C8" s="37" t="s">
        <v>198</v>
      </c>
      <c r="D8" s="382" t="s">
        <v>18</v>
      </c>
      <c r="E8" s="383"/>
      <c r="F8" s="38" t="s">
        <v>201</v>
      </c>
      <c r="G8" s="384" t="s">
        <v>17</v>
      </c>
      <c r="H8" s="384"/>
      <c r="I8" s="38" t="s">
        <v>206</v>
      </c>
      <c r="J8" s="371" t="s">
        <v>87</v>
      </c>
      <c r="K8" s="372"/>
      <c r="L8" s="38" t="s">
        <v>209</v>
      </c>
      <c r="M8" s="346" t="s">
        <v>89</v>
      </c>
      <c r="N8" s="347"/>
      <c r="O8" s="348"/>
      <c r="P8" s="28"/>
    </row>
    <row r="9" spans="1:16" x14ac:dyDescent="0.2">
      <c r="A9" s="28"/>
      <c r="B9" s="28"/>
      <c r="C9" s="39" t="s">
        <v>712</v>
      </c>
      <c r="D9" s="39" t="s">
        <v>714</v>
      </c>
      <c r="E9" s="39" t="s">
        <v>713</v>
      </c>
      <c r="F9" s="39" t="s">
        <v>716</v>
      </c>
      <c r="G9" s="39" t="s">
        <v>715</v>
      </c>
      <c r="H9" s="39" t="s">
        <v>718</v>
      </c>
      <c r="I9" s="39" t="s">
        <v>717</v>
      </c>
      <c r="J9" s="39" t="s">
        <v>928</v>
      </c>
      <c r="K9" s="39" t="s">
        <v>929</v>
      </c>
      <c r="L9" s="39" t="s">
        <v>931</v>
      </c>
      <c r="M9" s="39" t="s">
        <v>1051</v>
      </c>
      <c r="N9" s="39" t="s">
        <v>932</v>
      </c>
      <c r="O9" s="39" t="s">
        <v>933</v>
      </c>
      <c r="P9" s="28"/>
    </row>
    <row r="10" spans="1:16" ht="15.75" customHeight="1" x14ac:dyDescent="0.2">
      <c r="A10" s="25"/>
      <c r="B10" s="26"/>
      <c r="C10" s="385" t="s">
        <v>300</v>
      </c>
      <c r="D10" s="385"/>
      <c r="E10" s="385"/>
      <c r="F10" s="385"/>
      <c r="G10" s="385"/>
      <c r="H10" s="385"/>
      <c r="I10" s="385"/>
      <c r="J10" s="385"/>
      <c r="K10" s="385"/>
      <c r="L10" s="385"/>
      <c r="M10" s="385"/>
      <c r="N10" s="385"/>
      <c r="O10" s="385"/>
      <c r="P10" s="28"/>
    </row>
    <row r="11" spans="1:16" ht="32.25" customHeight="1" x14ac:dyDescent="0.2">
      <c r="A11" s="25"/>
      <c r="B11" s="26"/>
      <c r="C11" s="340" t="s">
        <v>232</v>
      </c>
      <c r="D11" s="340" t="s">
        <v>140</v>
      </c>
      <c r="E11" s="340" t="s">
        <v>233</v>
      </c>
      <c r="F11" s="340" t="s">
        <v>195</v>
      </c>
      <c r="G11" s="340" t="s">
        <v>210</v>
      </c>
      <c r="H11" s="340" t="s">
        <v>212</v>
      </c>
      <c r="I11" s="340" t="s">
        <v>213</v>
      </c>
      <c r="J11" s="344" t="s">
        <v>1062</v>
      </c>
      <c r="K11" s="344" t="s">
        <v>1063</v>
      </c>
      <c r="L11" s="342" t="s">
        <v>1060</v>
      </c>
      <c r="M11" s="343"/>
      <c r="N11" s="342" t="s">
        <v>1061</v>
      </c>
      <c r="O11" s="343"/>
      <c r="P11" s="28"/>
    </row>
    <row r="12" spans="1:16" ht="32.25" customHeight="1" x14ac:dyDescent="0.2">
      <c r="A12" s="25"/>
      <c r="B12" s="26"/>
      <c r="C12" s="341"/>
      <c r="D12" s="341"/>
      <c r="E12" s="341"/>
      <c r="F12" s="341"/>
      <c r="G12" s="341"/>
      <c r="H12" s="341"/>
      <c r="I12" s="341"/>
      <c r="J12" s="345"/>
      <c r="K12" s="345"/>
      <c r="L12" s="40" t="s">
        <v>934</v>
      </c>
      <c r="M12" s="40" t="s">
        <v>939</v>
      </c>
      <c r="N12" s="40" t="s">
        <v>934</v>
      </c>
      <c r="O12" s="40" t="s">
        <v>939</v>
      </c>
      <c r="P12" s="28"/>
    </row>
    <row r="13" spans="1:16" x14ac:dyDescent="0.2">
      <c r="A13" s="25"/>
      <c r="B13" s="41" t="s">
        <v>1058</v>
      </c>
      <c r="C13" s="155">
        <f>IF($B13=" ","",IFERROR(INDEX(MMWR_RATING_RO_ROLLUP[],MATCH($B13,MMWR_RATING_RO_ROLLUP[MMWR_RATING_RO_ROLLUP],0),MATCH(C$9,MMWR_RATING_RO_ROLLUP[#Headers],0)),"ERROR"))</f>
        <v>369352</v>
      </c>
      <c r="D13" s="156">
        <f>IF($B13=" ","",IFERROR(INDEX(MMWR_RATING_RO_ROLLUP[],MATCH($B13,MMWR_RATING_RO_ROLLUP[MMWR_RATING_RO_ROLLUP],0),MATCH(D$9,MMWR_RATING_RO_ROLLUP[#Headers],0)),"ERROR"))</f>
        <v>96.589749074099998</v>
      </c>
      <c r="E13" s="157">
        <f>IF($B13=" ","",IFERROR(INDEX(MMWR_RATING_RO_ROLLUP[],MATCH($B13,MMWR_RATING_RO_ROLLUP[MMWR_RATING_RO_ROLLUP],0),MATCH(E$9,MMWR_RATING_RO_ROLLUP[#Headers],0))/$C13,"ERROR"))</f>
        <v>0.22168825402326237</v>
      </c>
      <c r="F13" s="155">
        <f>IF($B13=" ","",IFERROR(INDEX(MMWR_RATING_RO_ROLLUP[],MATCH($B13,MMWR_RATING_RO_ROLLUP[MMWR_RATING_RO_ROLLUP],0),MATCH(F$9,MMWR_RATING_RO_ROLLUP[#Headers],0)),"ERROR"))</f>
        <v>62538</v>
      </c>
      <c r="G13" s="155">
        <f>IF($B13=" ","",IFERROR(INDEX(MMWR_RATING_RO_ROLLUP[],MATCH($B13,MMWR_RATING_RO_ROLLUP[MMWR_RATING_RO_ROLLUP],0),MATCH(G$9,MMWR_RATING_RO_ROLLUP[#Headers],0)),"ERROR"))</f>
        <v>1343332</v>
      </c>
      <c r="H13" s="156">
        <f>IF($B13=" ","",IFERROR(INDEX(MMWR_RATING_RO_ROLLUP[],MATCH($B13,MMWR_RATING_RO_ROLLUP[MMWR_RATING_RO_ROLLUP],0),MATCH(H$9,MMWR_RATING_RO_ROLLUP[#Headers],0)),"ERROR"))</f>
        <v>148.83354120690001</v>
      </c>
      <c r="I13" s="156">
        <f>IF($B13=" ","",IFERROR(INDEX(MMWR_RATING_RO_ROLLUP[],MATCH($B13,MMWR_RATING_RO_ROLLUP[MMWR_RATING_RO_ROLLUP],0),MATCH(I$9,MMWR_RATING_RO_ROLLUP[#Headers],0)),"ERROR"))</f>
        <v>170.3015620859</v>
      </c>
      <c r="J13" s="42"/>
      <c r="K13" s="42"/>
      <c r="L13" s="42"/>
      <c r="M13" s="42"/>
      <c r="N13" s="42"/>
      <c r="O13" s="42"/>
      <c r="P13" s="28"/>
    </row>
    <row r="14" spans="1:16" x14ac:dyDescent="0.2">
      <c r="A14" s="25"/>
      <c r="B14" s="377" t="s">
        <v>740</v>
      </c>
      <c r="C14" s="378"/>
      <c r="D14" s="378"/>
      <c r="E14" s="378"/>
      <c r="F14" s="378"/>
      <c r="G14" s="378"/>
      <c r="H14" s="378"/>
      <c r="I14" s="378"/>
      <c r="J14" s="378"/>
      <c r="K14" s="378"/>
      <c r="L14" s="378"/>
      <c r="M14" s="378"/>
      <c r="N14" s="378"/>
      <c r="O14" s="378"/>
      <c r="P14" s="28"/>
    </row>
    <row r="15" spans="1:16" x14ac:dyDescent="0.2">
      <c r="A15" s="25"/>
      <c r="B15" s="41" t="s">
        <v>736</v>
      </c>
      <c r="C15" s="155">
        <f>IF($B15=" ","",IFERROR(INDEX(MMWR_RATING_RO_ROLLUP[],MATCH($B15,MMWR_RATING_RO_ROLLUP[MMWR_RATING_RO_ROLLUP],0),MATCH(C$9,MMWR_RATING_RO_ROLLUP[#Headers],0)),"ERROR"))</f>
        <v>329325</v>
      </c>
      <c r="D15" s="156">
        <f>IF($B15=" ","",IFERROR(INDEX(MMWR_RATING_RO_ROLLUP[],MATCH($B15,MMWR_RATING_RO_ROLLUP[MMWR_RATING_RO_ROLLUP],0),MATCH(D$9,MMWR_RATING_RO_ROLLUP[#Headers],0)),"ERROR"))</f>
        <v>100.5989038184</v>
      </c>
      <c r="E15" s="157">
        <f>IF($B15=" ","",IFERROR(INDEX(MMWR_RATING_RO_ROLLUP[],MATCH($B15,MMWR_RATING_RO_ROLLUP[MMWR_RATING_RO_ROLLUP],0),MATCH(E$9,MMWR_RATING_RO_ROLLUP[#Headers],0))/$C15,"ERROR"))</f>
        <v>0.23714871327715784</v>
      </c>
      <c r="F15" s="155">
        <f>IF($B15=" ","",IFERROR(INDEX(MMWR_RATING_RO_ROLLUP[],MATCH($B15,MMWR_RATING_RO_ROLLUP[MMWR_RATING_RO_ROLLUP],0),MATCH(F$9,MMWR_RATING_RO_ROLLUP[#Headers],0)),"ERROR"))</f>
        <v>52639</v>
      </c>
      <c r="G15" s="155">
        <f>IF($B15=" ","",IFERROR(INDEX(MMWR_RATING_RO_ROLLUP[],MATCH($B15,MMWR_RATING_RO_ROLLUP[MMWR_RATING_RO_ROLLUP],0),MATCH(G$9,MMWR_RATING_RO_ROLLUP[#Headers],0)),"ERROR"))</f>
        <v>1145411</v>
      </c>
      <c r="H15" s="156">
        <f>IF($B15=" ","",IFERROR(INDEX(MMWR_RATING_RO_ROLLUP[],MATCH($B15,MMWR_RATING_RO_ROLLUP[MMWR_RATING_RO_ROLLUP],0),MATCH(H$9,MMWR_RATING_RO_ROLLUP[#Headers],0)),"ERROR"))</f>
        <v>161.98267444289999</v>
      </c>
      <c r="I15" s="156">
        <f>IF($B15=" ","",IFERROR(INDEX(MMWR_RATING_RO_ROLLUP[],MATCH($B15,MMWR_RATING_RO_ROLLUP[MMWR_RATING_RO_ROLLUP],0),MATCH(I$9,MMWR_RATING_RO_ROLLUP[#Headers],0)),"ERROR"))</f>
        <v>185.25808989090001</v>
      </c>
      <c r="J15" s="158">
        <f>VLOOKUP($B$13,MMWR_ACCURACY_RO[],MATCH(J$9,MMWR_ACCURACY_RO[#Headers],0),0)</f>
        <v>0.95953654011001632</v>
      </c>
      <c r="K15" s="158">
        <f>VLOOKUP($B$13,MMWR_ACCURACY_RO[],MATCH(K$9,MMWR_ACCURACY_RO[#Headers],0),0)</f>
        <v>0.89012810386967411</v>
      </c>
      <c r="L15" s="158">
        <f>VLOOKUP($B$13,MMWR_ACCURACY_RO[],MATCH(L$9,MMWR_ACCURACY_RO[#Headers],0),0)</f>
        <v>0.9069563648847605</v>
      </c>
      <c r="M15" s="158">
        <f>VLOOKUP($B$13,MMWR_ACCURACY_RO[],MATCH(M$9,MMWR_ACCURACY_RO[#Headers],0),0)</f>
        <v>7.1656685642629012E-3</v>
      </c>
      <c r="N15" s="158">
        <f>VLOOKUP($B$13,MMWR_ACCURACY_RO[],MATCH(N$9,MMWR_ACCURACY_RO[#Headers],0),0)</f>
        <v>0.91196585287708043</v>
      </c>
      <c r="O15" s="158">
        <f>VLOOKUP($B$13,MMWR_ACCURACY_RO[],MATCH(O$9,MMWR_ACCURACY_RO[#Headers],0),0)</f>
        <v>8.6070797000832051E-3</v>
      </c>
      <c r="P15" s="28"/>
    </row>
    <row r="16" spans="1:16" x14ac:dyDescent="0.2">
      <c r="A16" s="25"/>
      <c r="B16" s="249" t="s">
        <v>377</v>
      </c>
      <c r="C16" s="155">
        <f>IF($B16=" ","",IFERROR(INDEX(MMWR_RATING_RO_ROLLUP[],MATCH($B16,MMWR_RATING_RO_ROLLUP[MMWR_RATING_RO_ROLLUP],0),MATCH(C$9,MMWR_RATING_RO_ROLLUP[#Headers],0)),"ERROR"))</f>
        <v>71594</v>
      </c>
      <c r="D16" s="156">
        <f>IF($B16=" ","",IFERROR(INDEX(MMWR_RATING_RO_ROLLUP[],MATCH($B16,MMWR_RATING_RO_ROLLUP[MMWR_RATING_RO_ROLLUP],0),MATCH(D$9,MMWR_RATING_RO_ROLLUP[#Headers],0)),"ERROR"))</f>
        <v>99.822834315700007</v>
      </c>
      <c r="E16" s="157">
        <f>IF($B16=" ","",IFERROR(INDEX(MMWR_RATING_RO_ROLLUP[],MATCH($B16,MMWR_RATING_RO_ROLLUP[MMWR_RATING_RO_ROLLUP],0),MATCH(E$9,MMWR_RATING_RO_ROLLUP[#Headers],0))/$C16,"ERROR"))</f>
        <v>0.23306422325893231</v>
      </c>
      <c r="F16" s="155">
        <f>IF($B16=" ","",IFERROR(INDEX(MMWR_RATING_RO_ROLLUP[],MATCH($B16,MMWR_RATING_RO_ROLLUP[MMWR_RATING_RO_ROLLUP],0),MATCH(F$9,MMWR_RATING_RO_ROLLUP[#Headers],0)),"ERROR"))</f>
        <v>10915</v>
      </c>
      <c r="G16" s="155">
        <f>IF($B16=" ","",IFERROR(INDEX(MMWR_RATING_RO_ROLLUP[],MATCH($B16,MMWR_RATING_RO_ROLLUP[MMWR_RATING_RO_ROLLUP],0),MATCH(G$9,MMWR_RATING_RO_ROLLUP[#Headers],0)),"ERROR"))</f>
        <v>249055</v>
      </c>
      <c r="H16" s="156">
        <f>IF($B16=" ","",IFERROR(INDEX(MMWR_RATING_RO_ROLLUP[],MATCH($B16,MMWR_RATING_RO_ROLLUP[MMWR_RATING_RO_ROLLUP],0),MATCH(H$9,MMWR_RATING_RO_ROLLUP[#Headers],0)),"ERROR"))</f>
        <v>162.49564819060001</v>
      </c>
      <c r="I16" s="156">
        <f>IF($B16=" ","",IFERROR(INDEX(MMWR_RATING_RO_ROLLUP[],MATCH($B16,MMWR_RATING_RO_ROLLUP[MMWR_RATING_RO_ROLLUP],0),MATCH(I$9,MMWR_RATING_RO_ROLLUP[#Headers],0)),"ERROR"))</f>
        <v>187.59736202849999</v>
      </c>
      <c r="J16" s="159">
        <f>IF($B16=" ","",IFERROR(VLOOKUP($B16,MMWR_ACCURACY_RO[],MATCH(J$9,MMWR_ACCURACY_RO[#Headers],0),0),"ERROR"))</f>
        <v>0.95566149543916568</v>
      </c>
      <c r="K16" s="159">
        <f>IF($B16=" ","",IFERROR(VLOOKUP($B16,MMWR_ACCURACY_RO[],MATCH(K$9,MMWR_ACCURACY_RO[#Headers],0),0),"ERROR"))</f>
        <v>0.87261636065690129</v>
      </c>
      <c r="L16" s="159">
        <f>IF($B16=" ","",IFERROR(VLOOKUP($B16,MMWR_ACCURACY_RO[],MATCH(L$9,MMWR_ACCURACY_RO[#Headers],0),0),"ERROR"))</f>
        <v>0.87970467698610177</v>
      </c>
      <c r="M16" s="159">
        <f>IF($B16=" ","",IFERROR(VLOOKUP($B16,MMWR_ACCURACY_RO[],MATCH(M$9,MMWR_ACCURACY_RO[#Headers],0),0),"ERROR"))</f>
        <v>1.5909832645357155E-2</v>
      </c>
      <c r="N16" s="159">
        <f>IF($B16=" ","",IFERROR(VLOOKUP($B16,MMWR_ACCURACY_RO[],MATCH(N$9,MMWR_ACCURACY_RO[#Headers],0),0),"ERROR"))</f>
        <v>0.90187379843879556</v>
      </c>
      <c r="O16" s="159">
        <f>IF($B16=" ","",IFERROR(VLOOKUP($B16,MMWR_ACCURACY_RO[],MATCH(O$9,MMWR_ACCURACY_RO[#Headers],0),0),"ERROR"))</f>
        <v>1.4862588137023919E-2</v>
      </c>
      <c r="P16" s="28"/>
    </row>
    <row r="17" spans="1:16" x14ac:dyDescent="0.2">
      <c r="A17" s="25"/>
      <c r="B17" s="8" t="str">
        <f>VLOOKUP($B$16,DISTRICT_RO[],2,0)</f>
        <v>Baltimore VSC</v>
      </c>
      <c r="C17" s="155">
        <f>IF($B17=" ","",IFERROR(INDEX(MMWR_RATING_RO_ROLLUP[],MATCH($B17,MMWR_RATING_RO_ROLLUP[MMWR_RATING_RO_ROLLUP],0),MATCH(C$9,MMWR_RATING_RO_ROLLUP[#Headers],0)),"ERROR"))</f>
        <v>2714</v>
      </c>
      <c r="D17" s="156">
        <f>IF($B17=" ","",IFERROR(INDEX(MMWR_RATING_RO_ROLLUP[],MATCH($B17,MMWR_RATING_RO_ROLLUP[MMWR_RATING_RO_ROLLUP],0),MATCH(D$9,MMWR_RATING_RO_ROLLUP[#Headers],0)),"ERROR"))</f>
        <v>85.7184966839</v>
      </c>
      <c r="E17" s="157">
        <f>IF($B17=" ","",IFERROR(INDEX(MMWR_RATING_RO_ROLLUP[],MATCH($B17,MMWR_RATING_RO_ROLLUP[MMWR_RATING_RO_ROLLUP],0),MATCH(E$9,MMWR_RATING_RO_ROLLUP[#Headers],0))/$C17,"ERROR"))</f>
        <v>0.14738393515106854</v>
      </c>
      <c r="F17" s="155">
        <f>IF($B17=" ","",IFERROR(INDEX(MMWR_RATING_RO_ROLLUP[],MATCH($B17,MMWR_RATING_RO_ROLLUP[MMWR_RATING_RO_ROLLUP],0),MATCH(F$9,MMWR_RATING_RO_ROLLUP[#Headers],0)),"ERROR"))</f>
        <v>387</v>
      </c>
      <c r="G17" s="155">
        <f>IF($B17=" ","",IFERROR(INDEX(MMWR_RATING_RO_ROLLUP[],MATCH($B17,MMWR_RATING_RO_ROLLUP[MMWR_RATING_RO_ROLLUP],0),MATCH(G$9,MMWR_RATING_RO_ROLLUP[#Headers],0)),"ERROR"))</f>
        <v>6262</v>
      </c>
      <c r="H17" s="156">
        <f>IF($B17=" ","",IFERROR(INDEX(MMWR_RATING_RO_ROLLUP[],MATCH($B17,MMWR_RATING_RO_ROLLUP[MMWR_RATING_RO_ROLLUP],0),MATCH(H$9,MMWR_RATING_RO_ROLLUP[#Headers],0)),"ERROR"))</f>
        <v>187.7596899225</v>
      </c>
      <c r="I17" s="156">
        <f>IF($B17=" ","",IFERROR(INDEX(MMWR_RATING_RO_ROLLUP[],MATCH($B17,MMWR_RATING_RO_ROLLUP[MMWR_RATING_RO_ROLLUP],0),MATCH(I$9,MMWR_RATING_RO_ROLLUP[#Headers],0)),"ERROR"))</f>
        <v>232.48115618009999</v>
      </c>
      <c r="J17" s="159">
        <f>IF($B17=" ","",IFERROR(VLOOKUP($B17,MMWR_ACCURACY_RO[],MATCH(J$9,MMWR_ACCURACY_RO[#Headers],0),0),"ERROR"))</f>
        <v>0.94848971413170813</v>
      </c>
      <c r="K17" s="159">
        <f>IF($B17=" ","",IFERROR(VLOOKUP($B17,MMWR_ACCURACY_RO[],MATCH(K$9,MMWR_ACCURACY_RO[#Headers],0),0),"ERROR"))</f>
        <v>0.81051553268534404</v>
      </c>
      <c r="L17" s="159">
        <f>IF($B17=" ","",IFERROR(VLOOKUP($B17,MMWR_ACCURACY_RO[],MATCH(L$9,MMWR_ACCURACY_RO[#Headers],0),0),"ERROR"))</f>
        <v>0.83324962708019168</v>
      </c>
      <c r="M17" s="159">
        <f>IF($B17=" ","",IFERROR(VLOOKUP($B17,MMWR_ACCURACY_RO[],MATCH(M$9,MMWR_ACCURACY_RO[#Headers],0),0),"ERROR"))</f>
        <v>4.8290081345219706E-2</v>
      </c>
      <c r="N17" s="159">
        <f>IF($B17=" ","",IFERROR(VLOOKUP($B17,MMWR_ACCURACY_RO[],MATCH(N$9,MMWR_ACCURACY_RO[#Headers],0),0),"ERROR"))</f>
        <v>0.84338225152880331</v>
      </c>
      <c r="O17" s="159">
        <f>IF($B17=" ","",IFERROR(VLOOKUP($B17,MMWR_ACCURACY_RO[],MATCH(O$9,MMWR_ACCURACY_RO[#Headers],0),0),"ERROR"))</f>
        <v>5.365842347724744E-2</v>
      </c>
      <c r="P17" s="28"/>
    </row>
    <row r="18" spans="1:16" x14ac:dyDescent="0.2">
      <c r="A18" s="25"/>
      <c r="B18" s="8" t="str">
        <f>VLOOKUP($B$16,DISTRICT_RO[],3,0)</f>
        <v>Boston VSC</v>
      </c>
      <c r="C18" s="155">
        <f>IF($B18=" ","",IFERROR(INDEX(MMWR_RATING_RO_ROLLUP[],MATCH($B18,MMWR_RATING_RO_ROLLUP[MMWR_RATING_RO_ROLLUP],0),MATCH(C$9,MMWR_RATING_RO_ROLLUP[#Headers],0)),"ERROR"))</f>
        <v>3189</v>
      </c>
      <c r="D18" s="156">
        <f>IF($B18=" ","",IFERROR(INDEX(MMWR_RATING_RO_ROLLUP[],MATCH($B18,MMWR_RATING_RO_ROLLUP[MMWR_RATING_RO_ROLLUP],0),MATCH(D$9,MMWR_RATING_RO_ROLLUP[#Headers],0)),"ERROR"))</f>
        <v>91.182188773899995</v>
      </c>
      <c r="E18" s="157">
        <f>IF($B18=" ","",IFERROR(INDEX(MMWR_RATING_RO_ROLLUP[],MATCH($B18,MMWR_RATING_RO_ROLLUP[MMWR_RATING_RO_ROLLUP],0),MATCH(E$9,MMWR_RATING_RO_ROLLUP[#Headers],0))/$C18,"ERROR"))</f>
        <v>0.25337096268422704</v>
      </c>
      <c r="F18" s="155">
        <f>IF($B18=" ","",IFERROR(INDEX(MMWR_RATING_RO_ROLLUP[],MATCH($B18,MMWR_RATING_RO_ROLLUP[MMWR_RATING_RO_ROLLUP],0),MATCH(F$9,MMWR_RATING_RO_ROLLUP[#Headers],0)),"ERROR"))</f>
        <v>461</v>
      </c>
      <c r="G18" s="155">
        <f>IF($B18=" ","",IFERROR(INDEX(MMWR_RATING_RO_ROLLUP[],MATCH($B18,MMWR_RATING_RO_ROLLUP[MMWR_RATING_RO_ROLLUP],0),MATCH(G$9,MMWR_RATING_RO_ROLLUP[#Headers],0)),"ERROR"))</f>
        <v>10146</v>
      </c>
      <c r="H18" s="156">
        <f>IF($B18=" ","",IFERROR(INDEX(MMWR_RATING_RO_ROLLUP[],MATCH($B18,MMWR_RATING_RO_ROLLUP[MMWR_RATING_RO_ROLLUP],0),MATCH(H$9,MMWR_RATING_RO_ROLLUP[#Headers],0)),"ERROR"))</f>
        <v>156.8242950108</v>
      </c>
      <c r="I18" s="156">
        <f>IF($B18=" ","",IFERROR(INDEX(MMWR_RATING_RO_ROLLUP[],MATCH($B18,MMWR_RATING_RO_ROLLUP[MMWR_RATING_RO_ROLLUP],0),MATCH(I$9,MMWR_RATING_RO_ROLLUP[#Headers],0)),"ERROR"))</f>
        <v>196.05647545830001</v>
      </c>
      <c r="J18" s="159">
        <f>IF($B18=" ","",IFERROR(VLOOKUP($B18,MMWR_ACCURACY_RO[],MATCH(J$9,MMWR_ACCURACY_RO[#Headers],0),0),"ERROR"))</f>
        <v>0.86809564584887078</v>
      </c>
      <c r="K18" s="159">
        <f>IF($B18=" ","",IFERROR(VLOOKUP($B18,MMWR_ACCURACY_RO[],MATCH(K$9,MMWR_ACCURACY_RO[#Headers],0),0),"ERROR"))</f>
        <v>0.75807019603239822</v>
      </c>
      <c r="L18" s="159">
        <f>IF($B18=" ","",IFERROR(VLOOKUP($B18,MMWR_ACCURACY_RO[],MATCH(L$9,MMWR_ACCURACY_RO[#Headers],0),0),"ERROR"))</f>
        <v>0.83051908217150094</v>
      </c>
      <c r="M18" s="159">
        <f>IF($B18=" ","",IFERROR(VLOOKUP($B18,MMWR_ACCURACY_RO[],MATCH(M$9,MMWR_ACCURACY_RO[#Headers],0),0),"ERROR"))</f>
        <v>5.7853653568502139E-2</v>
      </c>
      <c r="N18" s="159">
        <f>IF($B18=" ","",IFERROR(VLOOKUP($B18,MMWR_ACCURACY_RO[],MATCH(N$9,MMWR_ACCURACY_RO[#Headers],0),0),"ERROR"))</f>
        <v>0.9009942095054968</v>
      </c>
      <c r="O18" s="159">
        <f>IF($B18=" ","",IFERROR(VLOOKUP($B18,MMWR_ACCURACY_RO[],MATCH(O$9,MMWR_ACCURACY_RO[#Headers],0),0),"ERROR"))</f>
        <v>5.588256051773989E-2</v>
      </c>
      <c r="P18" s="28"/>
    </row>
    <row r="19" spans="1:16" x14ac:dyDescent="0.2">
      <c r="A19" s="25"/>
      <c r="B19" s="8" t="str">
        <f>VLOOKUP($B$16,DISTRICT_RO[],4,0)</f>
        <v>Buffalo VSC</v>
      </c>
      <c r="C19" s="155">
        <f>IF($B19=" ","",IFERROR(INDEX(MMWR_RATING_RO_ROLLUP[],MATCH($B19,MMWR_RATING_RO_ROLLUP[MMWR_RATING_RO_ROLLUP],0),MATCH(C$9,MMWR_RATING_RO_ROLLUP[#Headers],0)),"ERROR"))</f>
        <v>3833</v>
      </c>
      <c r="D19" s="156">
        <f>IF($B19=" ","",IFERROR(INDEX(MMWR_RATING_RO_ROLLUP[],MATCH($B19,MMWR_RATING_RO_ROLLUP[MMWR_RATING_RO_ROLLUP],0),MATCH(D$9,MMWR_RATING_RO_ROLLUP[#Headers],0)),"ERROR"))</f>
        <v>88.3031567962</v>
      </c>
      <c r="E19" s="157">
        <f>IF($B19=" ","",IFERROR(INDEX(MMWR_RATING_RO_ROLLUP[],MATCH($B19,MMWR_RATING_RO_ROLLUP[MMWR_RATING_RO_ROLLUP],0),MATCH(E$9,MMWR_RATING_RO_ROLLUP[#Headers],0))/$C19,"ERROR"))</f>
        <v>0.192016697104096</v>
      </c>
      <c r="F19" s="155">
        <f>IF($B19=" ","",IFERROR(INDEX(MMWR_RATING_RO_ROLLUP[],MATCH($B19,MMWR_RATING_RO_ROLLUP[MMWR_RATING_RO_ROLLUP],0),MATCH(F$9,MMWR_RATING_RO_ROLLUP[#Headers],0)),"ERROR"))</f>
        <v>522</v>
      </c>
      <c r="G19" s="155">
        <f>IF($B19=" ","",IFERROR(INDEX(MMWR_RATING_RO_ROLLUP[],MATCH($B19,MMWR_RATING_RO_ROLLUP[MMWR_RATING_RO_ROLLUP],0),MATCH(G$9,MMWR_RATING_RO_ROLLUP[#Headers],0)),"ERROR"))</f>
        <v>11159</v>
      </c>
      <c r="H19" s="156">
        <f>IF($B19=" ","",IFERROR(INDEX(MMWR_RATING_RO_ROLLUP[],MATCH($B19,MMWR_RATING_RO_ROLLUP[MMWR_RATING_RO_ROLLUP],0),MATCH(H$9,MMWR_RATING_RO_ROLLUP[#Headers],0)),"ERROR"))</f>
        <v>159.93678160920001</v>
      </c>
      <c r="I19" s="156">
        <f>IF($B19=" ","",IFERROR(INDEX(MMWR_RATING_RO_ROLLUP[],MATCH($B19,MMWR_RATING_RO_ROLLUP[MMWR_RATING_RO_ROLLUP],0),MATCH(I$9,MMWR_RATING_RO_ROLLUP[#Headers],0)),"ERROR"))</f>
        <v>204.63769154939999</v>
      </c>
      <c r="J19" s="159">
        <f>IF($B19=" ","",IFERROR(VLOOKUP($B19,MMWR_ACCURACY_RO[],MATCH(J$9,MMWR_ACCURACY_RO[#Headers],0),0),"ERROR"))</f>
        <v>0.95347640889941976</v>
      </c>
      <c r="K19" s="159">
        <f>IF($B19=" ","",IFERROR(VLOOKUP($B19,MMWR_ACCURACY_RO[],MATCH(K$9,MMWR_ACCURACY_RO[#Headers],0),0),"ERROR"))</f>
        <v>0.85593254528583529</v>
      </c>
      <c r="L19" s="159">
        <f>IF($B19=" ","",IFERROR(VLOOKUP($B19,MMWR_ACCURACY_RO[],MATCH(L$9,MMWR_ACCURACY_RO[#Headers],0),0),"ERROR"))</f>
        <v>0.88603611226754297</v>
      </c>
      <c r="M19" s="159">
        <f>IF($B19=" ","",IFERROR(VLOOKUP($B19,MMWR_ACCURACY_RO[],MATCH(M$9,MMWR_ACCURACY_RO[#Headers],0),0),"ERROR"))</f>
        <v>4.7189400750131651E-2</v>
      </c>
      <c r="N19" s="159">
        <f>IF($B19=" ","",IFERROR(VLOOKUP($B19,MMWR_ACCURACY_RO[],MATCH(N$9,MMWR_ACCURACY_RO[#Headers],0),0),"ERROR"))</f>
        <v>0.88386871550414847</v>
      </c>
      <c r="O19" s="159">
        <f>IF($B19=" ","",IFERROR(VLOOKUP($B19,MMWR_ACCURACY_RO[],MATCH(O$9,MMWR_ACCURACY_RO[#Headers],0),0),"ERROR"))</f>
        <v>4.4963005748574363E-2</v>
      </c>
      <c r="P19" s="28"/>
    </row>
    <row r="20" spans="1:16" x14ac:dyDescent="0.2">
      <c r="A20" s="25"/>
      <c r="B20" s="8" t="str">
        <f>VLOOKUP($B$16,DISTRICT_RO[],5,0)</f>
        <v>Hartford VSC</v>
      </c>
      <c r="C20" s="155">
        <f>IF($B20=" ","",IFERROR(INDEX(MMWR_RATING_RO_ROLLUP[],MATCH($B20,MMWR_RATING_RO_ROLLUP[MMWR_RATING_RO_ROLLUP],0),MATCH(C$9,MMWR_RATING_RO_ROLLUP[#Headers],0)),"ERROR"))</f>
        <v>2442</v>
      </c>
      <c r="D20" s="156">
        <f>IF($B20=" ","",IFERROR(INDEX(MMWR_RATING_RO_ROLLUP[],MATCH($B20,MMWR_RATING_RO_ROLLUP[MMWR_RATING_RO_ROLLUP],0),MATCH(D$9,MMWR_RATING_RO_ROLLUP[#Headers],0)),"ERROR"))</f>
        <v>104.44103194100001</v>
      </c>
      <c r="E20" s="157">
        <f>IF($B20=" ","",IFERROR(INDEX(MMWR_RATING_RO_ROLLUP[],MATCH($B20,MMWR_RATING_RO_ROLLUP[MMWR_RATING_RO_ROLLUP],0),MATCH(E$9,MMWR_RATING_RO_ROLLUP[#Headers],0))/$C20,"ERROR"))</f>
        <v>0.26904176904176902</v>
      </c>
      <c r="F20" s="155">
        <f>IF($B20=" ","",IFERROR(INDEX(MMWR_RATING_RO_ROLLUP[],MATCH($B20,MMWR_RATING_RO_ROLLUP[MMWR_RATING_RO_ROLLUP],0),MATCH(F$9,MMWR_RATING_RO_ROLLUP[#Headers],0)),"ERROR"))</f>
        <v>421</v>
      </c>
      <c r="G20" s="155">
        <f>IF($B20=" ","",IFERROR(INDEX(MMWR_RATING_RO_ROLLUP[],MATCH($B20,MMWR_RATING_RO_ROLLUP[MMWR_RATING_RO_ROLLUP],0),MATCH(G$9,MMWR_RATING_RO_ROLLUP[#Headers],0)),"ERROR"))</f>
        <v>9571</v>
      </c>
      <c r="H20" s="156">
        <f>IF($B20=" ","",IFERROR(INDEX(MMWR_RATING_RO_ROLLUP[],MATCH($B20,MMWR_RATING_RO_ROLLUP[MMWR_RATING_RO_ROLLUP],0),MATCH(H$9,MMWR_RATING_RO_ROLLUP[#Headers],0)),"ERROR"))</f>
        <v>173.6294536817</v>
      </c>
      <c r="I20" s="156">
        <f>IF($B20=" ","",IFERROR(INDEX(MMWR_RATING_RO_ROLLUP[],MATCH($B20,MMWR_RATING_RO_ROLLUP[MMWR_RATING_RO_ROLLUP],0),MATCH(I$9,MMWR_RATING_RO_ROLLUP[#Headers],0)),"ERROR"))</f>
        <v>174.64758123499999</v>
      </c>
      <c r="J20" s="159">
        <f>IF($B20=" ","",IFERROR(VLOOKUP($B20,MMWR_ACCURACY_RO[],MATCH(J$9,MMWR_ACCURACY_RO[#Headers],0),0),"ERROR"))</f>
        <v>0.94957430903608731</v>
      </c>
      <c r="K20" s="159">
        <f>IF($B20=" ","",IFERROR(VLOOKUP($B20,MMWR_ACCURACY_RO[],MATCH(K$9,MMWR_ACCURACY_RO[#Headers],0),0),"ERROR"))</f>
        <v>0.84864864864864875</v>
      </c>
      <c r="L20" s="159">
        <f>IF($B20=" ","",IFERROR(VLOOKUP($B20,MMWR_ACCURACY_RO[],MATCH(L$9,MMWR_ACCURACY_RO[#Headers],0),0),"ERROR"))</f>
        <v>0.91445426890472381</v>
      </c>
      <c r="M20" s="159">
        <f>IF($B20=" ","",IFERROR(VLOOKUP($B20,MMWR_ACCURACY_RO[],MATCH(M$9,MMWR_ACCURACY_RO[#Headers],0),0),"ERROR"))</f>
        <v>4.4264182063287263E-2</v>
      </c>
      <c r="N20" s="159">
        <f>IF($B20=" ","",IFERROR(VLOOKUP($B20,MMWR_ACCURACY_RO[],MATCH(N$9,MMWR_ACCURACY_RO[#Headers],0),0),"ERROR"))</f>
        <v>0.98450809545484108</v>
      </c>
      <c r="O20" s="159">
        <f>IF($B20=" ","",IFERROR(VLOOKUP($B20,MMWR_ACCURACY_RO[],MATCH(O$9,MMWR_ACCURACY_RO[#Headers],0),0),"ERROR"))</f>
        <v>1.9352567533817505E-2</v>
      </c>
      <c r="P20" s="28"/>
    </row>
    <row r="21" spans="1:16" x14ac:dyDescent="0.2">
      <c r="A21" s="25"/>
      <c r="B21" s="8" t="str">
        <f>VLOOKUP($B$16,DISTRICT_RO[],6,0)</f>
        <v>Huntington VSC</v>
      </c>
      <c r="C21" s="155">
        <f>IF($B21=" ","",IFERROR(INDEX(MMWR_RATING_RO_ROLLUP[],MATCH($B21,MMWR_RATING_RO_ROLLUP[MMWR_RATING_RO_ROLLUP],0),MATCH(C$9,MMWR_RATING_RO_ROLLUP[#Headers],0)),"ERROR"))</f>
        <v>4843</v>
      </c>
      <c r="D21" s="156">
        <f>IF($B21=" ","",IFERROR(INDEX(MMWR_RATING_RO_ROLLUP[],MATCH($B21,MMWR_RATING_RO_ROLLUP[MMWR_RATING_RO_ROLLUP],0),MATCH(D$9,MMWR_RATING_RO_ROLLUP[#Headers],0)),"ERROR"))</f>
        <v>100.3999587033</v>
      </c>
      <c r="E21" s="157">
        <f>IF($B21=" ","",IFERROR(INDEX(MMWR_RATING_RO_ROLLUP[],MATCH($B21,MMWR_RATING_RO_ROLLUP[MMWR_RATING_RO_ROLLUP],0),MATCH(E$9,MMWR_RATING_RO_ROLLUP[#Headers],0))/$C21,"ERROR"))</f>
        <v>0.2258930415032005</v>
      </c>
      <c r="F21" s="155">
        <f>IF($B21=" ","",IFERROR(INDEX(MMWR_RATING_RO_ROLLUP[],MATCH($B21,MMWR_RATING_RO_ROLLUP[MMWR_RATING_RO_ROLLUP],0),MATCH(F$9,MMWR_RATING_RO_ROLLUP[#Headers],0)),"ERROR"))</f>
        <v>829</v>
      </c>
      <c r="G21" s="155">
        <f>IF($B21=" ","",IFERROR(INDEX(MMWR_RATING_RO_ROLLUP[],MATCH($B21,MMWR_RATING_RO_ROLLUP[MMWR_RATING_RO_ROLLUP],0),MATCH(G$9,MMWR_RATING_RO_ROLLUP[#Headers],0)),"ERROR"))</f>
        <v>18032</v>
      </c>
      <c r="H21" s="156">
        <f>IF($B21=" ","",IFERROR(INDEX(MMWR_RATING_RO_ROLLUP[],MATCH($B21,MMWR_RATING_RO_ROLLUP[MMWR_RATING_RO_ROLLUP],0),MATCH(H$9,MMWR_RATING_RO_ROLLUP[#Headers],0)),"ERROR"))</f>
        <v>174.7876960193</v>
      </c>
      <c r="I21" s="156">
        <f>IF($B21=" ","",IFERROR(INDEX(MMWR_RATING_RO_ROLLUP[],MATCH($B21,MMWR_RATING_RO_ROLLUP[MMWR_RATING_RO_ROLLUP],0),MATCH(I$9,MMWR_RATING_RO_ROLLUP[#Headers],0)),"ERROR"))</f>
        <v>177.59605146409999</v>
      </c>
      <c r="J21" s="159">
        <f>IF($B21=" ","",IFERROR(VLOOKUP($B21,MMWR_ACCURACY_RO[],MATCH(J$9,MMWR_ACCURACY_RO[#Headers],0),0),"ERROR"))</f>
        <v>0.92705238972070947</v>
      </c>
      <c r="K21" s="159">
        <f>IF($B21=" ","",IFERROR(VLOOKUP($B21,MMWR_ACCURACY_RO[],MATCH(K$9,MMWR_ACCURACY_RO[#Headers],0),0),"ERROR"))</f>
        <v>0.83964880952380971</v>
      </c>
      <c r="L21" s="159">
        <f>IF($B21=" ","",IFERROR(VLOOKUP($B21,MMWR_ACCURACY_RO[],MATCH(L$9,MMWR_ACCURACY_RO[#Headers],0),0),"ERROR"))</f>
        <v>0.897261413005362</v>
      </c>
      <c r="M21" s="159">
        <f>IF($B21=" ","",IFERROR(VLOOKUP($B21,MMWR_ACCURACY_RO[],MATCH(M$9,MMWR_ACCURACY_RO[#Headers],0),0),"ERROR"))</f>
        <v>4.3730700715829872E-2</v>
      </c>
      <c r="N21" s="159">
        <f>IF($B21=" ","",IFERROR(VLOOKUP($B21,MMWR_ACCURACY_RO[],MATCH(N$9,MMWR_ACCURACY_RO[#Headers],0),0),"ERROR"))</f>
        <v>0.90983668876273982</v>
      </c>
      <c r="O21" s="159">
        <f>IF($B21=" ","",IFERROR(VLOOKUP($B21,MMWR_ACCURACY_RO[],MATCH(O$9,MMWR_ACCURACY_RO[#Headers],0),0),"ERROR"))</f>
        <v>4.6903178248512416E-2</v>
      </c>
      <c r="P21" s="28"/>
    </row>
    <row r="22" spans="1:16" x14ac:dyDescent="0.2">
      <c r="A22" s="25"/>
      <c r="B22" s="8" t="str">
        <f>VLOOKUP($B$16,DISTRICT_RO[],7,0)</f>
        <v>Manchester VSC</v>
      </c>
      <c r="C22" s="155">
        <f>IF($B22=" ","",IFERROR(INDEX(MMWR_RATING_RO_ROLLUP[],MATCH($B22,MMWR_RATING_RO_ROLLUP[MMWR_RATING_RO_ROLLUP],0),MATCH(C$9,MMWR_RATING_RO_ROLLUP[#Headers],0)),"ERROR"))</f>
        <v>1375</v>
      </c>
      <c r="D22" s="156">
        <f>IF($B22=" ","",IFERROR(INDEX(MMWR_RATING_RO_ROLLUP[],MATCH($B22,MMWR_RATING_RO_ROLLUP[MMWR_RATING_RO_ROLLUP],0),MATCH(D$9,MMWR_RATING_RO_ROLLUP[#Headers],0)),"ERROR"))</f>
        <v>99.075636363599997</v>
      </c>
      <c r="E22" s="157">
        <f>IF($B22=" ","",IFERROR(INDEX(MMWR_RATING_RO_ROLLUP[],MATCH($B22,MMWR_RATING_RO_ROLLUP[MMWR_RATING_RO_ROLLUP],0),MATCH(E$9,MMWR_RATING_RO_ROLLUP[#Headers],0))/$C22,"ERROR"))</f>
        <v>0.21309090909090908</v>
      </c>
      <c r="F22" s="155">
        <f>IF($B22=" ","",IFERROR(INDEX(MMWR_RATING_RO_ROLLUP[],MATCH($B22,MMWR_RATING_RO_ROLLUP[MMWR_RATING_RO_ROLLUP],0),MATCH(F$9,MMWR_RATING_RO_ROLLUP[#Headers],0)),"ERROR"))</f>
        <v>168</v>
      </c>
      <c r="G22" s="155">
        <f>IF($B22=" ","",IFERROR(INDEX(MMWR_RATING_RO_ROLLUP[],MATCH($B22,MMWR_RATING_RO_ROLLUP[MMWR_RATING_RO_ROLLUP],0),MATCH(G$9,MMWR_RATING_RO_ROLLUP[#Headers],0)),"ERROR"))</f>
        <v>4657</v>
      </c>
      <c r="H22" s="156">
        <f>IF($B22=" ","",IFERROR(INDEX(MMWR_RATING_RO_ROLLUP[],MATCH($B22,MMWR_RATING_RO_ROLLUP[MMWR_RATING_RO_ROLLUP],0),MATCH(H$9,MMWR_RATING_RO_ROLLUP[#Headers],0)),"ERROR"))</f>
        <v>165.78571428570001</v>
      </c>
      <c r="I22" s="156">
        <f>IF($B22=" ","",IFERROR(INDEX(MMWR_RATING_RO_ROLLUP[],MATCH($B22,MMWR_RATING_RO_ROLLUP[MMWR_RATING_RO_ROLLUP],0),MATCH(I$9,MMWR_RATING_RO_ROLLUP[#Headers],0)),"ERROR"))</f>
        <v>190.4371913249</v>
      </c>
      <c r="J22" s="159">
        <f>IF($B22=" ","",IFERROR(VLOOKUP($B22,MMWR_ACCURACY_RO[],MATCH(J$9,MMWR_ACCURACY_RO[#Headers],0),0),"ERROR"))</f>
        <v>0.97817487015258753</v>
      </c>
      <c r="K22" s="159">
        <f>IF($B22=" ","",IFERROR(VLOOKUP($B22,MMWR_ACCURACY_RO[],MATCH(K$9,MMWR_ACCURACY_RO[#Headers],0),0),"ERROR"))</f>
        <v>0.96179998216515061</v>
      </c>
      <c r="L22" s="159">
        <f>IF($B22=" ","",IFERROR(VLOOKUP($B22,MMWR_ACCURACY_RO[],MATCH(L$9,MMWR_ACCURACY_RO[#Headers],0),0),"ERROR"))</f>
        <v>0.91674856993204445</v>
      </c>
      <c r="M22" s="159">
        <f>IF($B22=" ","",IFERROR(VLOOKUP($B22,MMWR_ACCURACY_RO[],MATCH(M$9,MMWR_ACCURACY_RO[#Headers],0),0),"ERROR"))</f>
        <v>3.9221948038425866E-2</v>
      </c>
      <c r="N22" s="159">
        <f>IF($B22=" ","",IFERROR(VLOOKUP($B22,MMWR_ACCURACY_RO[],MATCH(N$9,MMWR_ACCURACY_RO[#Headers],0),0),"ERROR"))</f>
        <v>0.94409539311296276</v>
      </c>
      <c r="O22" s="159">
        <f>IF($B22=" ","",IFERROR(VLOOKUP($B22,MMWR_ACCURACY_RO[],MATCH(O$9,MMWR_ACCURACY_RO[#Headers],0),0),"ERROR"))</f>
        <v>2.9968566142803254E-2</v>
      </c>
      <c r="P22" s="28"/>
    </row>
    <row r="23" spans="1:16" x14ac:dyDescent="0.2">
      <c r="A23" s="25"/>
      <c r="B23" s="8" t="str">
        <f>VLOOKUP($B$16,DISTRICT_RO[],8,0)</f>
        <v>New York VSC</v>
      </c>
      <c r="C23" s="155">
        <f>IF($B23=" ","",IFERROR(INDEX(MMWR_RATING_RO_ROLLUP[],MATCH($B23,MMWR_RATING_RO_ROLLUP[MMWR_RATING_RO_ROLLUP],0),MATCH(C$9,MMWR_RATING_RO_ROLLUP[#Headers],0)),"ERROR"))</f>
        <v>4243</v>
      </c>
      <c r="D23" s="156">
        <f>IF($B23=" ","",IFERROR(INDEX(MMWR_RATING_RO_ROLLUP[],MATCH($B23,MMWR_RATING_RO_ROLLUP[MMWR_RATING_RO_ROLLUP],0),MATCH(D$9,MMWR_RATING_RO_ROLLUP[#Headers],0)),"ERROR"))</f>
        <v>87.1751119491</v>
      </c>
      <c r="E23" s="157">
        <f>IF($B23=" ","",IFERROR(INDEX(MMWR_RATING_RO_ROLLUP[],MATCH($B23,MMWR_RATING_RO_ROLLUP[MMWR_RATING_RO_ROLLUP],0),MATCH(E$9,MMWR_RATING_RO_ROLLUP[#Headers],0))/$C23,"ERROR"))</f>
        <v>0.17204807918925288</v>
      </c>
      <c r="F23" s="155">
        <f>IF($B23=" ","",IFERROR(INDEX(MMWR_RATING_RO_ROLLUP[],MATCH($B23,MMWR_RATING_RO_ROLLUP[MMWR_RATING_RO_ROLLUP],0),MATCH(F$9,MMWR_RATING_RO_ROLLUP[#Headers],0)),"ERROR"))</f>
        <v>617</v>
      </c>
      <c r="G23" s="155">
        <f>IF($B23=" ","",IFERROR(INDEX(MMWR_RATING_RO_ROLLUP[],MATCH($B23,MMWR_RATING_RO_ROLLUP[MMWR_RATING_RO_ROLLUP],0),MATCH(G$9,MMWR_RATING_RO_ROLLUP[#Headers],0)),"ERROR"))</f>
        <v>13780</v>
      </c>
      <c r="H23" s="156">
        <f>IF($B23=" ","",IFERROR(INDEX(MMWR_RATING_RO_ROLLUP[],MATCH($B23,MMWR_RATING_RO_ROLLUP[MMWR_RATING_RO_ROLLUP],0),MATCH(H$9,MMWR_RATING_RO_ROLLUP[#Headers],0)),"ERROR"))</f>
        <v>178.8703403566</v>
      </c>
      <c r="I23" s="156">
        <f>IF($B23=" ","",IFERROR(INDEX(MMWR_RATING_RO_ROLLUP[],MATCH($B23,MMWR_RATING_RO_ROLLUP[MMWR_RATING_RO_ROLLUP],0),MATCH(I$9,MMWR_RATING_RO_ROLLUP[#Headers],0)),"ERROR"))</f>
        <v>190.2608127721</v>
      </c>
      <c r="J23" s="159">
        <f>IF($B23=" ","",IFERROR(VLOOKUP($B23,MMWR_ACCURACY_RO[],MATCH(J$9,MMWR_ACCURACY_RO[#Headers],0),0),"ERROR"))</f>
        <v>0.94720431172667174</v>
      </c>
      <c r="K23" s="159">
        <f>IF($B23=" ","",IFERROR(VLOOKUP($B23,MMWR_ACCURACY_RO[],MATCH(K$9,MMWR_ACCURACY_RO[#Headers],0),0),"ERROR"))</f>
        <v>0.93088561589510344</v>
      </c>
      <c r="L23" s="159">
        <f>IF($B23=" ","",IFERROR(VLOOKUP($B23,MMWR_ACCURACY_RO[],MATCH(L$9,MMWR_ACCURACY_RO[#Headers],0),0),"ERROR"))</f>
        <v>0.92043271045637287</v>
      </c>
      <c r="M23" s="159">
        <f>IF($B23=" ","",IFERROR(VLOOKUP($B23,MMWR_ACCURACY_RO[],MATCH(M$9,MMWR_ACCURACY_RO[#Headers],0),0),"ERROR"))</f>
        <v>4.2089169272360533E-2</v>
      </c>
      <c r="N23" s="159">
        <f>IF($B23=" ","",IFERROR(VLOOKUP($B23,MMWR_ACCURACY_RO[],MATCH(N$9,MMWR_ACCURACY_RO[#Headers],0),0),"ERROR"))</f>
        <v>0.90720876302990494</v>
      </c>
      <c r="O23" s="159">
        <f>IF($B23=" ","",IFERROR(VLOOKUP($B23,MMWR_ACCURACY_RO[],MATCH(O$9,MMWR_ACCURACY_RO[#Headers],0),0),"ERROR"))</f>
        <v>4.5337460631108467E-2</v>
      </c>
      <c r="P23" s="28"/>
    </row>
    <row r="24" spans="1:16" x14ac:dyDescent="0.2">
      <c r="A24" s="25"/>
      <c r="B24" s="8" t="str">
        <f>VLOOKUP($B$16,DISTRICT_RO[],9,0)</f>
        <v>Newark VSC</v>
      </c>
      <c r="C24" s="155">
        <f>IF($B24=" ","",IFERROR(INDEX(MMWR_RATING_RO_ROLLUP[],MATCH($B24,MMWR_RATING_RO_ROLLUP[MMWR_RATING_RO_ROLLUP],0),MATCH(C$9,MMWR_RATING_RO_ROLLUP[#Headers],0)),"ERROR"))</f>
        <v>2642</v>
      </c>
      <c r="D24" s="156">
        <f>IF($B24=" ","",IFERROR(INDEX(MMWR_RATING_RO_ROLLUP[],MATCH($B24,MMWR_RATING_RO_ROLLUP[MMWR_RATING_RO_ROLLUP],0),MATCH(D$9,MMWR_RATING_RO_ROLLUP[#Headers],0)),"ERROR"))</f>
        <v>84.167676002999997</v>
      </c>
      <c r="E24" s="157">
        <f>IF($B24=" ","",IFERROR(INDEX(MMWR_RATING_RO_ROLLUP[],MATCH($B24,MMWR_RATING_RO_ROLLUP[MMWR_RATING_RO_ROLLUP],0),MATCH(E$9,MMWR_RATING_RO_ROLLUP[#Headers],0))/$C24,"ERROR"))</f>
        <v>0.16237698713096138</v>
      </c>
      <c r="F24" s="155">
        <f>IF($B24=" ","",IFERROR(INDEX(MMWR_RATING_RO_ROLLUP[],MATCH($B24,MMWR_RATING_RO_ROLLUP[MMWR_RATING_RO_ROLLUP],0),MATCH(F$9,MMWR_RATING_RO_ROLLUP[#Headers],0)),"ERROR"))</f>
        <v>301</v>
      </c>
      <c r="G24" s="155">
        <f>IF($B24=" ","",IFERROR(INDEX(MMWR_RATING_RO_ROLLUP[],MATCH($B24,MMWR_RATING_RO_ROLLUP[MMWR_RATING_RO_ROLLUP],0),MATCH(G$9,MMWR_RATING_RO_ROLLUP[#Headers],0)),"ERROR"))</f>
        <v>7306</v>
      </c>
      <c r="H24" s="156">
        <f>IF($B24=" ","",IFERROR(INDEX(MMWR_RATING_RO_ROLLUP[],MATCH($B24,MMWR_RATING_RO_ROLLUP[MMWR_RATING_RO_ROLLUP],0),MATCH(H$9,MMWR_RATING_RO_ROLLUP[#Headers],0)),"ERROR"))</f>
        <v>195.9534883721</v>
      </c>
      <c r="I24" s="156">
        <f>IF($B24=" ","",IFERROR(INDEX(MMWR_RATING_RO_ROLLUP[],MATCH($B24,MMWR_RATING_RO_ROLLUP[MMWR_RATING_RO_ROLLUP],0),MATCH(I$9,MMWR_RATING_RO_ROLLUP[#Headers],0)),"ERROR"))</f>
        <v>168.87845606350001</v>
      </c>
      <c r="J24" s="159">
        <f>IF($B24=" ","",IFERROR(VLOOKUP($B24,MMWR_ACCURACY_RO[],MATCH(J$9,MMWR_ACCURACY_RO[#Headers],0),0),"ERROR"))</f>
        <v>0.9686831972356329</v>
      </c>
      <c r="K24" s="159">
        <f>IF($B24=" ","",IFERROR(VLOOKUP($B24,MMWR_ACCURACY_RO[],MATCH(K$9,MMWR_ACCURACY_RO[#Headers],0),0),"ERROR"))</f>
        <v>0.92343857422391462</v>
      </c>
      <c r="L24" s="159">
        <f>IF($B24=" ","",IFERROR(VLOOKUP($B24,MMWR_ACCURACY_RO[],MATCH(L$9,MMWR_ACCURACY_RO[#Headers],0),0),"ERROR"))</f>
        <v>0.88745641472847447</v>
      </c>
      <c r="M24" s="159">
        <f>IF($B24=" ","",IFERROR(VLOOKUP($B24,MMWR_ACCURACY_RO[],MATCH(M$9,MMWR_ACCURACY_RO[#Headers],0),0),"ERROR"))</f>
        <v>4.2277160648820103E-2</v>
      </c>
      <c r="N24" s="159">
        <f>IF($B24=" ","",IFERROR(VLOOKUP($B24,MMWR_ACCURACY_RO[],MATCH(N$9,MMWR_ACCURACY_RO[#Headers],0),0),"ERROR"))</f>
        <v>0.88563274354596055</v>
      </c>
      <c r="O24" s="159">
        <f>IF($B24=" ","",IFERROR(VLOOKUP($B24,MMWR_ACCURACY_RO[],MATCH(O$9,MMWR_ACCURACY_RO[#Headers],0),0),"ERROR"))</f>
        <v>3.8629279170776909E-2</v>
      </c>
      <c r="P24" s="28"/>
    </row>
    <row r="25" spans="1:16" x14ac:dyDescent="0.2">
      <c r="A25" s="25"/>
      <c r="B25" s="8" t="str">
        <f>VLOOKUP($B$16,DISTRICT_RO[],10,0)</f>
        <v>Philadelphia VSC</v>
      </c>
      <c r="C25" s="155">
        <f>IF($B25=" ","",IFERROR(INDEX(MMWR_RATING_RO_ROLLUP[],MATCH($B25,MMWR_RATING_RO_ROLLUP[MMWR_RATING_RO_ROLLUP],0),MATCH(C$9,MMWR_RATING_RO_ROLLUP[#Headers],0)),"ERROR"))</f>
        <v>7651</v>
      </c>
      <c r="D25" s="156">
        <f>IF($B25=" ","",IFERROR(INDEX(MMWR_RATING_RO_ROLLUP[],MATCH($B25,MMWR_RATING_RO_ROLLUP[MMWR_RATING_RO_ROLLUP],0),MATCH(D$9,MMWR_RATING_RO_ROLLUP[#Headers],0)),"ERROR"))</f>
        <v>130.449091622</v>
      </c>
      <c r="E25" s="157">
        <f>IF($B25=" ","",IFERROR(INDEX(MMWR_RATING_RO_ROLLUP[],MATCH($B25,MMWR_RATING_RO_ROLLUP[MMWR_RATING_RO_ROLLUP],0),MATCH(E$9,MMWR_RATING_RO_ROLLUP[#Headers],0))/$C25,"ERROR"))</f>
        <v>0.35877663050581621</v>
      </c>
      <c r="F25" s="155">
        <f>IF($B25=" ","",IFERROR(INDEX(MMWR_RATING_RO_ROLLUP[],MATCH($B25,MMWR_RATING_RO_ROLLUP[MMWR_RATING_RO_ROLLUP],0),MATCH(F$9,MMWR_RATING_RO_ROLLUP[#Headers],0)),"ERROR"))</f>
        <v>1402</v>
      </c>
      <c r="G25" s="155">
        <f>IF($B25=" ","",IFERROR(INDEX(MMWR_RATING_RO_ROLLUP[],MATCH($B25,MMWR_RATING_RO_ROLLUP[MMWR_RATING_RO_ROLLUP],0),MATCH(G$9,MMWR_RATING_RO_ROLLUP[#Headers],0)),"ERROR"))</f>
        <v>29057</v>
      </c>
      <c r="H25" s="156">
        <f>IF($B25=" ","",IFERROR(INDEX(MMWR_RATING_RO_ROLLUP[],MATCH($B25,MMWR_RATING_RO_ROLLUP[MMWR_RATING_RO_ROLLUP],0),MATCH(H$9,MMWR_RATING_RO_ROLLUP[#Headers],0)),"ERROR"))</f>
        <v>166.90299572040001</v>
      </c>
      <c r="I25" s="156">
        <f>IF($B25=" ","",IFERROR(INDEX(MMWR_RATING_RO_ROLLUP[],MATCH($B25,MMWR_RATING_RO_ROLLUP[MMWR_RATING_RO_ROLLUP],0),MATCH(I$9,MMWR_RATING_RO_ROLLUP[#Headers],0)),"ERROR"))</f>
        <v>222.139897443</v>
      </c>
      <c r="J25" s="159">
        <f>IF($B25=" ","",IFERROR(VLOOKUP($B25,MMWR_ACCURACY_RO[],MATCH(J$9,MMWR_ACCURACY_RO[#Headers],0),0),"ERROR"))</f>
        <v>0.94152928425324545</v>
      </c>
      <c r="K25" s="159">
        <f>IF($B25=" ","",IFERROR(VLOOKUP($B25,MMWR_ACCURACY_RO[],MATCH(K$9,MMWR_ACCURACY_RO[#Headers],0),0),"ERROR"))</f>
        <v>0.86798344947735184</v>
      </c>
      <c r="L25" s="159">
        <f>IF($B25=" ","",IFERROR(VLOOKUP($B25,MMWR_ACCURACY_RO[],MATCH(L$9,MMWR_ACCURACY_RO[#Headers],0),0),"ERROR"))</f>
        <v>0.86358372645198767</v>
      </c>
      <c r="M25" s="159">
        <f>IF($B25=" ","",IFERROR(VLOOKUP($B25,MMWR_ACCURACY_RO[],MATCH(M$9,MMWR_ACCURACY_RO[#Headers],0),0),"ERROR"))</f>
        <v>4.9358215277094504E-2</v>
      </c>
      <c r="N25" s="159">
        <f>IF($B25=" ","",IFERROR(VLOOKUP($B25,MMWR_ACCURACY_RO[],MATCH(N$9,MMWR_ACCURACY_RO[#Headers],0),0),"ERROR"))</f>
        <v>0.89958478313619794</v>
      </c>
      <c r="O25" s="159">
        <f>IF($B25=" ","",IFERROR(VLOOKUP($B25,MMWR_ACCURACY_RO[],MATCH(O$9,MMWR_ACCURACY_RO[#Headers],0),0),"ERROR"))</f>
        <v>4.9315787865483143E-2</v>
      </c>
      <c r="P25" s="28"/>
    </row>
    <row r="26" spans="1:16" x14ac:dyDescent="0.2">
      <c r="A26" s="25"/>
      <c r="B26" s="8" t="str">
        <f>VLOOKUP($B$16,DISTRICT_RO[],11,0)</f>
        <v>Pittsburgh VSC</v>
      </c>
      <c r="C26" s="155">
        <f>IF($B26=" ","",IFERROR(INDEX(MMWR_RATING_RO_ROLLUP[],MATCH($B26,MMWR_RATING_RO_ROLLUP[MMWR_RATING_RO_ROLLUP],0),MATCH(C$9,MMWR_RATING_RO_ROLLUP[#Headers],0)),"ERROR"))</f>
        <v>4711</v>
      </c>
      <c r="D26" s="156">
        <f>IF($B26=" ","",IFERROR(INDEX(MMWR_RATING_RO_ROLLUP[],MATCH($B26,MMWR_RATING_RO_ROLLUP[MMWR_RATING_RO_ROLLUP],0),MATCH(D$9,MMWR_RATING_RO_ROLLUP[#Headers],0)),"ERROR"))</f>
        <v>133.24920399070001</v>
      </c>
      <c r="E26" s="157">
        <f>IF($B26=" ","",IFERROR(INDEX(MMWR_RATING_RO_ROLLUP[],MATCH($B26,MMWR_RATING_RO_ROLLUP[MMWR_RATING_RO_ROLLUP],0),MATCH(E$9,MMWR_RATING_RO_ROLLUP[#Headers],0))/$C26,"ERROR"))</f>
        <v>0.34196561239651879</v>
      </c>
      <c r="F26" s="155">
        <f>IF($B26=" ","",IFERROR(INDEX(MMWR_RATING_RO_ROLLUP[],MATCH($B26,MMWR_RATING_RO_ROLLUP[MMWR_RATING_RO_ROLLUP],0),MATCH(F$9,MMWR_RATING_RO_ROLLUP[#Headers],0)),"ERROR"))</f>
        <v>456</v>
      </c>
      <c r="G26" s="155">
        <f>IF($B26=" ","",IFERROR(INDEX(MMWR_RATING_RO_ROLLUP[],MATCH($B26,MMWR_RATING_RO_ROLLUP[MMWR_RATING_RO_ROLLUP],0),MATCH(G$9,MMWR_RATING_RO_ROLLUP[#Headers],0)),"ERROR"))</f>
        <v>11344</v>
      </c>
      <c r="H26" s="156">
        <f>IF($B26=" ","",IFERROR(INDEX(MMWR_RATING_RO_ROLLUP[],MATCH($B26,MMWR_RATING_RO_ROLLUP[MMWR_RATING_RO_ROLLUP],0),MATCH(H$9,MMWR_RATING_RO_ROLLUP[#Headers],0)),"ERROR"))</f>
        <v>219.21929824559999</v>
      </c>
      <c r="I26" s="156">
        <f>IF($B26=" ","",IFERROR(INDEX(MMWR_RATING_RO_ROLLUP[],MATCH($B26,MMWR_RATING_RO_ROLLUP[MMWR_RATING_RO_ROLLUP],0),MATCH(I$9,MMWR_RATING_RO_ROLLUP[#Headers],0)),"ERROR"))</f>
        <v>205.54883638929999</v>
      </c>
      <c r="J26" s="159">
        <f>IF($B26=" ","",IFERROR(VLOOKUP($B26,MMWR_ACCURACY_RO[],MATCH(J$9,MMWR_ACCURACY_RO[#Headers],0),0),"ERROR"))</f>
        <v>0.9751261715933669</v>
      </c>
      <c r="K26" s="159">
        <f>IF($B26=" ","",IFERROR(VLOOKUP($B26,MMWR_ACCURACY_RO[],MATCH(K$9,MMWR_ACCURACY_RO[#Headers],0),0),"ERROR"))</f>
        <v>0.89840078477893881</v>
      </c>
      <c r="L26" s="159">
        <f>IF($B26=" ","",IFERROR(VLOOKUP($B26,MMWR_ACCURACY_RO[],MATCH(L$9,MMWR_ACCURACY_RO[#Headers],0),0),"ERROR"))</f>
        <v>0.90400027862764498</v>
      </c>
      <c r="M26" s="159">
        <f>IF($B26=" ","",IFERROR(VLOOKUP($B26,MMWR_ACCURACY_RO[],MATCH(M$9,MMWR_ACCURACY_RO[#Headers],0),0),"ERROR"))</f>
        <v>4.5121010978512642E-2</v>
      </c>
      <c r="N26" s="159">
        <f>IF($B26=" ","",IFERROR(VLOOKUP($B26,MMWR_ACCURACY_RO[],MATCH(N$9,MMWR_ACCURACY_RO[#Headers],0),0),"ERROR"))</f>
        <v>0.93871099098682609</v>
      </c>
      <c r="O26" s="159">
        <f>IF($B26=" ","",IFERROR(VLOOKUP($B26,MMWR_ACCURACY_RO[],MATCH(O$9,MMWR_ACCURACY_RO[#Headers],0),0),"ERROR"))</f>
        <v>3.8666913302825921E-2</v>
      </c>
      <c r="P26" s="28"/>
    </row>
    <row r="27" spans="1:16" x14ac:dyDescent="0.2">
      <c r="A27" s="25"/>
      <c r="B27" s="8" t="str">
        <f>VLOOKUP($B$16,DISTRICT_RO[],12,0)</f>
        <v>Providence VSC</v>
      </c>
      <c r="C27" s="155">
        <f>IF($B27=" ","",IFERROR(INDEX(MMWR_RATING_RO_ROLLUP[],MATCH($B27,MMWR_RATING_RO_ROLLUP[MMWR_RATING_RO_ROLLUP],0),MATCH(C$9,MMWR_RATING_RO_ROLLUP[#Headers],0)),"ERROR"))</f>
        <v>3094</v>
      </c>
      <c r="D27" s="156">
        <f>IF($B27=" ","",IFERROR(INDEX(MMWR_RATING_RO_ROLLUP[],MATCH($B27,MMWR_RATING_RO_ROLLUP[MMWR_RATING_RO_ROLLUP],0),MATCH(D$9,MMWR_RATING_RO_ROLLUP[#Headers],0)),"ERROR"))</f>
        <v>117.5258564964</v>
      </c>
      <c r="E27" s="157">
        <f>IF($B27=" ","",IFERROR(INDEX(MMWR_RATING_RO_ROLLUP[],MATCH($B27,MMWR_RATING_RO_ROLLUP[MMWR_RATING_RO_ROLLUP],0),MATCH(E$9,MMWR_RATING_RO_ROLLUP[#Headers],0))/$C27,"ERROR"))</f>
        <v>0.31124757595345831</v>
      </c>
      <c r="F27" s="155">
        <f>IF($B27=" ","",IFERROR(INDEX(MMWR_RATING_RO_ROLLUP[],MATCH($B27,MMWR_RATING_RO_ROLLUP[MMWR_RATING_RO_ROLLUP],0),MATCH(F$9,MMWR_RATING_RO_ROLLUP[#Headers],0)),"ERROR"))</f>
        <v>1195</v>
      </c>
      <c r="G27" s="155">
        <f>IF($B27=" ","",IFERROR(INDEX(MMWR_RATING_RO_ROLLUP[],MATCH($B27,MMWR_RATING_RO_ROLLUP[MMWR_RATING_RO_ROLLUP],0),MATCH(G$9,MMWR_RATING_RO_ROLLUP[#Headers],0)),"ERROR"))</f>
        <v>28777</v>
      </c>
      <c r="H27" s="156">
        <f>IF($B27=" ","",IFERROR(INDEX(MMWR_RATING_RO_ROLLUP[],MATCH($B27,MMWR_RATING_RO_ROLLUP[MMWR_RATING_RO_ROLLUP],0),MATCH(H$9,MMWR_RATING_RO_ROLLUP[#Headers],0)),"ERROR"))</f>
        <v>94.3682008368</v>
      </c>
      <c r="I27" s="156">
        <f>IF($B27=" ","",IFERROR(INDEX(MMWR_RATING_RO_ROLLUP[],MATCH($B27,MMWR_RATING_RO_ROLLUP[MMWR_RATING_RO_ROLLUP],0),MATCH(I$9,MMWR_RATING_RO_ROLLUP[#Headers],0)),"ERROR"))</f>
        <v>86.533064600200007</v>
      </c>
      <c r="J27" s="159">
        <f>IF($B27=" ","",IFERROR(VLOOKUP($B27,MMWR_ACCURACY_RO[],MATCH(J$9,MMWR_ACCURACY_RO[#Headers],0),0),"ERROR"))</f>
        <v>0.98294063067450343</v>
      </c>
      <c r="K27" s="159">
        <f>IF($B27=" ","",IFERROR(VLOOKUP($B27,MMWR_ACCURACY_RO[],MATCH(K$9,MMWR_ACCURACY_RO[#Headers],0),0),"ERROR"))</f>
        <v>0.90013659505774246</v>
      </c>
      <c r="L27" s="159">
        <f>IF($B27=" ","",IFERROR(VLOOKUP($B27,MMWR_ACCURACY_RO[],MATCH(L$9,MMWR_ACCURACY_RO[#Headers],0),0),"ERROR"))</f>
        <v>0.87172499949266591</v>
      </c>
      <c r="M27" s="159">
        <f>IF($B27=" ","",IFERROR(VLOOKUP($B27,MMWR_ACCURACY_RO[],MATCH(M$9,MMWR_ACCURACY_RO[#Headers],0),0),"ERROR"))</f>
        <v>5.660738120402186E-2</v>
      </c>
      <c r="N27" s="159">
        <f>IF($B27=" ","",IFERROR(VLOOKUP($B27,MMWR_ACCURACY_RO[],MATCH(N$9,MMWR_ACCURACY_RO[#Headers],0),0),"ERROR"))</f>
        <v>0.96295738056515856</v>
      </c>
      <c r="O27" s="159">
        <f>IF($B27=" ","",IFERROR(VLOOKUP($B27,MMWR_ACCURACY_RO[],MATCH(O$9,MMWR_ACCURACY_RO[#Headers],0),0),"ERROR"))</f>
        <v>3.0092477871072134E-2</v>
      </c>
      <c r="P27" s="28"/>
    </row>
    <row r="28" spans="1:16" x14ac:dyDescent="0.2">
      <c r="A28" s="25"/>
      <c r="B28" s="8" t="str">
        <f>VLOOKUP($B$16,DISTRICT_RO[],13,0)</f>
        <v>Roanoke VSC</v>
      </c>
      <c r="C28" s="155">
        <f>IF($B28=" ","",IFERROR(INDEX(MMWR_RATING_RO_ROLLUP[],MATCH($B28,MMWR_RATING_RO_ROLLUP[MMWR_RATING_RO_ROLLUP],0),MATCH(C$9,MMWR_RATING_RO_ROLLUP[#Headers],0)),"ERROR"))</f>
        <v>10485</v>
      </c>
      <c r="D28" s="156">
        <f>IF($B28=" ","",IFERROR(INDEX(MMWR_RATING_RO_ROLLUP[],MATCH($B28,MMWR_RATING_RO_ROLLUP[MMWR_RATING_RO_ROLLUP],0),MATCH(D$9,MMWR_RATING_RO_ROLLUP[#Headers],0)),"ERROR"))</f>
        <v>83.265045302800004</v>
      </c>
      <c r="E28" s="157">
        <f>IF($B28=" ","",IFERROR(INDEX(MMWR_RATING_RO_ROLLUP[],MATCH($B28,MMWR_RATING_RO_ROLLUP[MMWR_RATING_RO_ROLLUP],0),MATCH(E$9,MMWR_RATING_RO_ROLLUP[#Headers],0))/$C28,"ERROR"))</f>
        <v>0.16776347162613256</v>
      </c>
      <c r="F28" s="155">
        <f>IF($B28=" ","",IFERROR(INDEX(MMWR_RATING_RO_ROLLUP[],MATCH($B28,MMWR_RATING_RO_ROLLUP[MMWR_RATING_RO_ROLLUP],0),MATCH(F$9,MMWR_RATING_RO_ROLLUP[#Headers],0)),"ERROR"))</f>
        <v>1646</v>
      </c>
      <c r="G28" s="155">
        <f>IF($B28=" ","",IFERROR(INDEX(MMWR_RATING_RO_ROLLUP[],MATCH($B28,MMWR_RATING_RO_ROLLUP[MMWR_RATING_RO_ROLLUP],0),MATCH(G$9,MMWR_RATING_RO_ROLLUP[#Headers],0)),"ERROR"))</f>
        <v>36489</v>
      </c>
      <c r="H28" s="156">
        <f>IF($B28=" ","",IFERROR(INDEX(MMWR_RATING_RO_ROLLUP[],MATCH($B28,MMWR_RATING_RO_ROLLUP[MMWR_RATING_RO_ROLLUP],0),MATCH(H$9,MMWR_RATING_RO_ROLLUP[#Headers],0)),"ERROR"))</f>
        <v>159.5650060753</v>
      </c>
      <c r="I28" s="156">
        <f>IF($B28=" ","",IFERROR(INDEX(MMWR_RATING_RO_ROLLUP[],MATCH($B28,MMWR_RATING_RO_ROLLUP[MMWR_RATING_RO_ROLLUP],0),MATCH(I$9,MMWR_RATING_RO_ROLLUP[#Headers],0)),"ERROR"))</f>
        <v>194.71147469100001</v>
      </c>
      <c r="J28" s="159">
        <f>IF($B28=" ","",IFERROR(VLOOKUP($B28,MMWR_ACCURACY_RO[],MATCH(J$9,MMWR_ACCURACY_RO[#Headers],0),0),"ERROR"))</f>
        <v>0.9881386775279567</v>
      </c>
      <c r="K28" s="159">
        <f>IF($B28=" ","",IFERROR(VLOOKUP($B28,MMWR_ACCURACY_RO[],MATCH(K$9,MMWR_ACCURACY_RO[#Headers],0),0),"ERROR"))</f>
        <v>0.97290374764087351</v>
      </c>
      <c r="L28" s="159">
        <f>IF($B28=" ","",IFERROR(VLOOKUP($B28,MMWR_ACCURACY_RO[],MATCH(L$9,MMWR_ACCURACY_RO[#Headers],0),0),"ERROR"))</f>
        <v>0.93109257343487339</v>
      </c>
      <c r="M28" s="159">
        <f>IF($B28=" ","",IFERROR(VLOOKUP($B28,MMWR_ACCURACY_RO[],MATCH(M$9,MMWR_ACCURACY_RO[#Headers],0),0),"ERROR"))</f>
        <v>4.1570018073601958E-2</v>
      </c>
      <c r="N28" s="159">
        <f>IF($B28=" ","",IFERROR(VLOOKUP($B28,MMWR_ACCURACY_RO[],MATCH(N$9,MMWR_ACCURACY_RO[#Headers],0),0),"ERROR"))</f>
        <v>0.94451749280406772</v>
      </c>
      <c r="O28" s="159">
        <f>IF($B28=" ","",IFERROR(VLOOKUP($B28,MMWR_ACCURACY_RO[],MATCH(O$9,MMWR_ACCURACY_RO[#Headers],0),0),"ERROR"))</f>
        <v>3.6971007636318873E-2</v>
      </c>
      <c r="P28" s="28"/>
    </row>
    <row r="29" spans="1:16" x14ac:dyDescent="0.2">
      <c r="A29" s="25"/>
      <c r="B29" s="8" t="str">
        <f>VLOOKUP($B$16,DISTRICT_RO[],14,0)</f>
        <v>Togus VSC</v>
      </c>
      <c r="C29" s="155">
        <f>IF($B29=" ","",IFERROR(INDEX(MMWR_RATING_RO_ROLLUP[],MATCH($B29,MMWR_RATING_RO_ROLLUP[MMWR_RATING_RO_ROLLUP],0),MATCH(C$9,MMWR_RATING_RO_ROLLUP[#Headers],0)),"ERROR"))</f>
        <v>4677</v>
      </c>
      <c r="D29" s="156">
        <f>IF($B29=" ","",IFERROR(INDEX(MMWR_RATING_RO_ROLLUP[],MATCH($B29,MMWR_RATING_RO_ROLLUP[MMWR_RATING_RO_ROLLUP],0),MATCH(D$9,MMWR_RATING_RO_ROLLUP[#Headers],0)),"ERROR"))</f>
        <v>101.8370750481</v>
      </c>
      <c r="E29" s="157">
        <f>IF($B29=" ","",IFERROR(INDEX(MMWR_RATING_RO_ROLLUP[],MATCH($B29,MMWR_RATING_RO_ROLLUP[MMWR_RATING_RO_ROLLUP],0),MATCH(E$9,MMWR_RATING_RO_ROLLUP[#Headers],0))/$C29,"ERROR"))</f>
        <v>0.22771007055805004</v>
      </c>
      <c r="F29" s="155">
        <f>IF($B29=" ","",IFERROR(INDEX(MMWR_RATING_RO_ROLLUP[],MATCH($B29,MMWR_RATING_RO_ROLLUP[MMWR_RATING_RO_ROLLUP],0),MATCH(F$9,MMWR_RATING_RO_ROLLUP[#Headers],0)),"ERROR"))</f>
        <v>864</v>
      </c>
      <c r="G29" s="155">
        <f>IF($B29=" ","",IFERROR(INDEX(MMWR_RATING_RO_ROLLUP[],MATCH($B29,MMWR_RATING_RO_ROLLUP[MMWR_RATING_RO_ROLLUP],0),MATCH(G$9,MMWR_RATING_RO_ROLLUP[#Headers],0)),"ERROR"))</f>
        <v>19258</v>
      </c>
      <c r="H29" s="156">
        <f>IF($B29=" ","",IFERROR(INDEX(MMWR_RATING_RO_ROLLUP[],MATCH($B29,MMWR_RATING_RO_ROLLUP[MMWR_RATING_RO_ROLLUP],0),MATCH(H$9,MMWR_RATING_RO_ROLLUP[#Headers],0)),"ERROR"))</f>
        <v>167.71064814810001</v>
      </c>
      <c r="I29" s="156">
        <f>IF($B29=" ","",IFERROR(INDEX(MMWR_RATING_RO_ROLLUP[],MATCH($B29,MMWR_RATING_RO_ROLLUP[MMWR_RATING_RO_ROLLUP],0),MATCH(I$9,MMWR_RATING_RO_ROLLUP[#Headers],0)),"ERROR"))</f>
        <v>208.1862602555</v>
      </c>
      <c r="J29" s="159">
        <f>IF($B29=" ","",IFERROR(VLOOKUP($B29,MMWR_ACCURACY_RO[],MATCH(J$9,MMWR_ACCURACY_RO[#Headers],0),0),"ERROR"))</f>
        <v>0.95606780816395354</v>
      </c>
      <c r="K29" s="159">
        <f>IF($B29=" ","",IFERROR(VLOOKUP($B29,MMWR_ACCURACY_RO[],MATCH(K$9,MMWR_ACCURACY_RO[#Headers],0),0),"ERROR"))</f>
        <v>0.80876810276919342</v>
      </c>
      <c r="L29" s="159">
        <f>IF($B29=" ","",IFERROR(VLOOKUP($B29,MMWR_ACCURACY_RO[],MATCH(L$9,MMWR_ACCURACY_RO[#Headers],0),0),"ERROR"))</f>
        <v>0.87426757993266913</v>
      </c>
      <c r="M29" s="159">
        <f>IF($B29=" ","",IFERROR(VLOOKUP($B29,MMWR_ACCURACY_RO[],MATCH(M$9,MMWR_ACCURACY_RO[#Headers],0),0),"ERROR"))</f>
        <v>5.6485466197503484E-2</v>
      </c>
      <c r="N29" s="159">
        <f>IF($B29=" ","",IFERROR(VLOOKUP($B29,MMWR_ACCURACY_RO[],MATCH(N$9,MMWR_ACCURACY_RO[#Headers],0),0),"ERROR"))</f>
        <v>0.95623554117658516</v>
      </c>
      <c r="O29" s="159">
        <f>IF($B29=" ","",IFERROR(VLOOKUP($B29,MMWR_ACCURACY_RO[],MATCH(O$9,MMWR_ACCURACY_RO[#Headers],0),0),"ERROR"))</f>
        <v>3.6820337985930818E-2</v>
      </c>
      <c r="P29" s="28"/>
    </row>
    <row r="30" spans="1:16" x14ac:dyDescent="0.2">
      <c r="A30" s="25"/>
      <c r="B30" s="8" t="str">
        <f>VLOOKUP($B$16,DISTRICT_RO[],15,0)</f>
        <v>White River Junction VSC</v>
      </c>
      <c r="C30" s="155">
        <f>IF($B30=" ","",IFERROR(INDEX(MMWR_RATING_RO_ROLLUP[],MATCH($B30,MMWR_RATING_RO_ROLLUP[MMWR_RATING_RO_ROLLUP],0),MATCH(C$9,MMWR_RATING_RO_ROLLUP[#Headers],0)),"ERROR"))</f>
        <v>615</v>
      </c>
      <c r="D30" s="156">
        <f>IF($B30=" ","",IFERROR(INDEX(MMWR_RATING_RO_ROLLUP[],MATCH($B30,MMWR_RATING_RO_ROLLUP[MMWR_RATING_RO_ROLLUP],0),MATCH(D$9,MMWR_RATING_RO_ROLLUP[#Headers],0)),"ERROR"))</f>
        <v>117.34308943089999</v>
      </c>
      <c r="E30" s="157">
        <f>IF($B30=" ","",IFERROR(INDEX(MMWR_RATING_RO_ROLLUP[],MATCH($B30,MMWR_RATING_RO_ROLLUP[MMWR_RATING_RO_ROLLUP],0),MATCH(E$9,MMWR_RATING_RO_ROLLUP[#Headers],0))/$C30,"ERROR"))</f>
        <v>0.32195121951219513</v>
      </c>
      <c r="F30" s="155">
        <f>IF($B30=" ","",IFERROR(INDEX(MMWR_RATING_RO_ROLLUP[],MATCH($B30,MMWR_RATING_RO_ROLLUP[MMWR_RATING_RO_ROLLUP],0),MATCH(F$9,MMWR_RATING_RO_ROLLUP[#Headers],0)),"ERROR"))</f>
        <v>84</v>
      </c>
      <c r="G30" s="155">
        <f>IF($B30=" ","",IFERROR(INDEX(MMWR_RATING_RO_ROLLUP[],MATCH($B30,MMWR_RATING_RO_ROLLUP[MMWR_RATING_RO_ROLLUP],0),MATCH(G$9,MMWR_RATING_RO_ROLLUP[#Headers],0)),"ERROR"))</f>
        <v>2288</v>
      </c>
      <c r="H30" s="156">
        <f>IF($B30=" ","",IFERROR(INDEX(MMWR_RATING_RO_ROLLUP[],MATCH($B30,MMWR_RATING_RO_ROLLUP[MMWR_RATING_RO_ROLLUP],0),MATCH(H$9,MMWR_RATING_RO_ROLLUP[#Headers],0)),"ERROR"))</f>
        <v>188.19047619049999</v>
      </c>
      <c r="I30" s="156">
        <f>IF($B30=" ","",IFERROR(INDEX(MMWR_RATING_RO_ROLLUP[],MATCH($B30,MMWR_RATING_RO_ROLLUP[MMWR_RATING_RO_ROLLUP],0),MATCH(I$9,MMWR_RATING_RO_ROLLUP[#Headers],0)),"ERROR"))</f>
        <v>187.4047202797</v>
      </c>
      <c r="J30" s="159">
        <f>IF($B30=" ","",IFERROR(VLOOKUP($B30,MMWR_ACCURACY_RO[],MATCH(J$9,MMWR_ACCURACY_RO[#Headers],0),0),"ERROR"))</f>
        <v>0.92625848317764381</v>
      </c>
      <c r="K30" s="159">
        <f>IF($B30=" ","",IFERROR(VLOOKUP($B30,MMWR_ACCURACY_RO[],MATCH(K$9,MMWR_ACCURACY_RO[#Headers],0),0),"ERROR"))</f>
        <v>0.89885046178031036</v>
      </c>
      <c r="L30" s="159">
        <f>IF($B30=" ","",IFERROR(VLOOKUP($B30,MMWR_ACCURACY_RO[],MATCH(L$9,MMWR_ACCURACY_RO[#Headers],0),0),"ERROR"))</f>
        <v>0.83526478403316196</v>
      </c>
      <c r="M30" s="159">
        <f>IF($B30=" ","",IFERROR(VLOOKUP($B30,MMWR_ACCURACY_RO[],MATCH(M$9,MMWR_ACCURACY_RO[#Headers],0),0),"ERROR"))</f>
        <v>5.1603898032211715E-2</v>
      </c>
      <c r="N30" s="159">
        <f>IF($B30=" ","",IFERROR(VLOOKUP($B30,MMWR_ACCURACY_RO[],MATCH(N$9,MMWR_ACCURACY_RO[#Headers],0),0),"ERROR"))</f>
        <v>0.9029282977558839</v>
      </c>
      <c r="O30" s="159">
        <f>IF($B30=" ","",IFERROR(VLOOKUP($B30,MMWR_ACCURACY_RO[],MATCH(O$9,MMWR_ACCURACY_RO[#Headers],0),0),"ERROR"))</f>
        <v>3.6440515410656363E-2</v>
      </c>
      <c r="P30" s="28"/>
    </row>
    <row r="31" spans="1:16" x14ac:dyDescent="0.2">
      <c r="A31" s="25"/>
      <c r="B31" s="8" t="str">
        <f>VLOOKUP($B$16,DISTRICT_RO[],16,0)</f>
        <v>Wilmington VSC</v>
      </c>
      <c r="C31" s="155">
        <f>IF($B31=" ","",IFERROR(INDEX(MMWR_RATING_RO_ROLLUP[],MATCH($B31,MMWR_RATING_RO_ROLLUP[MMWR_RATING_RO_ROLLUP],0),MATCH(C$9,MMWR_RATING_RO_ROLLUP[#Headers],0)),"ERROR"))</f>
        <v>626</v>
      </c>
      <c r="D31" s="156">
        <f>IF($B31=" ","",IFERROR(INDEX(MMWR_RATING_RO_ROLLUP[],MATCH($B31,MMWR_RATING_RO_ROLLUP[MMWR_RATING_RO_ROLLUP],0),MATCH(D$9,MMWR_RATING_RO_ROLLUP[#Headers],0)),"ERROR"))</f>
        <v>86.028753993600006</v>
      </c>
      <c r="E31" s="157">
        <f>IF($B31=" ","",IFERROR(INDEX(MMWR_RATING_RO_ROLLUP[],MATCH($B31,MMWR_RATING_RO_ROLLUP[MMWR_RATING_RO_ROLLUP],0),MATCH(E$9,MMWR_RATING_RO_ROLLUP[#Headers],0))/$C31,"ERROR"))</f>
        <v>0.15495207667731628</v>
      </c>
      <c r="F31" s="155">
        <f>IF($B31=" ","",IFERROR(INDEX(MMWR_RATING_RO_ROLLUP[],MATCH($B31,MMWR_RATING_RO_ROLLUP[MMWR_RATING_RO_ROLLUP],0),MATCH(F$9,MMWR_RATING_RO_ROLLUP[#Headers],0)),"ERROR"))</f>
        <v>71</v>
      </c>
      <c r="G31" s="155">
        <f>IF($B31=" ","",IFERROR(INDEX(MMWR_RATING_RO_ROLLUP[],MATCH($B31,MMWR_RATING_RO_ROLLUP[MMWR_RATING_RO_ROLLUP],0),MATCH(G$9,MMWR_RATING_RO_ROLLUP[#Headers],0)),"ERROR"))</f>
        <v>2031</v>
      </c>
      <c r="H31" s="156">
        <f>IF($B31=" ","",IFERROR(INDEX(MMWR_RATING_RO_ROLLUP[],MATCH($B31,MMWR_RATING_RO_ROLLUP[MMWR_RATING_RO_ROLLUP],0),MATCH(H$9,MMWR_RATING_RO_ROLLUP[#Headers],0)),"ERROR"))</f>
        <v>178.8169014085</v>
      </c>
      <c r="I31" s="156">
        <f>IF($B31=" ","",IFERROR(INDEX(MMWR_RATING_RO_ROLLUP[],MATCH($B31,MMWR_RATING_RO_ROLLUP[MMWR_RATING_RO_ROLLUP],0),MATCH(I$9,MMWR_RATING_RO_ROLLUP[#Headers],0)),"ERROR"))</f>
        <v>226.3761693747</v>
      </c>
      <c r="J31" s="159">
        <f>IF($B31=" ","",IFERROR(VLOOKUP($B31,MMWR_ACCURACY_RO[],MATCH(J$9,MMWR_ACCURACY_RO[#Headers],0),0),"ERROR"))</f>
        <v>0.92664165876581883</v>
      </c>
      <c r="K31" s="159">
        <f>IF($B31=" ","",IFERROR(VLOOKUP($B31,MMWR_ACCURACY_RO[],MATCH(K$9,MMWR_ACCURACY_RO[#Headers],0),0),"ERROR"))</f>
        <v>0.80830903790087461</v>
      </c>
      <c r="L31" s="159">
        <f>IF($B31=" ","",IFERROR(VLOOKUP($B31,MMWR_ACCURACY_RO[],MATCH(L$9,MMWR_ACCURACY_RO[#Headers],0),0),"ERROR"))</f>
        <v>0.85113303357123427</v>
      </c>
      <c r="M31" s="159">
        <f>IF($B31=" ","",IFERROR(VLOOKUP($B31,MMWR_ACCURACY_RO[],MATCH(M$9,MMWR_ACCURACY_RO[#Headers],0),0),"ERROR"))</f>
        <v>4.6607166054369882E-2</v>
      </c>
      <c r="N31" s="159">
        <f>IF($B31=" ","",IFERROR(VLOOKUP($B31,MMWR_ACCURACY_RO[],MATCH(N$9,MMWR_ACCURACY_RO[#Headers],0),0),"ERROR"))</f>
        <v>0.88590662664663133</v>
      </c>
      <c r="O31" s="159">
        <f>IF($B31=" ","",IFERROR(VLOOKUP($B31,MMWR_ACCURACY_RO[],MATCH(O$9,MMWR_ACCURACY_RO[#Headers],0),0),"ERROR"))</f>
        <v>5.2622901965985208E-2</v>
      </c>
      <c r="P31" s="28"/>
    </row>
    <row r="32" spans="1:16" x14ac:dyDescent="0.2">
      <c r="A32" s="25"/>
      <c r="B32" s="8" t="str">
        <f>VLOOKUP($B$16,DISTRICT_RO[],17,0)</f>
        <v>Winston-Salem VSC</v>
      </c>
      <c r="C32" s="155">
        <f>IF($B32=" ","",IFERROR(INDEX(MMWR_RATING_RO_ROLLUP[],MATCH($B32,MMWR_RATING_RO_ROLLUP[MMWR_RATING_RO_ROLLUP],0),MATCH(C$9,MMWR_RATING_RO_ROLLUP[#Headers],0)),"ERROR"))</f>
        <v>14454</v>
      </c>
      <c r="D32" s="156">
        <f>IF($B32=" ","",IFERROR(INDEX(MMWR_RATING_RO_ROLLUP[],MATCH($B32,MMWR_RATING_RO_ROLLUP[MMWR_RATING_RO_ROLLUP],0),MATCH(D$9,MMWR_RATING_RO_ROLLUP[#Headers],0)),"ERROR"))</f>
        <v>93.419814584199997</v>
      </c>
      <c r="E32" s="157">
        <f>IF($B32=" ","",IFERROR(INDEX(MMWR_RATING_RO_ROLLUP[],MATCH($B32,MMWR_RATING_RO_ROLLUP[MMWR_RATING_RO_ROLLUP],0),MATCH(E$9,MMWR_RATING_RO_ROLLUP[#Headers],0))/$C32,"ERROR"))</f>
        <v>0.21454268714542687</v>
      </c>
      <c r="F32" s="155">
        <f>IF($B32=" ","",IFERROR(INDEX(MMWR_RATING_RO_ROLLUP[],MATCH($B32,MMWR_RATING_RO_ROLLUP[MMWR_RATING_RO_ROLLUP],0),MATCH(F$9,MMWR_RATING_RO_ROLLUP[#Headers],0)),"ERROR"))</f>
        <v>1491</v>
      </c>
      <c r="G32" s="155">
        <f>IF($B32=" ","",IFERROR(INDEX(MMWR_RATING_RO_ROLLUP[],MATCH($B32,MMWR_RATING_RO_ROLLUP[MMWR_RATING_RO_ROLLUP],0),MATCH(G$9,MMWR_RATING_RO_ROLLUP[#Headers],0)),"ERROR"))</f>
        <v>38898</v>
      </c>
      <c r="H32" s="156">
        <f>IF($B32=" ","",IFERROR(INDEX(MMWR_RATING_RO_ROLLUP[],MATCH($B32,MMWR_RATING_RO_ROLLUP[MMWR_RATING_RO_ROLLUP],0),MATCH(H$9,MMWR_RATING_RO_ROLLUP[#Headers],0)),"ERROR"))</f>
        <v>165.80684104630001</v>
      </c>
      <c r="I32" s="156">
        <f>IF($B32=" ","",IFERROR(INDEX(MMWR_RATING_RO_ROLLUP[],MATCH($B32,MMWR_RATING_RO_ROLLUP[MMWR_RATING_RO_ROLLUP],0),MATCH(I$9,MMWR_RATING_RO_ROLLUP[#Headers],0)),"ERROR"))</f>
        <v>208.18078050290001</v>
      </c>
      <c r="J32" s="159">
        <f>IF($B32=" ","",IFERROR(VLOOKUP($B32,MMWR_ACCURACY_RO[],MATCH(J$9,MMWR_ACCURACY_RO[#Headers],0),0),"ERROR"))</f>
        <v>0.947957143229468</v>
      </c>
      <c r="K32" s="159">
        <f>IF($B32=" ","",IFERROR(VLOOKUP($B32,MMWR_ACCURACY_RO[],MATCH(K$9,MMWR_ACCURACY_RO[#Headers],0),0),"ERROR"))</f>
        <v>0.83390133317319237</v>
      </c>
      <c r="L32" s="159">
        <f>IF($B32=" ","",IFERROR(VLOOKUP($B32,MMWR_ACCURACY_RO[],MATCH(L$9,MMWR_ACCURACY_RO[#Headers],0),0),"ERROR"))</f>
        <v>0.8463285961585405</v>
      </c>
      <c r="M32" s="159">
        <f>IF($B32=" ","",IFERROR(VLOOKUP($B32,MMWR_ACCURACY_RO[],MATCH(M$9,MMWR_ACCURACY_RO[#Headers],0),0),"ERROR"))</f>
        <v>5.0618932350916662E-2</v>
      </c>
      <c r="N32" s="159">
        <f>IF($B32=" ","",IFERROR(VLOOKUP($B32,MMWR_ACCURACY_RO[],MATCH(N$9,MMWR_ACCURACY_RO[#Headers],0),0),"ERROR"))</f>
        <v>0.9382900421307242</v>
      </c>
      <c r="O32" s="159">
        <f>IF($B32=" ","",IFERROR(VLOOKUP($B32,MMWR_ACCURACY_RO[],MATCH(O$9,MMWR_ACCURACY_RO[#Headers],0),0),"ERROR"))</f>
        <v>3.7965518974789066E-2</v>
      </c>
      <c r="P32" s="28"/>
    </row>
    <row r="33" spans="1:16" x14ac:dyDescent="0.2">
      <c r="A33" s="25"/>
      <c r="B33" s="377" t="s">
        <v>741</v>
      </c>
      <c r="C33" s="378"/>
      <c r="D33" s="378"/>
      <c r="E33" s="378"/>
      <c r="F33" s="378"/>
      <c r="G33" s="378"/>
      <c r="H33" s="378"/>
      <c r="I33" s="378"/>
      <c r="J33" s="378"/>
      <c r="K33" s="378"/>
      <c r="L33" s="378"/>
      <c r="M33" s="378"/>
      <c r="N33" s="378"/>
      <c r="O33" s="378"/>
      <c r="P33" s="28"/>
    </row>
    <row r="34" spans="1:16" x14ac:dyDescent="0.2">
      <c r="A34" s="25"/>
      <c r="B34" s="11" t="s">
        <v>704</v>
      </c>
      <c r="C34" s="155">
        <f>IF($B34=" ","",IFERROR(INDEX(MMWR_RATING_RO_ROLLUP[],MATCH($B34,MMWR_RATING_RO_ROLLUP[MMWR_RATING_RO_ROLLUP],0),MATCH(C$9,MMWR_RATING_RO_ROLLUP[#Headers],0)),"ERROR"))</f>
        <v>20660</v>
      </c>
      <c r="D34" s="156">
        <f>IF($B34=" ","",IFERROR(INDEX(MMWR_RATING_RO_ROLLUP[],MATCH($B34,MMWR_RATING_RO_ROLLUP[MMWR_RATING_RO_ROLLUP],0),MATCH(D$9,MMWR_RATING_RO_ROLLUP[#Headers],0)),"ERROR"))</f>
        <v>59.192207163600003</v>
      </c>
      <c r="E34" s="157">
        <f>IF($B34=" ","",IFERROR(INDEX(MMWR_RATING_RO_ROLLUP[],MATCH($B34,MMWR_RATING_RO_ROLLUP[MMWR_RATING_RO_ROLLUP],0),MATCH(E$9,MMWR_RATING_RO_ROLLUP[#Headers],0))/$C34,"ERROR"))</f>
        <v>8.3155856727976762E-2</v>
      </c>
      <c r="F34" s="155">
        <f>IF($B34=" ","",IFERROR(INDEX(MMWR_RATING_RO_ROLLUP[],MATCH($B34,MMWR_RATING_RO_ROLLUP[MMWR_RATING_RO_ROLLUP],0),MATCH(F$9,MMWR_RATING_RO_ROLLUP[#Headers],0)),"ERROR"))</f>
        <v>8050</v>
      </c>
      <c r="G34" s="155">
        <f>IF($B34=" ","",IFERROR(INDEX(MMWR_RATING_RO_ROLLUP[],MATCH($B34,MMWR_RATING_RO_ROLLUP[MMWR_RATING_RO_ROLLUP],0),MATCH(G$9,MMWR_RATING_RO_ROLLUP[#Headers],0)),"ERROR"))</f>
        <v>148720</v>
      </c>
      <c r="H34" s="156">
        <f>IF($B34=" ","",IFERROR(INDEX(MMWR_RATING_RO_ROLLUP[],MATCH($B34,MMWR_RATING_RO_ROLLUP[MMWR_RATING_RO_ROLLUP],0),MATCH(H$9,MMWR_RATING_RO_ROLLUP[#Headers],0)),"ERROR"))</f>
        <v>66.988322981400003</v>
      </c>
      <c r="I34" s="156">
        <f>IF($B34=" ","",IFERROR(INDEX(MMWR_RATING_RO_ROLLUP[],MATCH($B34,MMWR_RATING_RO_ROLLUP[MMWR_RATING_RO_ROLLUP],0),MATCH(I$9,MMWR_RATING_RO_ROLLUP[#Headers],0)),"ERROR"))</f>
        <v>64.638293437300007</v>
      </c>
      <c r="J34" s="42"/>
      <c r="K34" s="264">
        <f>IF($B34=" ","",IFERROR(VLOOKUP($B34,MMWR_ACCURACY_RO[],MATCH(K$50,MMWR_ACCURACY_RO[#Headers],0),0),"ERROR"))</f>
        <v>0.93679372237674774</v>
      </c>
      <c r="L34" s="264">
        <f>IF($B34=" ","",IFERROR(VLOOKUP($B34,MMWR_ACCURACY_RO[],MATCH(L$50,MMWR_ACCURACY_RO[#Headers],0),0),"ERROR"))</f>
        <v>0.96439638254665494</v>
      </c>
      <c r="M34" s="264">
        <f>IF($B34=" ","",IFERROR(VLOOKUP($B34,MMWR_ACCURACY_RO[],MATCH(M$50,MMWR_ACCURACY_RO[#Headers],0),0),"ERROR"))</f>
        <v>1.6304564554530644E-2</v>
      </c>
      <c r="N34" s="264">
        <f>IF($B34=" ","",IFERROR(VLOOKUP($B34,MMWR_ACCURACY_RO[],MATCH(N$50,MMWR_ACCURACY_RO[#Headers],0),0),"ERROR"))</f>
        <v>0.95994132113440533</v>
      </c>
      <c r="O34" s="264">
        <f>IF($B34=" ","",IFERROR(VLOOKUP($B34,MMWR_ACCURACY_RO[],MATCH(O$50,MMWR_ACCURACY_RO[#Headers],0),0),"ERROR"))</f>
        <v>2.0487257977216088E-2</v>
      </c>
      <c r="P34" s="28"/>
    </row>
    <row r="35" spans="1:16" x14ac:dyDescent="0.2">
      <c r="A35" s="25"/>
      <c r="B35" s="12" t="s">
        <v>216</v>
      </c>
      <c r="C35" s="155">
        <f>IF($B35=" ","",IFERROR(INDEX(MMWR_RATING_RO_ROLLUP[],MATCH($B35,MMWR_RATING_RO_ROLLUP[MMWR_RATING_RO_ROLLUP],0),MATCH(C$9,MMWR_RATING_RO_ROLLUP[#Headers],0)),"ERROR"))</f>
        <v>6722</v>
      </c>
      <c r="D35" s="156">
        <f>IF($B35=" ","",IFERROR(INDEX(MMWR_RATING_RO_ROLLUP[],MATCH($B35,MMWR_RATING_RO_ROLLUP[MMWR_RATING_RO_ROLLUP],0),MATCH(D$9,MMWR_RATING_RO_ROLLUP[#Headers],0)),"ERROR"))</f>
        <v>64.386789645899995</v>
      </c>
      <c r="E35" s="157">
        <f>IF($B35=" ","",IFERROR(INDEX(MMWR_RATING_RO_ROLLUP[],MATCH($B35,MMWR_RATING_RO_ROLLUP[MMWR_RATING_RO_ROLLUP],0),MATCH(E$9,MMWR_RATING_RO_ROLLUP[#Headers],0))/$C35,"ERROR"))</f>
        <v>9.2829515025290091E-2</v>
      </c>
      <c r="F35" s="155">
        <f>IF($B35=" ","",IFERROR(INDEX(MMWR_RATING_RO_ROLLUP[],MATCH($B35,MMWR_RATING_RO_ROLLUP[MMWR_RATING_RO_ROLLUP],0),MATCH(F$9,MMWR_RATING_RO_ROLLUP[#Headers],0)),"ERROR"))</f>
        <v>2701</v>
      </c>
      <c r="G35" s="155">
        <f>IF($B35=" ","",IFERROR(INDEX(MMWR_RATING_RO_ROLLUP[],MATCH($B35,MMWR_RATING_RO_ROLLUP[MMWR_RATING_RO_ROLLUP],0),MATCH(G$9,MMWR_RATING_RO_ROLLUP[#Headers],0)),"ERROR"))</f>
        <v>47447</v>
      </c>
      <c r="H35" s="156">
        <f>IF($B35=" ","",IFERROR(INDEX(MMWR_RATING_RO_ROLLUP[],MATCH($B35,MMWR_RATING_RO_ROLLUP[MMWR_RATING_RO_ROLLUP],0),MATCH(H$9,MMWR_RATING_RO_ROLLUP[#Headers],0)),"ERROR"))</f>
        <v>74.197704553899996</v>
      </c>
      <c r="I35" s="156">
        <f>IF($B35=" ","",IFERROR(INDEX(MMWR_RATING_RO_ROLLUP[],MATCH($B35,MMWR_RATING_RO_ROLLUP[MMWR_RATING_RO_ROLLUP],0),MATCH(I$9,MMWR_RATING_RO_ROLLUP[#Headers],0)),"ERROR"))</f>
        <v>72.852825257700005</v>
      </c>
      <c r="J35" s="42"/>
      <c r="K35" s="253">
        <f>IF($B35=" ","",IFERROR(VLOOKUP($B35,MMWR_ACCURACY_RO[],MATCH(K$50,MMWR_ACCURACY_RO[#Headers],0),0),"ERROR"))</f>
        <v>0.88511880843312152</v>
      </c>
      <c r="L35" s="253">
        <f>IF($B35=" ","",IFERROR(VLOOKUP($B35,MMWR_ACCURACY_RO[],MATCH(L$50,MMWR_ACCURACY_RO[#Headers],0),0),"ERROR"))</f>
        <v>0.95065478863082864</v>
      </c>
      <c r="M35" s="253">
        <f>IF($B35=" ","",IFERROR(VLOOKUP($B35,MMWR_ACCURACY_RO[],MATCH(M$50,MMWR_ACCURACY_RO[#Headers],0),0),"ERROR"))</f>
        <v>3.6478520423184835E-2</v>
      </c>
      <c r="N35" s="253">
        <f>IF($B35=" ","",IFERROR(VLOOKUP($B35,MMWR_ACCURACY_RO[],MATCH(N$50,MMWR_ACCURACY_RO[#Headers],0),0),"ERROR"))</f>
        <v>0.92815943607499451</v>
      </c>
      <c r="O35" s="253">
        <f>IF($B35=" ","",IFERROR(VLOOKUP($B35,MMWR_ACCURACY_RO[],MATCH(O$50,MMWR_ACCURACY_RO[#Headers],0),0),"ERROR"))</f>
        <v>4.6405181586036973E-2</v>
      </c>
      <c r="P35" s="28"/>
    </row>
    <row r="36" spans="1:16" x14ac:dyDescent="0.2">
      <c r="A36" s="43"/>
      <c r="B36" s="12" t="s">
        <v>215</v>
      </c>
      <c r="C36" s="155">
        <f>IF($B36=" ","",IFERROR(INDEX(MMWR_RATING_RO_ROLLUP[],MATCH($B36,MMWR_RATING_RO_ROLLUP[MMWR_RATING_RO_ROLLUP],0),MATCH(C$9,MMWR_RATING_RO_ROLLUP[#Headers],0)),"ERROR"))</f>
        <v>5517</v>
      </c>
      <c r="D36" s="156">
        <f>IF($B36=" ","",IFERROR(INDEX(MMWR_RATING_RO_ROLLUP[],MATCH($B36,MMWR_RATING_RO_ROLLUP[MMWR_RATING_RO_ROLLUP],0),MATCH(D$9,MMWR_RATING_RO_ROLLUP[#Headers],0)),"ERROR"))</f>
        <v>55.294181620400003</v>
      </c>
      <c r="E36" s="157">
        <f>IF($B36=" ","",IFERROR(INDEX(MMWR_RATING_RO_ROLLUP[],MATCH($B36,MMWR_RATING_RO_ROLLUP[MMWR_RATING_RO_ROLLUP],0),MATCH(E$9,MMWR_RATING_RO_ROLLUP[#Headers],0))/$C36,"ERROR"))</f>
        <v>7.8847199564980971E-2</v>
      </c>
      <c r="F36" s="155">
        <f>IF($B36=" ","",IFERROR(INDEX(MMWR_RATING_RO_ROLLUP[],MATCH($B36,MMWR_RATING_RO_ROLLUP[MMWR_RATING_RO_ROLLUP],0),MATCH(F$9,MMWR_RATING_RO_ROLLUP[#Headers],0)),"ERROR"))</f>
        <v>1996</v>
      </c>
      <c r="G36" s="155">
        <f>IF($B36=" ","",IFERROR(INDEX(MMWR_RATING_RO_ROLLUP[],MATCH($B36,MMWR_RATING_RO_ROLLUP[MMWR_RATING_RO_ROLLUP],0),MATCH(G$9,MMWR_RATING_RO_ROLLUP[#Headers],0)),"ERROR"))</f>
        <v>41615</v>
      </c>
      <c r="H36" s="156">
        <f>IF($B36=" ","",IFERROR(INDEX(MMWR_RATING_RO_ROLLUP[],MATCH($B36,MMWR_RATING_RO_ROLLUP[MMWR_RATING_RO_ROLLUP],0),MATCH(H$9,MMWR_RATING_RO_ROLLUP[#Headers],0)),"ERROR"))</f>
        <v>64.134268537099999</v>
      </c>
      <c r="I36" s="156">
        <f>IF($B36=" ","",IFERROR(INDEX(MMWR_RATING_RO_ROLLUP[],MATCH($B36,MMWR_RATING_RO_ROLLUP[MMWR_RATING_RO_ROLLUP],0),MATCH(I$9,MMWR_RATING_RO_ROLLUP[#Headers],0)),"ERROR"))</f>
        <v>55.509575874100001</v>
      </c>
      <c r="J36" s="42"/>
      <c r="K36" s="253">
        <f>IF($B36=" ","",IFERROR(VLOOKUP($B36,MMWR_ACCURACY_RO[],MATCH(K$50,MMWR_ACCURACY_RO[#Headers],0),0),"ERROR"))</f>
        <v>0.91427933013453755</v>
      </c>
      <c r="L36" s="253">
        <f>IF($B36=" ","",IFERROR(VLOOKUP($B36,MMWR_ACCURACY_RO[],MATCH(L$50,MMWR_ACCURACY_RO[#Headers],0),0),"ERROR"))</f>
        <v>0.94397517283711296</v>
      </c>
      <c r="M36" s="253">
        <f>IF($B36=" ","",IFERROR(VLOOKUP($B36,MMWR_ACCURACY_RO[],MATCH(M$50,MMWR_ACCURACY_RO[#Headers],0),0),"ERROR"))</f>
        <v>3.5545985256554079E-2</v>
      </c>
      <c r="N36" s="253">
        <f>IF($B36=" ","",IFERROR(VLOOKUP($B36,MMWR_ACCURACY_RO[],MATCH(N$50,MMWR_ACCURACY_RO[#Headers],0),0),"ERROR"))</f>
        <v>0.98944157871517291</v>
      </c>
      <c r="O36" s="253">
        <f>IF($B36=" ","",IFERROR(VLOOKUP($B36,MMWR_ACCURACY_RO[],MATCH(O$50,MMWR_ACCURACY_RO[#Headers],0),0),"ERROR"))</f>
        <v>1.3096480252679754E-2</v>
      </c>
      <c r="P36" s="28"/>
    </row>
    <row r="37" spans="1:16" x14ac:dyDescent="0.2">
      <c r="A37" s="25"/>
      <c r="B37" s="12" t="s">
        <v>218</v>
      </c>
      <c r="C37" s="155">
        <f>IF($B37=" ","",IFERROR(INDEX(MMWR_RATING_RO_ROLLUP[],MATCH($B37,MMWR_RATING_RO_ROLLUP[MMWR_RATING_RO_ROLLUP],0),MATCH(C$9,MMWR_RATING_RO_ROLLUP[#Headers],0)),"ERROR"))</f>
        <v>7940</v>
      </c>
      <c r="D37" s="156">
        <f>IF($B37=" ","",IFERROR(INDEX(MMWR_RATING_RO_ROLLUP[],MATCH($B37,MMWR_RATING_RO_ROLLUP[MMWR_RATING_RO_ROLLUP],0),MATCH(D$9,MMWR_RATING_RO_ROLLUP[#Headers],0)),"ERROR"))</f>
        <v>51.151259445800001</v>
      </c>
      <c r="E37" s="157">
        <f>IF($B37=" ","",IFERROR(INDEX(MMWR_RATING_RO_ROLLUP[],MATCH($B37,MMWR_RATING_RO_ROLLUP[MMWR_RATING_RO_ROLLUP],0),MATCH(E$9,MMWR_RATING_RO_ROLLUP[#Headers],0))/$C37,"ERROR"))</f>
        <v>5.6297229219143576E-2</v>
      </c>
      <c r="F37" s="155">
        <f>IF($B37=" ","",IFERROR(INDEX(MMWR_RATING_RO_ROLLUP[],MATCH($B37,MMWR_RATING_RO_ROLLUP[MMWR_RATING_RO_ROLLUP],0),MATCH(F$9,MMWR_RATING_RO_ROLLUP[#Headers],0)),"ERROR"))</f>
        <v>3120</v>
      </c>
      <c r="G37" s="155">
        <f>IF($B37=" ","",IFERROR(INDEX(MMWR_RATING_RO_ROLLUP[],MATCH($B37,MMWR_RATING_RO_ROLLUP[MMWR_RATING_RO_ROLLUP],0),MATCH(G$9,MMWR_RATING_RO_ROLLUP[#Headers],0)),"ERROR"))</f>
        <v>54569</v>
      </c>
      <c r="H37" s="156">
        <f>IF($B37=" ","",IFERROR(INDEX(MMWR_RATING_RO_ROLLUP[],MATCH($B37,MMWR_RATING_RO_ROLLUP[MMWR_RATING_RO_ROLLUP],0),MATCH(H$9,MMWR_RATING_RO_ROLLUP[#Headers],0)),"ERROR"))</f>
        <v>62.319551282100001</v>
      </c>
      <c r="I37" s="156">
        <f>IF($B37=" ","",IFERROR(INDEX(MMWR_RATING_RO_ROLLUP[],MATCH($B37,MMWR_RATING_RO_ROLLUP[MMWR_RATING_RO_ROLLUP],0),MATCH(I$9,MMWR_RATING_RO_ROLLUP[#Headers],0)),"ERROR"))</f>
        <v>64.857391559299998</v>
      </c>
      <c r="J37" s="42"/>
      <c r="K37" s="253">
        <f>IF($B37=" ","",IFERROR(VLOOKUP($B37,MMWR_ACCURACY_RO[],MATCH(K$50,MMWR_ACCURACY_RO[#Headers],0),0),"ERROR"))</f>
        <v>1</v>
      </c>
      <c r="L37" s="253">
        <f>IF($B37=" ","",IFERROR(VLOOKUP($B37,MMWR_ACCURACY_RO[],MATCH(L$50,MMWR_ACCURACY_RO[#Headers],0),0),"ERROR"))</f>
        <v>0.99193593620838205</v>
      </c>
      <c r="M37" s="253">
        <f>IF($B37=" ","",IFERROR(VLOOKUP($B37,MMWR_ACCURACY_RO[],MATCH(M$50,MMWR_ACCURACY_RO[#Headers],0),0),"ERROR"))</f>
        <v>9.666283474267701E-3</v>
      </c>
      <c r="N37" s="253">
        <f>IF($B37=" ","",IFERROR(VLOOKUP($B37,MMWR_ACCURACY_RO[],MATCH(N$50,MMWR_ACCURACY_RO[#Headers],0),0),"ERROR"))</f>
        <v>0.9637157119031865</v>
      </c>
      <c r="O37" s="253">
        <f>IF($B37=" ","",IFERROR(VLOOKUP($B37,MMWR_ACCURACY_RO[],MATCH(O$50,MMWR_ACCURACY_RO[#Headers],0),0),"ERROR"))</f>
        <v>3.6286696846211372E-2</v>
      </c>
      <c r="P37" s="28"/>
    </row>
    <row r="38" spans="1:16" x14ac:dyDescent="0.2">
      <c r="A38" s="25"/>
      <c r="B38" s="13" t="s">
        <v>230</v>
      </c>
      <c r="C38" s="155">
        <f>IF($B38=" ","",IFERROR(INDEX(MMWR_RATING_RO_ROLLUP[],MATCH($B38,MMWR_RATING_RO_ROLLUP[MMWR_RATING_RO_ROLLUP],0),MATCH(C$9,MMWR_RATING_RO_ROLLUP[#Headers],0)),"ERROR"))</f>
        <v>481</v>
      </c>
      <c r="D38" s="156">
        <f>IF($B38=" ","",IFERROR(INDEX(MMWR_RATING_RO_ROLLUP[],MATCH($B38,MMWR_RATING_RO_ROLLUP[MMWR_RATING_RO_ROLLUP],0),MATCH(D$9,MMWR_RATING_RO_ROLLUP[#Headers],0)),"ERROR"))</f>
        <v>164.04158004160001</v>
      </c>
      <c r="E38" s="157">
        <f>IF($B38=" ","",IFERROR(INDEX(MMWR_RATING_RO_ROLLUP[],MATCH($B38,MMWR_RATING_RO_ROLLUP[MMWR_RATING_RO_ROLLUP],0),MATCH(E$9,MMWR_RATING_RO_ROLLUP[#Headers],0))/$C38,"ERROR"))</f>
        <v>0.44074844074844077</v>
      </c>
      <c r="F38" s="155">
        <f>IF($B38=" ","",IFERROR(INDEX(MMWR_RATING_RO_ROLLUP[],MATCH($B38,MMWR_RATING_RO_ROLLUP[MMWR_RATING_RO_ROLLUP],0),MATCH(F$9,MMWR_RATING_RO_ROLLUP[#Headers],0)),"ERROR"))</f>
        <v>233</v>
      </c>
      <c r="G38" s="155">
        <f>IF($B38=" ","",IFERROR(INDEX(MMWR_RATING_RO_ROLLUP[],MATCH($B38,MMWR_RATING_RO_ROLLUP[MMWR_RATING_RO_ROLLUP],0),MATCH(G$9,MMWR_RATING_RO_ROLLUP[#Headers],0)),"ERROR"))</f>
        <v>5089</v>
      </c>
      <c r="H38" s="156">
        <f>IF($B38=" ","",IFERROR(INDEX(MMWR_RATING_RO_ROLLUP[],MATCH($B38,MMWR_RATING_RO_ROLLUP[MMWR_RATING_RO_ROLLUP],0),MATCH(H$9,MMWR_RATING_RO_ROLLUP[#Headers],0)),"ERROR"))</f>
        <v>70.381974248899994</v>
      </c>
      <c r="I38" s="156">
        <f>IF($B38=" ","",IFERROR(INDEX(MMWR_RATING_RO_ROLLUP[],MATCH($B38,MMWR_RATING_RO_ROLLUP[MMWR_RATING_RO_ROLLUP],0),MATCH(I$9,MMWR_RATING_RO_ROLLUP[#Headers],0)),"ERROR"))</f>
        <v>60.3507565337</v>
      </c>
      <c r="J38" s="42"/>
      <c r="K38" s="42"/>
      <c r="L38" s="42"/>
      <c r="M38" s="42"/>
      <c r="N38" s="42"/>
      <c r="O38" s="42"/>
      <c r="P38" s="28"/>
    </row>
    <row r="39" spans="1:16" x14ac:dyDescent="0.2">
      <c r="A39" s="25"/>
      <c r="B39" s="377" t="s">
        <v>924</v>
      </c>
      <c r="C39" s="378"/>
      <c r="D39" s="378"/>
      <c r="E39" s="378"/>
      <c r="F39" s="378"/>
      <c r="G39" s="378"/>
      <c r="H39" s="378"/>
      <c r="I39" s="378"/>
      <c r="J39" s="378"/>
      <c r="K39" s="378"/>
      <c r="L39" s="378"/>
      <c r="M39" s="378"/>
      <c r="N39" s="378"/>
      <c r="O39" s="378"/>
      <c r="P39" s="28"/>
    </row>
    <row r="40" spans="1:16" x14ac:dyDescent="0.2">
      <c r="A40" s="25"/>
      <c r="B40" s="44" t="s">
        <v>705</v>
      </c>
      <c r="C40" s="155">
        <f>IF($B40=" ","",IFERROR(INDEX(MMWR_RATING_RO_ROLLUP[],MATCH($B40,MMWR_RATING_RO_ROLLUP[MMWR_RATING_RO_ROLLUP],0),MATCH(C$9,MMWR_RATING_RO_ROLLUP[#Headers],0)),"ERROR"))</f>
        <v>8986</v>
      </c>
      <c r="D40" s="156">
        <f>IF($B40=" ","",IFERROR(INDEX(MMWR_RATING_RO_ROLLUP[],MATCH($B40,MMWR_RATING_RO_ROLLUP[MMWR_RATING_RO_ROLLUP],0),MATCH(D$9,MMWR_RATING_RO_ROLLUP[#Headers],0)),"ERROR"))</f>
        <v>68.709325617600001</v>
      </c>
      <c r="E40" s="157">
        <f>IF($B40=" ","",IFERROR(INDEX(MMWR_RATING_RO_ROLLUP[],MATCH($B40,MMWR_RATING_RO_ROLLUP[MMWR_RATING_RO_ROLLUP],0),MATCH(E$9,MMWR_RATING_RO_ROLLUP[#Headers],0))/$C40,"ERROR"))</f>
        <v>0.11740485199198754</v>
      </c>
      <c r="F40" s="155">
        <f>IF($B40=" ","",IFERROR(INDEX(MMWR_RATING_RO_ROLLUP[],MATCH($B40,MMWR_RATING_RO_ROLLUP[MMWR_RATING_RO_ROLLUP],0),MATCH(F$9,MMWR_RATING_RO_ROLLUP[#Headers],0)),"ERROR"))</f>
        <v>956</v>
      </c>
      <c r="G40" s="155">
        <f>IF($B40=" ","",IFERROR(INDEX(MMWR_RATING_RO_ROLLUP[],MATCH($B40,MMWR_RATING_RO_ROLLUP[MMWR_RATING_RO_ROLLUP],0),MATCH(G$9,MMWR_RATING_RO_ROLLUP[#Headers],0)),"ERROR"))</f>
        <v>24692</v>
      </c>
      <c r="H40" s="156">
        <f>IF($B40=" ","",IFERROR(INDEX(MMWR_RATING_RO_ROLLUP[],MATCH($B40,MMWR_RATING_RO_ROLLUP[MMWR_RATING_RO_ROLLUP],0),MATCH(H$9,MMWR_RATING_RO_ROLLUP[#Headers],0)),"ERROR"))</f>
        <v>127.3953974895</v>
      </c>
      <c r="I40" s="156">
        <f>IF($B40=" ","",IFERROR(INDEX(MMWR_RATING_RO_ROLLUP[],MATCH($B40,MMWR_RATING_RO_ROLLUP[MMWR_RATING_RO_ROLLUP],0),MATCH(I$9,MMWR_RATING_RO_ROLLUP[#Headers],0)),"ERROR"))</f>
        <v>132.8043495869</v>
      </c>
      <c r="J40" s="42"/>
      <c r="K40" s="42"/>
      <c r="L40" s="42"/>
      <c r="M40" s="42"/>
      <c r="N40" s="42"/>
      <c r="O40" s="42"/>
      <c r="P40" s="28"/>
    </row>
    <row r="41" spans="1:16" x14ac:dyDescent="0.2">
      <c r="A41" s="25"/>
      <c r="B41" s="45" t="s">
        <v>964</v>
      </c>
      <c r="C41" s="155">
        <f>IF($B41=" ","",IFERROR(INDEX(MMWR_RATING_RO_ROLLUP[],MATCH($B41,MMWR_RATING_RO_ROLLUP[MMWR_RATING_RO_ROLLUP],0),MATCH(C$9,MMWR_RATING_RO_ROLLUP[#Headers],0)),"ERROR"))</f>
        <v>3950</v>
      </c>
      <c r="D41" s="156">
        <f>IF($B41=" ","",IFERROR(INDEX(MMWR_RATING_RO_ROLLUP[],MATCH($B41,MMWR_RATING_RO_ROLLUP[MMWR_RATING_RO_ROLLUP],0),MATCH(D$9,MMWR_RATING_RO_ROLLUP[#Headers],0)),"ERROR"))</f>
        <v>62.066835443000002</v>
      </c>
      <c r="E41" s="157">
        <f>IF($B41=" ","",IFERROR(INDEX(MMWR_RATING_RO_ROLLUP[],MATCH($B41,MMWR_RATING_RO_ROLLUP[MMWR_RATING_RO_ROLLUP],0),MATCH(E$9,MMWR_RATING_RO_ROLLUP[#Headers],0))/$C41,"ERROR"))</f>
        <v>9.9240506329113923E-2</v>
      </c>
      <c r="F41" s="155">
        <f>IF($B41=" ","",IFERROR(INDEX(MMWR_RATING_RO_ROLLUP[],MATCH($B41,MMWR_RATING_RO_ROLLUP[MMWR_RATING_RO_ROLLUP],0),MATCH(F$9,MMWR_RATING_RO_ROLLUP[#Headers],0)),"ERROR"))</f>
        <v>558</v>
      </c>
      <c r="G41" s="155">
        <f>IF($B41=" ","",IFERROR(INDEX(MMWR_RATING_RO_ROLLUP[],MATCH($B41,MMWR_RATING_RO_ROLLUP[MMWR_RATING_RO_ROLLUP],0),MATCH(G$9,MMWR_RATING_RO_ROLLUP[#Headers],0)),"ERROR"))</f>
        <v>12899</v>
      </c>
      <c r="H41" s="156">
        <f>IF($B41=" ","",IFERROR(INDEX(MMWR_RATING_RO_ROLLUP[],MATCH($B41,MMWR_RATING_RO_ROLLUP[MMWR_RATING_RO_ROLLUP],0),MATCH(H$9,MMWR_RATING_RO_ROLLUP[#Headers],0)),"ERROR"))</f>
        <v>107.7616487455</v>
      </c>
      <c r="I41" s="156">
        <f>IF($B41=" ","",IFERROR(INDEX(MMWR_RATING_RO_ROLLUP[],MATCH($B41,MMWR_RATING_RO_ROLLUP[MMWR_RATING_RO_ROLLUP],0),MATCH(I$9,MMWR_RATING_RO_ROLLUP[#Headers],0)),"ERROR"))</f>
        <v>115.02969222420001</v>
      </c>
      <c r="J41" s="42"/>
      <c r="K41" s="42"/>
      <c r="L41" s="42"/>
      <c r="M41" s="42"/>
      <c r="N41" s="42"/>
      <c r="O41" s="42"/>
      <c r="P41" s="28"/>
    </row>
    <row r="42" spans="1:16" x14ac:dyDescent="0.2">
      <c r="A42" s="25"/>
      <c r="B42" s="45" t="s">
        <v>965</v>
      </c>
      <c r="C42" s="155">
        <f>IF($B42=" ","",IFERROR(INDEX(MMWR_RATING_RO_ROLLUP[],MATCH($B42,MMWR_RATING_RO_ROLLUP[MMWR_RATING_RO_ROLLUP],0),MATCH(C$9,MMWR_RATING_RO_ROLLUP[#Headers],0)),"ERROR"))</f>
        <v>4486</v>
      </c>
      <c r="D42" s="156">
        <f>IF($B42=" ","",IFERROR(INDEX(MMWR_RATING_RO_ROLLUP[],MATCH($B42,MMWR_RATING_RO_ROLLUP[MMWR_RATING_RO_ROLLUP],0),MATCH(D$9,MMWR_RATING_RO_ROLLUP[#Headers],0)),"ERROR"))</f>
        <v>76.016495764599995</v>
      </c>
      <c r="E42" s="157">
        <f>IF($B42=" ","",IFERROR(INDEX(MMWR_RATING_RO_ROLLUP[],MATCH($B42,MMWR_RATING_RO_ROLLUP[MMWR_RATING_RO_ROLLUP],0),MATCH(E$9,MMWR_RATING_RO_ROLLUP[#Headers],0))/$C42,"ERROR"))</f>
        <v>0.13776192599197504</v>
      </c>
      <c r="F42" s="155">
        <f>IF($B42=" ","",IFERROR(INDEX(MMWR_RATING_RO_ROLLUP[],MATCH($B42,MMWR_RATING_RO_ROLLUP[MMWR_RATING_RO_ROLLUP],0),MATCH(F$9,MMWR_RATING_RO_ROLLUP[#Headers],0)),"ERROR"))</f>
        <v>371</v>
      </c>
      <c r="G42" s="155">
        <f>IF($B42=" ","",IFERROR(INDEX(MMWR_RATING_RO_ROLLUP[],MATCH($B42,MMWR_RATING_RO_ROLLUP[MMWR_RATING_RO_ROLLUP],0),MATCH(G$9,MMWR_RATING_RO_ROLLUP[#Headers],0)),"ERROR"))</f>
        <v>11150</v>
      </c>
      <c r="H42" s="156">
        <f>IF($B42=" ","",IFERROR(INDEX(MMWR_RATING_RO_ROLLUP[],MATCH($B42,MMWR_RATING_RO_ROLLUP[MMWR_RATING_RO_ROLLUP],0),MATCH(H$9,MMWR_RATING_RO_ROLLUP[#Headers],0)),"ERROR"))</f>
        <v>154.55525606469999</v>
      </c>
      <c r="I42" s="156">
        <f>IF($B42=" ","",IFERROR(INDEX(MMWR_RATING_RO_ROLLUP[],MATCH($B42,MMWR_RATING_RO_ROLLUP[MMWR_RATING_RO_ROLLUP],0),MATCH(I$9,MMWR_RATING_RO_ROLLUP[#Headers],0)),"ERROR"))</f>
        <v>150.18278026909999</v>
      </c>
      <c r="J42" s="42"/>
      <c r="K42" s="42"/>
      <c r="L42" s="42"/>
      <c r="M42" s="42"/>
      <c r="N42" s="42"/>
      <c r="O42" s="42"/>
      <c r="P42" s="28"/>
    </row>
    <row r="43" spans="1:16" x14ac:dyDescent="0.2">
      <c r="A43" s="25"/>
      <c r="B43" s="46" t="s">
        <v>314</v>
      </c>
      <c r="C43" s="155">
        <f>IF($B43=" ","",IFERROR(INDEX(MMWR_RATING_RO_ROLLUP[],MATCH($B43,MMWR_RATING_RO_ROLLUP[MMWR_RATING_RO_ROLLUP],0),MATCH(C$9,MMWR_RATING_RO_ROLLUP[#Headers],0)),"ERROR"))</f>
        <v>550</v>
      </c>
      <c r="D43" s="156">
        <f>IF($B43=" ","",IFERROR(INDEX(MMWR_RATING_RO_ROLLUP[],MATCH($B43,MMWR_RATING_RO_ROLLUP[MMWR_RATING_RO_ROLLUP],0),MATCH(D$9,MMWR_RATING_RO_ROLLUP[#Headers],0)),"ERROR"))</f>
        <v>56.814545454499999</v>
      </c>
      <c r="E43" s="157">
        <f>IF($B43=" ","",IFERROR(INDEX(MMWR_RATING_RO_ROLLUP[],MATCH($B43,MMWR_RATING_RO_ROLLUP[MMWR_RATING_RO_ROLLUP],0),MATCH(E$9,MMWR_RATING_RO_ROLLUP[#Headers],0))/$C43,"ERROR"))</f>
        <v>8.1818181818181818E-2</v>
      </c>
      <c r="F43" s="155">
        <f>IF($B43=" ","",IFERROR(INDEX(MMWR_RATING_RO_ROLLUP[],MATCH($B43,MMWR_RATING_RO_ROLLUP[MMWR_RATING_RO_ROLLUP],0),MATCH(F$9,MMWR_RATING_RO_ROLLUP[#Headers],0)),"ERROR"))</f>
        <v>27</v>
      </c>
      <c r="G43" s="155">
        <f>IF($B43=" ","",IFERROR(INDEX(MMWR_RATING_RO_ROLLUP[],MATCH($B43,MMWR_RATING_RO_ROLLUP[MMWR_RATING_RO_ROLLUP],0),MATCH(G$9,MMWR_RATING_RO_ROLLUP[#Headers],0)),"ERROR"))</f>
        <v>643</v>
      </c>
      <c r="H43" s="156">
        <f>IF($B43=" ","",IFERROR(INDEX(MMWR_RATING_RO_ROLLUP[],MATCH($B43,MMWR_RATING_RO_ROLLUP[MMWR_RATING_RO_ROLLUP],0),MATCH(H$9,MMWR_RATING_RO_ROLLUP[#Headers],0)),"ERROR"))</f>
        <v>159.962962963</v>
      </c>
      <c r="I43" s="156">
        <f>IF($B43=" ","",IFERROR(INDEX(MMWR_RATING_RO_ROLLUP[],MATCH($B43,MMWR_RATING_RO_ROLLUP[MMWR_RATING_RO_ROLLUP],0),MATCH(I$9,MMWR_RATING_RO_ROLLUP[#Headers],0)),"ERROR"))</f>
        <v>188.0233281493</v>
      </c>
      <c r="J43" s="42"/>
      <c r="K43" s="42"/>
      <c r="L43" s="42"/>
      <c r="M43" s="42"/>
      <c r="N43" s="42"/>
      <c r="O43" s="42"/>
      <c r="P43" s="28"/>
    </row>
    <row r="44" spans="1:16" x14ac:dyDescent="0.2">
      <c r="A44" s="25"/>
      <c r="B44" s="377" t="s">
        <v>742</v>
      </c>
      <c r="C44" s="378"/>
      <c r="D44" s="378"/>
      <c r="E44" s="378"/>
      <c r="F44" s="378"/>
      <c r="G44" s="378"/>
      <c r="H44" s="378"/>
      <c r="I44" s="378"/>
      <c r="J44" s="378"/>
      <c r="K44" s="378"/>
      <c r="L44" s="378"/>
      <c r="M44" s="378"/>
      <c r="N44" s="378"/>
      <c r="O44" s="378"/>
      <c r="P44" s="28"/>
    </row>
    <row r="45" spans="1:16" x14ac:dyDescent="0.2">
      <c r="A45" s="25"/>
      <c r="B45" s="44" t="s">
        <v>703</v>
      </c>
      <c r="C45" s="155">
        <f>IF($B45=" ","",IFERROR(INDEX(MMWR_RATING_RO_ROLLUP[],MATCH($B45,MMWR_RATING_RO_ROLLUP[MMWR_RATING_RO_ROLLUP],0),MATCH(C$9,MMWR_RATING_RO_ROLLUP[#Headers],0)),"ERROR"))</f>
        <v>10381</v>
      </c>
      <c r="D45" s="156">
        <f>IF($B45=" ","",IFERROR(INDEX(MMWR_RATING_RO_ROLLUP[],MATCH($B45,MMWR_RATING_RO_ROLLUP[MMWR_RATING_RO_ROLLUP],0),MATCH(D$9,MMWR_RATING_RO_ROLLUP[#Headers],0)),"ERROR"))</f>
        <v>67.965513919700001</v>
      </c>
      <c r="E45" s="157">
        <f>IF($B45=" ","",IFERROR(INDEX(MMWR_RATING_RO_ROLLUP[],MATCH($B45,MMWR_RATING_RO_ROLLUP[MMWR_RATING_RO_ROLLUP],0),MATCH(E$9,MMWR_RATING_RO_ROLLUP[#Headers],0))/$C45,"ERROR"))</f>
        <v>9.7196801849532805E-2</v>
      </c>
      <c r="F45" s="155">
        <f>IF($B45=" ","",IFERROR(INDEX(MMWR_RATING_RO_ROLLUP[],MATCH($B45,MMWR_RATING_RO_ROLLUP[MMWR_RATING_RO_ROLLUP],0),MATCH(F$9,MMWR_RATING_RO_ROLLUP[#Headers],0)),"ERROR"))</f>
        <v>893</v>
      </c>
      <c r="G45" s="155">
        <f>IF($B45=" ","",IFERROR(INDEX(MMWR_RATING_RO_ROLLUP[],MATCH($B45,MMWR_RATING_RO_ROLLUP[MMWR_RATING_RO_ROLLUP],0),MATCH(G$9,MMWR_RATING_RO_ROLLUP[#Headers],0)),"ERROR"))</f>
        <v>24509</v>
      </c>
      <c r="H45" s="156">
        <f>IF($B45=" ","",IFERROR(INDEX(MMWR_RATING_RO_ROLLUP[],MATCH($B45,MMWR_RATING_RO_ROLLUP[MMWR_RATING_RO_ROLLUP],0),MATCH(H$9,MMWR_RATING_RO_ROLLUP[#Headers],0)),"ERROR"))</f>
        <v>134.490481523</v>
      </c>
      <c r="I45" s="156">
        <f>IF($B45=" ","",IFERROR(INDEX(MMWR_RATING_RO_ROLLUP[],MATCH($B45,MMWR_RATING_RO_ROLLUP[MMWR_RATING_RO_ROLLUP],0),MATCH(I$9,MMWR_RATING_RO_ROLLUP[#Headers],0)),"ERROR"))</f>
        <v>150.25794606060001</v>
      </c>
      <c r="J45" s="42"/>
      <c r="K45" s="42"/>
      <c r="L45" s="42"/>
      <c r="M45" s="42"/>
      <c r="N45" s="42"/>
      <c r="O45" s="42"/>
      <c r="P45" s="28"/>
    </row>
    <row r="46" spans="1:16" x14ac:dyDescent="0.2">
      <c r="A46" s="25"/>
      <c r="B46" s="45" t="s">
        <v>217</v>
      </c>
      <c r="C46" s="155">
        <f>IF($B46=" ","",IFERROR(INDEX(MMWR_RATING_RO_ROLLUP[],MATCH($B46,MMWR_RATING_RO_ROLLUP[MMWR_RATING_RO_ROLLUP],0),MATCH(C$9,MMWR_RATING_RO_ROLLUP[#Headers],0)),"ERROR"))</f>
        <v>3871</v>
      </c>
      <c r="D46" s="156">
        <f>IF($B46=" ","",IFERROR(INDEX(MMWR_RATING_RO_ROLLUP[],MATCH($B46,MMWR_RATING_RO_ROLLUP[MMWR_RATING_RO_ROLLUP],0),MATCH(D$9,MMWR_RATING_RO_ROLLUP[#Headers],0)),"ERROR"))</f>
        <v>62.250322914000002</v>
      </c>
      <c r="E46" s="157">
        <f>IF($B46=" ","",IFERROR(INDEX(MMWR_RATING_RO_ROLLUP[],MATCH($B46,MMWR_RATING_RO_ROLLUP[MMWR_RATING_RO_ROLLUP],0),MATCH(E$9,MMWR_RATING_RO_ROLLUP[#Headers],0))/$C46,"ERROR"))</f>
        <v>6.4841126323947298E-2</v>
      </c>
      <c r="F46" s="155">
        <f>IF($B46=" ","",IFERROR(INDEX(MMWR_RATING_RO_ROLLUP[],MATCH($B46,MMWR_RATING_RO_ROLLUP[MMWR_RATING_RO_ROLLUP],0),MATCH(F$9,MMWR_RATING_RO_ROLLUP[#Headers],0)),"ERROR"))</f>
        <v>407</v>
      </c>
      <c r="G46" s="155">
        <f>IF($B46=" ","",IFERROR(INDEX(MMWR_RATING_RO_ROLLUP[],MATCH($B46,MMWR_RATING_RO_ROLLUP[MMWR_RATING_RO_ROLLUP],0),MATCH(G$9,MMWR_RATING_RO_ROLLUP[#Headers],0)),"ERROR"))</f>
        <v>12627</v>
      </c>
      <c r="H46" s="156">
        <f>IF($B46=" ","",IFERROR(INDEX(MMWR_RATING_RO_ROLLUP[],MATCH($B46,MMWR_RATING_RO_ROLLUP[MMWR_RATING_RO_ROLLUP],0),MATCH(H$9,MMWR_RATING_RO_ROLLUP[#Headers],0)),"ERROR"))</f>
        <v>121.9041769042</v>
      </c>
      <c r="I46" s="156">
        <f>IF($B46=" ","",IFERROR(INDEX(MMWR_RATING_RO_ROLLUP[],MATCH($B46,MMWR_RATING_RO_ROLLUP[MMWR_RATING_RO_ROLLUP],0),MATCH(I$9,MMWR_RATING_RO_ROLLUP[#Headers],0)),"ERROR"))</f>
        <v>165.8383622396</v>
      </c>
      <c r="J46" s="42"/>
      <c r="K46" s="42"/>
      <c r="L46" s="42"/>
      <c r="M46" s="42"/>
      <c r="N46" s="42"/>
      <c r="O46" s="42"/>
      <c r="P46" s="28"/>
    </row>
    <row r="47" spans="1:16" x14ac:dyDescent="0.2">
      <c r="A47" s="25"/>
      <c r="B47" s="45" t="s">
        <v>219</v>
      </c>
      <c r="C47" s="155">
        <f>IF($B47=" ","",IFERROR(INDEX(MMWR_RATING_RO_ROLLUP[],MATCH($B47,MMWR_RATING_RO_ROLLUP[MMWR_RATING_RO_ROLLUP],0),MATCH(C$9,MMWR_RATING_RO_ROLLUP[#Headers],0)),"ERROR"))</f>
        <v>5857</v>
      </c>
      <c r="D47" s="156">
        <f>IF($B47=" ","",IFERROR(INDEX(MMWR_RATING_RO_ROLLUP[],MATCH($B47,MMWR_RATING_RO_ROLLUP[MMWR_RATING_RO_ROLLUP],0),MATCH(D$9,MMWR_RATING_RO_ROLLUP[#Headers],0)),"ERROR"))</f>
        <v>71.474645723099997</v>
      </c>
      <c r="E47" s="157">
        <f>IF($B47=" ","",IFERROR(INDEX(MMWR_RATING_RO_ROLLUP[],MATCH($B47,MMWR_RATING_RO_ROLLUP[MMWR_RATING_RO_ROLLUP],0),MATCH(E$9,MMWR_RATING_RO_ROLLUP[#Headers],0))/$C47,"ERROR"))</f>
        <v>0.11575892094929145</v>
      </c>
      <c r="F47" s="155">
        <f>IF($B47=" ","",IFERROR(INDEX(MMWR_RATING_RO_ROLLUP[],MATCH($B47,MMWR_RATING_RO_ROLLUP[MMWR_RATING_RO_ROLLUP],0),MATCH(F$9,MMWR_RATING_RO_ROLLUP[#Headers],0)),"ERROR"))</f>
        <v>418</v>
      </c>
      <c r="G47" s="155">
        <f>IF($B47=" ","",IFERROR(INDEX(MMWR_RATING_RO_ROLLUP[],MATCH($B47,MMWR_RATING_RO_ROLLUP[MMWR_RATING_RO_ROLLUP],0),MATCH(G$9,MMWR_RATING_RO_ROLLUP[#Headers],0)),"ERROR"))</f>
        <v>9908</v>
      </c>
      <c r="H47" s="156">
        <f>IF($B47=" ","",IFERROR(INDEX(MMWR_RATING_RO_ROLLUP[],MATCH($B47,MMWR_RATING_RO_ROLLUP[MMWR_RATING_RO_ROLLUP],0),MATCH(H$9,MMWR_RATING_RO_ROLLUP[#Headers],0)),"ERROR"))</f>
        <v>148.16267942580001</v>
      </c>
      <c r="I47" s="156">
        <f>IF($B47=" ","",IFERROR(INDEX(MMWR_RATING_RO_ROLLUP[],MATCH($B47,MMWR_RATING_RO_ROLLUP[MMWR_RATING_RO_ROLLUP],0),MATCH(I$9,MMWR_RATING_RO_ROLLUP[#Headers],0)),"ERROR"))</f>
        <v>131.62272910780001</v>
      </c>
      <c r="J47" s="42"/>
      <c r="K47" s="42"/>
      <c r="L47" s="42"/>
      <c r="M47" s="42"/>
      <c r="N47" s="42"/>
      <c r="O47" s="42"/>
      <c r="P47" s="28"/>
    </row>
    <row r="48" spans="1:16" x14ac:dyDescent="0.2">
      <c r="A48" s="25"/>
      <c r="B48" s="47" t="s">
        <v>315</v>
      </c>
      <c r="C48" s="155">
        <f>IF($B48=" ","",IFERROR(INDEX(MMWR_RATING_RO_ROLLUP[],MATCH($B48,MMWR_RATING_RO_ROLLUP[MMWR_RATING_RO_ROLLUP],0),MATCH(C$9,MMWR_RATING_RO_ROLLUP[#Headers],0)),"ERROR"))</f>
        <v>653</v>
      </c>
      <c r="D48" s="156">
        <f>IF($B48=" ","",IFERROR(INDEX(MMWR_RATING_RO_ROLLUP[],MATCH($B48,MMWR_RATING_RO_ROLLUP[MMWR_RATING_RO_ROLLUP],0),MATCH(D$9,MMWR_RATING_RO_ROLLUP[#Headers],0)),"ERROR"))</f>
        <v>70.370597243500001</v>
      </c>
      <c r="E48" s="157">
        <f>IF($B48=" ","",IFERROR(INDEX(MMWR_RATING_RO_ROLLUP[],MATCH($B48,MMWR_RATING_RO_ROLLUP[MMWR_RATING_RO_ROLLUP],0),MATCH(E$9,MMWR_RATING_RO_ROLLUP[#Headers],0))/$C48,"ERROR"))</f>
        <v>0.1225114854517611</v>
      </c>
      <c r="F48" s="155">
        <f>IF($B48=" ","",IFERROR(INDEX(MMWR_RATING_RO_ROLLUP[],MATCH($B48,MMWR_RATING_RO_ROLLUP[MMWR_RATING_RO_ROLLUP],0),MATCH(F$9,MMWR_RATING_RO_ROLLUP[#Headers],0)),"ERROR"))</f>
        <v>68</v>
      </c>
      <c r="G48" s="155">
        <f>IF($B48=" ","",IFERROR(INDEX(MMWR_RATING_RO_ROLLUP[],MATCH($B48,MMWR_RATING_RO_ROLLUP[MMWR_RATING_RO_ROLLUP],0),MATCH(G$9,MMWR_RATING_RO_ROLLUP[#Headers],0)),"ERROR"))</f>
        <v>1974</v>
      </c>
      <c r="H48" s="156">
        <f>IF($B48=" ","",IFERROR(INDEX(MMWR_RATING_RO_ROLLUP[],MATCH($B48,MMWR_RATING_RO_ROLLUP[MMWR_RATING_RO_ROLLUP],0),MATCH(H$9,MMWR_RATING_RO_ROLLUP[#Headers],0)),"ERROR"))</f>
        <v>125.7794117647</v>
      </c>
      <c r="I48" s="156">
        <f>IF($B48=" ","",IFERROR(INDEX(MMWR_RATING_RO_ROLLUP[],MATCH($B48,MMWR_RATING_RO_ROLLUP[MMWR_RATING_RO_ROLLUP],0),MATCH(I$9,MMWR_RATING_RO_ROLLUP[#Headers],0)),"ERROR"))</f>
        <v>144.13019250249999</v>
      </c>
      <c r="J48" s="42"/>
      <c r="K48" s="42"/>
      <c r="L48" s="42"/>
      <c r="M48" s="42"/>
      <c r="N48" s="42"/>
      <c r="O48" s="42"/>
      <c r="P48" s="28"/>
    </row>
    <row r="49" spans="1:16" ht="15.75" x14ac:dyDescent="0.25">
      <c r="A49" s="25"/>
      <c r="B49" s="376" t="s">
        <v>1059</v>
      </c>
      <c r="C49" s="376"/>
      <c r="D49" s="376"/>
      <c r="E49" s="376"/>
      <c r="F49" s="376"/>
      <c r="G49" s="376"/>
      <c r="H49" s="376"/>
      <c r="I49" s="376"/>
      <c r="J49" s="376"/>
      <c r="K49" s="376"/>
      <c r="L49" s="376"/>
      <c r="M49" s="376"/>
      <c r="N49" s="376"/>
      <c r="O49" s="263"/>
      <c r="P49" s="28"/>
    </row>
    <row r="50" spans="1:16" ht="12" customHeight="1" x14ac:dyDescent="0.2">
      <c r="A50" s="25"/>
      <c r="B50" s="26"/>
      <c r="C50" s="26"/>
      <c r="D50" s="26"/>
      <c r="E50" s="26"/>
      <c r="F50" s="26"/>
      <c r="G50" s="26"/>
      <c r="H50" s="26"/>
      <c r="I50" s="26"/>
      <c r="J50" s="26"/>
      <c r="K50" s="27" t="s">
        <v>930</v>
      </c>
      <c r="L50" s="27" t="s">
        <v>935</v>
      </c>
      <c r="M50" s="27" t="s">
        <v>936</v>
      </c>
      <c r="N50" s="27" t="s">
        <v>937</v>
      </c>
      <c r="O50" s="27" t="s">
        <v>938</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49" t="s">
        <v>301</v>
      </c>
      <c r="D2" s="350"/>
      <c r="E2" s="350"/>
      <c r="F2" s="350"/>
      <c r="G2" s="350"/>
      <c r="H2" s="350"/>
      <c r="I2" s="350"/>
      <c r="J2" s="349" t="s">
        <v>307</v>
      </c>
      <c r="K2" s="350"/>
      <c r="L2" s="350"/>
      <c r="M2" s="351"/>
      <c r="N2" s="28"/>
    </row>
    <row r="3" spans="1:16" ht="24" customHeight="1" thickBot="1" x14ac:dyDescent="0.4">
      <c r="A3" s="25"/>
      <c r="B3" s="29"/>
      <c r="C3" s="352"/>
      <c r="D3" s="353"/>
      <c r="E3" s="353"/>
      <c r="F3" s="353"/>
      <c r="G3" s="353"/>
      <c r="H3" s="353"/>
      <c r="I3" s="353"/>
      <c r="J3" s="352" t="str">
        <f>Transformation!B4</f>
        <v>As of: September 19, 2015</v>
      </c>
      <c r="K3" s="353"/>
      <c r="L3" s="353"/>
      <c r="M3" s="354"/>
      <c r="N3" s="28"/>
    </row>
    <row r="4" spans="1:16" ht="51" customHeight="1" thickBot="1" x14ac:dyDescent="0.35">
      <c r="A4" s="30"/>
      <c r="B4" s="248" t="s">
        <v>463</v>
      </c>
      <c r="C4" s="355" t="s">
        <v>978</v>
      </c>
      <c r="D4" s="356"/>
      <c r="E4" s="356"/>
      <c r="F4" s="356"/>
      <c r="G4" s="356"/>
      <c r="H4" s="356"/>
      <c r="I4" s="356"/>
      <c r="J4" s="356"/>
      <c r="K4" s="356"/>
      <c r="L4" s="356"/>
      <c r="M4" s="357"/>
      <c r="N4" s="28"/>
      <c r="O4" s="22"/>
      <c r="P4" s="23"/>
    </row>
    <row r="5" spans="1:16" ht="27" customHeight="1" thickBot="1" x14ac:dyDescent="0.25">
      <c r="A5" s="30"/>
      <c r="B5" s="48"/>
      <c r="C5" s="358" t="s">
        <v>1050</v>
      </c>
      <c r="D5" s="359"/>
      <c r="E5" s="359"/>
      <c r="F5" s="359"/>
      <c r="G5" s="359"/>
      <c r="H5" s="359"/>
      <c r="I5" s="359"/>
      <c r="J5" s="359"/>
      <c r="K5" s="359"/>
      <c r="L5" s="359"/>
      <c r="M5" s="359"/>
      <c r="N5" s="359"/>
      <c r="O5" s="360"/>
    </row>
    <row r="6" spans="1:16" ht="55.5" customHeight="1" x14ac:dyDescent="0.2">
      <c r="A6" s="30"/>
      <c r="B6" s="31"/>
      <c r="C6" s="32" t="s">
        <v>196</v>
      </c>
      <c r="D6" s="361" t="s">
        <v>16</v>
      </c>
      <c r="E6" s="362"/>
      <c r="F6" s="33" t="s">
        <v>199</v>
      </c>
      <c r="G6" s="361" t="s">
        <v>204</v>
      </c>
      <c r="H6" s="363"/>
      <c r="I6" s="33" t="s">
        <v>202</v>
      </c>
      <c r="J6" s="49" t="s">
        <v>14</v>
      </c>
      <c r="K6" s="33" t="s">
        <v>207</v>
      </c>
      <c r="L6" s="367" t="s">
        <v>88</v>
      </c>
      <c r="M6" s="395"/>
      <c r="N6" s="28"/>
    </row>
    <row r="7" spans="1:16" ht="51.75" customHeight="1" x14ac:dyDescent="0.2">
      <c r="A7" s="30"/>
      <c r="B7" s="34"/>
      <c r="C7" s="35" t="s">
        <v>197</v>
      </c>
      <c r="D7" s="379" t="s">
        <v>0</v>
      </c>
      <c r="E7" s="380"/>
      <c r="F7" s="36" t="s">
        <v>200</v>
      </c>
      <c r="G7" s="381" t="s">
        <v>205</v>
      </c>
      <c r="H7" s="381"/>
      <c r="I7" s="36" t="s">
        <v>203</v>
      </c>
      <c r="J7" s="50" t="s">
        <v>19</v>
      </c>
      <c r="K7" s="36" t="s">
        <v>208</v>
      </c>
      <c r="L7" s="391" t="s">
        <v>90</v>
      </c>
      <c r="M7" s="392"/>
      <c r="N7" s="28"/>
    </row>
    <row r="8" spans="1:16" ht="51.75" customHeight="1" thickBot="1" x14ac:dyDescent="0.25">
      <c r="A8" s="25"/>
      <c r="B8" s="28"/>
      <c r="C8" s="37" t="s">
        <v>198</v>
      </c>
      <c r="D8" s="382" t="s">
        <v>18</v>
      </c>
      <c r="E8" s="383"/>
      <c r="F8" s="38" t="s">
        <v>201</v>
      </c>
      <c r="G8" s="384" t="s">
        <v>17</v>
      </c>
      <c r="H8" s="384"/>
      <c r="I8" s="38" t="s">
        <v>206</v>
      </c>
      <c r="J8" s="51" t="s">
        <v>87</v>
      </c>
      <c r="K8" s="38" t="s">
        <v>209</v>
      </c>
      <c r="L8" s="393" t="s">
        <v>89</v>
      </c>
      <c r="M8" s="394"/>
      <c r="N8" s="28"/>
    </row>
    <row r="9" spans="1:16" x14ac:dyDescent="0.2">
      <c r="A9" s="28"/>
      <c r="B9" s="28"/>
      <c r="C9" s="39" t="s">
        <v>707</v>
      </c>
      <c r="D9" s="39" t="s">
        <v>709</v>
      </c>
      <c r="E9" s="39" t="s">
        <v>708</v>
      </c>
      <c r="F9" s="39" t="s">
        <v>711</v>
      </c>
      <c r="G9" s="39" t="s">
        <v>710</v>
      </c>
      <c r="H9" s="39" t="s">
        <v>721</v>
      </c>
      <c r="I9" s="39" t="s">
        <v>720</v>
      </c>
      <c r="J9" s="39"/>
      <c r="K9" s="39"/>
      <c r="L9" s="39"/>
      <c r="M9" s="39"/>
      <c r="N9" s="28"/>
    </row>
    <row r="10" spans="1:16" ht="15.75" customHeight="1" x14ac:dyDescent="0.2">
      <c r="A10" s="25"/>
      <c r="B10" s="26"/>
      <c r="C10" s="385" t="s">
        <v>300</v>
      </c>
      <c r="D10" s="385"/>
      <c r="E10" s="385"/>
      <c r="F10" s="385"/>
      <c r="G10" s="385"/>
      <c r="H10" s="385"/>
      <c r="I10" s="385"/>
      <c r="J10" s="385"/>
      <c r="K10" s="385"/>
      <c r="L10" s="385"/>
      <c r="M10" s="386"/>
      <c r="N10" s="28"/>
    </row>
    <row r="11" spans="1:16" ht="64.5" customHeight="1" x14ac:dyDescent="0.2">
      <c r="A11" s="25"/>
      <c r="B11" s="26"/>
      <c r="C11" s="52" t="s">
        <v>232</v>
      </c>
      <c r="D11" s="52" t="s">
        <v>140</v>
      </c>
      <c r="E11" s="52" t="s">
        <v>233</v>
      </c>
      <c r="F11" s="52" t="s">
        <v>195</v>
      </c>
      <c r="G11" s="52" t="s">
        <v>210</v>
      </c>
      <c r="H11" s="52" t="s">
        <v>212</v>
      </c>
      <c r="I11" s="52" t="s">
        <v>213</v>
      </c>
      <c r="J11" s="388" t="s">
        <v>979</v>
      </c>
      <c r="K11" s="389"/>
      <c r="L11" s="389"/>
      <c r="M11" s="390"/>
      <c r="N11" s="28"/>
    </row>
    <row r="12" spans="1:16" x14ac:dyDescent="0.2">
      <c r="A12" s="25"/>
      <c r="B12" s="41" t="s">
        <v>737</v>
      </c>
      <c r="C12" s="155">
        <f>IF($B12=" ","",IFERROR(INDEX(MMWR_RATING_RO_ROLLUP[],MATCH($B12,MMWR_RATING_RO_ROLLUP[MMWR_RATING_RO_ROLLUP],0),MATCH(C$9,MMWR_RATING_RO_ROLLUP[#Headers],0)),"ERROR"))</f>
        <v>369352</v>
      </c>
      <c r="D12" s="156">
        <f>IF($B12=" ","",IFERROR(INDEX(MMWR_RATING_RO_ROLLUP[],MATCH($B12,MMWR_RATING_RO_ROLLUP[MMWR_RATING_RO_ROLLUP],0),MATCH(D$9,MMWR_RATING_RO_ROLLUP[#Headers],0)),"ERROR"))</f>
        <v>96.589749074099998</v>
      </c>
      <c r="E12" s="157">
        <f>IF($B12=" ","",IFERROR(INDEX(MMWR_RATING_RO_ROLLUP[],MATCH($B12,MMWR_RATING_RO_ROLLUP[MMWR_RATING_RO_ROLLUP],0),MATCH(E$9,MMWR_RATING_RO_ROLLUP[#Headers],0))/$C12,"ERROR"))</f>
        <v>0.22168825402326237</v>
      </c>
      <c r="F12" s="155">
        <f>IF($B12=" ","",IFERROR(INDEX(MMWR_RATING_RO_ROLLUP[],MATCH($B12,MMWR_RATING_RO_ROLLUP[MMWR_RATING_RO_ROLLUP],0),MATCH(F$9,MMWR_RATING_RO_ROLLUP[#Headers],0)),"ERROR"))</f>
        <v>62538</v>
      </c>
      <c r="G12" s="155">
        <f>IF($B12=" ","",IFERROR(INDEX(MMWR_RATING_RO_ROLLUP[],MATCH($B12,MMWR_RATING_RO_ROLLUP[MMWR_RATING_RO_ROLLUP],0),MATCH(G$9,MMWR_RATING_RO_ROLLUP[#Headers],0)),"ERROR"))</f>
        <v>1343332</v>
      </c>
      <c r="H12" s="156">
        <f>IF($B12=" ","",IFERROR(INDEX(MMWR_RATING_RO_ROLLUP[],MATCH($B12,MMWR_RATING_RO_ROLLUP[MMWR_RATING_RO_ROLLUP],0),MATCH(H$9,MMWR_RATING_RO_ROLLUP[#Headers],0)),"ERROR"))</f>
        <v>148.83354120690001</v>
      </c>
      <c r="I12" s="156">
        <f>IF($B12=" ","",IFERROR(INDEX(MMWR_RATING_RO_ROLLUP[],MATCH($B12,MMWR_RATING_RO_ROLLUP[MMWR_RATING_RO_ROLLUP],0),MATCH(I$9,MMWR_RATING_RO_ROLLUP[#Headers],0)),"ERROR"))</f>
        <v>170.3015620859</v>
      </c>
      <c r="J12" s="42"/>
      <c r="K12" s="42"/>
      <c r="L12" s="42"/>
      <c r="M12" s="42"/>
      <c r="N12" s="28"/>
    </row>
    <row r="13" spans="1:16" x14ac:dyDescent="0.2">
      <c r="A13" s="25"/>
      <c r="B13" s="377" t="s">
        <v>740</v>
      </c>
      <c r="C13" s="378"/>
      <c r="D13" s="378"/>
      <c r="E13" s="378"/>
      <c r="F13" s="378"/>
      <c r="G13" s="378"/>
      <c r="H13" s="378"/>
      <c r="I13" s="378"/>
      <c r="J13" s="378"/>
      <c r="K13" s="378"/>
      <c r="L13" s="378"/>
      <c r="M13" s="387"/>
      <c r="N13" s="28"/>
    </row>
    <row r="14" spans="1:16" x14ac:dyDescent="0.2">
      <c r="A14" s="25"/>
      <c r="B14" s="41" t="s">
        <v>736</v>
      </c>
      <c r="C14" s="155">
        <f>IF($B14=" ","",IFERROR(INDEX(MMWR_RATING_RO_ROLLUP[],MATCH($B14,MMWR_RATING_RO_ROLLUP[MMWR_RATING_RO_ROLLUP],0),MATCH(C$9,MMWR_RATING_RO_ROLLUP[#Headers],0)),"ERROR"))</f>
        <v>329325</v>
      </c>
      <c r="D14" s="156">
        <f>IF($B14=" ","",IFERROR(INDEX(MMWR_RATING_RO_ROLLUP[],MATCH($B14,MMWR_RATING_RO_ROLLUP[MMWR_RATING_RO_ROLLUP],0),MATCH(D$9,MMWR_RATING_RO_ROLLUP[#Headers],0)),"ERROR"))</f>
        <v>100.5989038184</v>
      </c>
      <c r="E14" s="157">
        <f>IF($B14=" ","",IFERROR(INDEX(MMWR_RATING_RO_ROLLUP[],MATCH($B14,MMWR_RATING_RO_ROLLUP[MMWR_RATING_RO_ROLLUP],0),MATCH(E$9,MMWR_RATING_RO_ROLLUP[#Headers],0))/$C14,"ERROR"))</f>
        <v>0.23714871327715784</v>
      </c>
      <c r="F14" s="155">
        <f>IF($B14=" ","",IFERROR(INDEX(MMWR_RATING_RO_ROLLUP[],MATCH($B14,MMWR_RATING_RO_ROLLUP[MMWR_RATING_RO_ROLLUP],0),MATCH(F$9,MMWR_RATING_RO_ROLLUP[#Headers],0)),"ERROR"))</f>
        <v>52639</v>
      </c>
      <c r="G14" s="155">
        <f>IF($B14=" ","",IFERROR(INDEX(MMWR_RATING_RO_ROLLUP[],MATCH($B14,MMWR_RATING_RO_ROLLUP[MMWR_RATING_RO_ROLLUP],0),MATCH(G$9,MMWR_RATING_RO_ROLLUP[#Headers],0)),"ERROR"))</f>
        <v>1145412</v>
      </c>
      <c r="H14" s="156">
        <f>IF($B14=" ","",IFERROR(INDEX(MMWR_RATING_RO_ROLLUP[],MATCH($B14,MMWR_RATING_RO_ROLLUP[MMWR_RATING_RO_ROLLUP],0),MATCH(H$9,MMWR_RATING_RO_ROLLUP[#Headers],0)),"ERROR"))</f>
        <v>161.98267444289999</v>
      </c>
      <c r="I14" s="156">
        <f>IF($B14=" ","",IFERROR(INDEX(MMWR_RATING_RO_ROLLUP[],MATCH($B14,MMWR_RATING_RO_ROLLUP[MMWR_RATING_RO_ROLLUP],0),MATCH(I$9,MMWR_RATING_RO_ROLLUP[#Headers],0)),"ERROR"))</f>
        <v>185.25830443539999</v>
      </c>
      <c r="J14" s="42"/>
      <c r="K14" s="42"/>
      <c r="L14" s="42"/>
      <c r="M14" s="42"/>
      <c r="N14" s="28"/>
    </row>
    <row r="15" spans="1:16" x14ac:dyDescent="0.2">
      <c r="A15" s="25"/>
      <c r="B15" s="249" t="s">
        <v>377</v>
      </c>
      <c r="C15" s="155">
        <f>IF($B15=" ","",IFERROR(INDEX(MMWR_RATING_RO_ROLLUP[],MATCH($B15,MMWR_RATING_RO_ROLLUP[MMWR_RATING_RO_ROLLUP],0),MATCH(C$9,MMWR_RATING_RO_ROLLUP[#Headers],0)),"ERROR"))</f>
        <v>72500</v>
      </c>
      <c r="D15" s="156">
        <f>IF($B15=" ","",IFERROR(INDEX(MMWR_RATING_RO_ROLLUP[],MATCH($B15,MMWR_RATING_RO_ROLLUP[MMWR_RATING_RO_ROLLUP],0),MATCH(D$9,MMWR_RATING_RO_ROLLUP[#Headers],0)),"ERROR"))</f>
        <v>100.8259724138</v>
      </c>
      <c r="E15" s="157">
        <f>IF($B15=" ","",IFERROR(INDEX(MMWR_RATING_RO_ROLLUP[],MATCH($B15,MMWR_RATING_RO_ROLLUP[MMWR_RATING_RO_ROLLUP],0),MATCH(E$9,MMWR_RATING_RO_ROLLUP[#Headers],0))/$C15,"ERROR"))</f>
        <v>0.23801379310344828</v>
      </c>
      <c r="F15" s="155">
        <f>IF($B15=" ","",IFERROR(INDEX(MMWR_RATING_RO_ROLLUP[],MATCH($B15,MMWR_RATING_RO_ROLLUP[MMWR_RATING_RO_ROLLUP],0),MATCH(F$9,MMWR_RATING_RO_ROLLUP[#Headers],0)),"ERROR"))</f>
        <v>11274</v>
      </c>
      <c r="G15" s="155">
        <f>IF($B15=" ","",IFERROR(INDEX(MMWR_RATING_RO_ROLLUP[],MATCH($B15,MMWR_RATING_RO_ROLLUP[MMWR_RATING_RO_ROLLUP],0),MATCH(G$9,MMWR_RATING_RO_ROLLUP[#Headers],0)),"ERROR"))</f>
        <v>252454</v>
      </c>
      <c r="H15" s="156">
        <f>IF($B15=" ","",IFERROR(INDEX(MMWR_RATING_RO_ROLLUP[],MATCH($B15,MMWR_RATING_RO_ROLLUP[MMWR_RATING_RO_ROLLUP],0),MATCH(H$9,MMWR_RATING_RO_ROLLUP[#Headers],0)),"ERROR"))</f>
        <v>164.4507716871</v>
      </c>
      <c r="I15" s="156">
        <f>IF($B15=" ","",IFERROR(INDEX(MMWR_RATING_RO_ROLLUP[],MATCH($B15,MMWR_RATING_RO_ROLLUP[MMWR_RATING_RO_ROLLUP],0),MATCH(I$9,MMWR_RATING_RO_ROLLUP[#Headers],0)),"ERROR"))</f>
        <v>190.03687008329999</v>
      </c>
      <c r="J15" s="42"/>
      <c r="K15" s="42"/>
      <c r="L15" s="42"/>
      <c r="M15" s="42"/>
      <c r="N15" s="28"/>
    </row>
    <row r="16" spans="1:16" x14ac:dyDescent="0.2">
      <c r="A16" s="25"/>
      <c r="B16" s="8" t="str">
        <f>VLOOKUP($B$15,DISTRICT_RO[],2,0)</f>
        <v>Baltimore VSC</v>
      </c>
      <c r="C16" s="155">
        <f>IF($B16=" ","",IFERROR(INDEX(MMWR_RATING_RO_ROLLUP[],MATCH($B16,MMWR_RATING_RO_ROLLUP[MMWR_RATING_RO_ROLLUP],0),MATCH(C$9,MMWR_RATING_RO_ROLLUP[#Headers],0)),"ERROR"))</f>
        <v>4796</v>
      </c>
      <c r="D16" s="156">
        <f>IF($B16=" ","",IFERROR(INDEX(MMWR_RATING_RO_ROLLUP[],MATCH($B16,MMWR_RATING_RO_ROLLUP[MMWR_RATING_RO_ROLLUP],0),MATCH(D$9,MMWR_RATING_RO_ROLLUP[#Headers],0)),"ERROR"))</f>
        <v>105.41909924940001</v>
      </c>
      <c r="E16" s="157">
        <f>IF($B16=" ","",IFERROR(INDEX(MMWR_RATING_RO_ROLLUP[],MATCH($B16,MMWR_RATING_RO_ROLLUP[MMWR_RATING_RO_ROLLUP],0),MATCH(E$9,MMWR_RATING_RO_ROLLUP[#Headers],0))/$C16,"ERROR"))</f>
        <v>0.22435362802335279</v>
      </c>
      <c r="F16" s="155">
        <f>IF($B16=" ","",IFERROR(INDEX(MMWR_RATING_RO_ROLLUP[],MATCH($B16,MMWR_RATING_RO_ROLLUP[MMWR_RATING_RO_ROLLUP],0),MATCH(F$9,MMWR_RATING_RO_ROLLUP[#Headers],0)),"ERROR"))</f>
        <v>746</v>
      </c>
      <c r="G16" s="155">
        <f>IF($B16=" ","",IFERROR(INDEX(MMWR_RATING_RO_ROLLUP[],MATCH($B16,MMWR_RATING_RO_ROLLUP[MMWR_RATING_RO_ROLLUP],0),MATCH(G$9,MMWR_RATING_RO_ROLLUP[#Headers],0)),"ERROR"))</f>
        <v>19108</v>
      </c>
      <c r="H16" s="156">
        <f>IF($B16=" ","",IFERROR(INDEX(MMWR_RATING_RO_ROLLUP[],MATCH($B16,MMWR_RATING_RO_ROLLUP[MMWR_RATING_RO_ROLLUP],0),MATCH(H$9,MMWR_RATING_RO_ROLLUP[#Headers],0)),"ERROR"))</f>
        <v>212.6957104558</v>
      </c>
      <c r="I16" s="156">
        <f>IF($B16=" ","",IFERROR(INDEX(MMWR_RATING_RO_ROLLUP[],MATCH($B16,MMWR_RATING_RO_ROLLUP[MMWR_RATING_RO_ROLLUP],0),MATCH(I$9,MMWR_RATING_RO_ROLLUP[#Headers],0)),"ERROR"))</f>
        <v>246.85718023859999</v>
      </c>
      <c r="J16" s="42"/>
      <c r="K16" s="42"/>
      <c r="L16" s="42"/>
      <c r="M16" s="42"/>
      <c r="N16" s="28"/>
    </row>
    <row r="17" spans="1:14" x14ac:dyDescent="0.2">
      <c r="A17" s="25"/>
      <c r="B17" s="8" t="str">
        <f>VLOOKUP($B$15,DISTRICT_RO[],3,0)</f>
        <v>Boston VSC</v>
      </c>
      <c r="C17" s="155">
        <f>IF($B17=" ","",IFERROR(INDEX(MMWR_RATING_RO_ROLLUP[],MATCH($B17,MMWR_RATING_RO_ROLLUP[MMWR_RATING_RO_ROLLUP],0),MATCH(C$9,MMWR_RATING_RO_ROLLUP[#Headers],0)),"ERROR"))</f>
        <v>3750</v>
      </c>
      <c r="D17" s="156">
        <f>IF($B17=" ","",IFERROR(INDEX(MMWR_RATING_RO_ROLLUP[],MATCH($B17,MMWR_RATING_RO_ROLLUP[MMWR_RATING_RO_ROLLUP],0),MATCH(D$9,MMWR_RATING_RO_ROLLUP[#Headers],0)),"ERROR"))</f>
        <v>100.02133333330001</v>
      </c>
      <c r="E17" s="157">
        <f>IF($B17=" ","",IFERROR(INDEX(MMWR_RATING_RO_ROLLUP[],MATCH($B17,MMWR_RATING_RO_ROLLUP[MMWR_RATING_RO_ROLLUP],0),MATCH(E$9,MMWR_RATING_RO_ROLLUP[#Headers],0))/$C17,"ERROR"))</f>
        <v>0.25413333333333332</v>
      </c>
      <c r="F17" s="155">
        <f>IF($B17=" ","",IFERROR(INDEX(MMWR_RATING_RO_ROLLUP[],MATCH($B17,MMWR_RATING_RO_ROLLUP[MMWR_RATING_RO_ROLLUP],0),MATCH(F$9,MMWR_RATING_RO_ROLLUP[#Headers],0)),"ERROR"))</f>
        <v>535</v>
      </c>
      <c r="G17" s="155">
        <f>IF($B17=" ","",IFERROR(INDEX(MMWR_RATING_RO_ROLLUP[],MATCH($B17,MMWR_RATING_RO_ROLLUP[MMWR_RATING_RO_ROLLUP],0),MATCH(G$9,MMWR_RATING_RO_ROLLUP[#Headers],0)),"ERROR"))</f>
        <v>11902</v>
      </c>
      <c r="H17" s="156">
        <f>IF($B17=" ","",IFERROR(INDEX(MMWR_RATING_RO_ROLLUP[],MATCH($B17,MMWR_RATING_RO_ROLLUP[MMWR_RATING_RO_ROLLUP],0),MATCH(H$9,MMWR_RATING_RO_ROLLUP[#Headers],0)),"ERROR"))</f>
        <v>167.6878504673</v>
      </c>
      <c r="I17" s="156">
        <f>IF($B17=" ","",IFERROR(INDEX(MMWR_RATING_RO_ROLLUP[],MATCH($B17,MMWR_RATING_RO_ROLLUP[MMWR_RATING_RO_ROLLUP],0),MATCH(I$9,MMWR_RATING_RO_ROLLUP[#Headers],0)),"ERROR"))</f>
        <v>210.82683582589999</v>
      </c>
      <c r="J17" s="42"/>
      <c r="K17" s="42"/>
      <c r="L17" s="42"/>
      <c r="M17" s="42"/>
      <c r="N17" s="28"/>
    </row>
    <row r="18" spans="1:14" x14ac:dyDescent="0.2">
      <c r="A18" s="25"/>
      <c r="B18" s="8" t="str">
        <f>VLOOKUP($B$15,DISTRICT_RO[],4,0)</f>
        <v>Buffalo VSC</v>
      </c>
      <c r="C18" s="155">
        <f>IF($B18=" ","",IFERROR(INDEX(MMWR_RATING_RO_ROLLUP[],MATCH($B18,MMWR_RATING_RO_ROLLUP[MMWR_RATING_RO_ROLLUP],0),MATCH(C$9,MMWR_RATING_RO_ROLLUP[#Headers],0)),"ERROR"))</f>
        <v>4268</v>
      </c>
      <c r="D18" s="156">
        <f>IF($B18=" ","",IFERROR(INDEX(MMWR_RATING_RO_ROLLUP[],MATCH($B18,MMWR_RATING_RO_ROLLUP[MMWR_RATING_RO_ROLLUP],0),MATCH(D$9,MMWR_RATING_RO_ROLLUP[#Headers],0)),"ERROR"))</f>
        <v>98.874648547299998</v>
      </c>
      <c r="E18" s="157">
        <f>IF($B18=" ","",IFERROR(INDEX(MMWR_RATING_RO_ROLLUP[],MATCH($B18,MMWR_RATING_RO_ROLLUP[MMWR_RATING_RO_ROLLUP],0),MATCH(E$9,MMWR_RATING_RO_ROLLUP[#Headers],0))/$C18,"ERROR"))</f>
        <v>0.22914714151827553</v>
      </c>
      <c r="F18" s="155">
        <f>IF($B18=" ","",IFERROR(INDEX(MMWR_RATING_RO_ROLLUP[],MATCH($B18,MMWR_RATING_RO_ROLLUP[MMWR_RATING_RO_ROLLUP],0),MATCH(F$9,MMWR_RATING_RO_ROLLUP[#Headers],0)),"ERROR"))</f>
        <v>823</v>
      </c>
      <c r="G18" s="155">
        <f>IF($B18=" ","",IFERROR(INDEX(MMWR_RATING_RO_ROLLUP[],MATCH($B18,MMWR_RATING_RO_ROLLUP[MMWR_RATING_RO_ROLLUP],0),MATCH(G$9,MMWR_RATING_RO_ROLLUP[#Headers],0)),"ERROR"))</f>
        <v>13238</v>
      </c>
      <c r="H18" s="156">
        <f>IF($B18=" ","",IFERROR(INDEX(MMWR_RATING_RO_ROLLUP[],MATCH($B18,MMWR_RATING_RO_ROLLUP[MMWR_RATING_RO_ROLLUP],0),MATCH(H$9,MMWR_RATING_RO_ROLLUP[#Headers],0)),"ERROR"))</f>
        <v>171.73390036449999</v>
      </c>
      <c r="I18" s="156">
        <f>IF($B18=" ","",IFERROR(INDEX(MMWR_RATING_RO_ROLLUP[],MATCH($B18,MMWR_RATING_RO_ROLLUP[MMWR_RATING_RO_ROLLUP],0),MATCH(I$9,MMWR_RATING_RO_ROLLUP[#Headers],0)),"ERROR"))</f>
        <v>206.70373168149999</v>
      </c>
      <c r="J18" s="42"/>
      <c r="K18" s="42"/>
      <c r="L18" s="42"/>
      <c r="M18" s="42"/>
      <c r="N18" s="28"/>
    </row>
    <row r="19" spans="1:14" x14ac:dyDescent="0.2">
      <c r="A19" s="25"/>
      <c r="B19" s="8" t="str">
        <f>VLOOKUP($B$15,DISTRICT_RO[],5,0)</f>
        <v>Hartford VSC</v>
      </c>
      <c r="C19" s="155">
        <f>IF($B19=" ","",IFERROR(INDEX(MMWR_RATING_RO_ROLLUP[],MATCH($B19,MMWR_RATING_RO_ROLLUP[MMWR_RATING_RO_ROLLUP],0),MATCH(C$9,MMWR_RATING_RO_ROLLUP[#Headers],0)),"ERROR"))</f>
        <v>1818</v>
      </c>
      <c r="D19" s="156">
        <f>IF($B19=" ","",IFERROR(INDEX(MMWR_RATING_RO_ROLLUP[],MATCH($B19,MMWR_RATING_RO_ROLLUP[MMWR_RATING_RO_ROLLUP],0),MATCH(D$9,MMWR_RATING_RO_ROLLUP[#Headers],0)),"ERROR"))</f>
        <v>86.223872387200004</v>
      </c>
      <c r="E19" s="157">
        <f>IF($B19=" ","",IFERROR(INDEX(MMWR_RATING_RO_ROLLUP[],MATCH($B19,MMWR_RATING_RO_ROLLUP[MMWR_RATING_RO_ROLLUP],0),MATCH(E$9,MMWR_RATING_RO_ROLLUP[#Headers],0))/$C19,"ERROR"))</f>
        <v>0.18811881188118812</v>
      </c>
      <c r="F19" s="155">
        <f>IF($B19=" ","",IFERROR(INDEX(MMWR_RATING_RO_ROLLUP[],MATCH($B19,MMWR_RATING_RO_ROLLUP[MMWR_RATING_RO_ROLLUP],0),MATCH(F$9,MMWR_RATING_RO_ROLLUP[#Headers],0)),"ERROR"))</f>
        <v>307</v>
      </c>
      <c r="G19" s="155">
        <f>IF($B19=" ","",IFERROR(INDEX(MMWR_RATING_RO_ROLLUP[],MATCH($B19,MMWR_RATING_RO_ROLLUP[MMWR_RATING_RO_ROLLUP],0),MATCH(G$9,MMWR_RATING_RO_ROLLUP[#Headers],0)),"ERROR"))</f>
        <v>6314</v>
      </c>
      <c r="H19" s="156">
        <f>IF($B19=" ","",IFERROR(INDEX(MMWR_RATING_RO_ROLLUP[],MATCH($B19,MMWR_RATING_RO_ROLLUP[MMWR_RATING_RO_ROLLUP],0),MATCH(H$9,MMWR_RATING_RO_ROLLUP[#Headers],0)),"ERROR"))</f>
        <v>149.0846905537</v>
      </c>
      <c r="I19" s="156">
        <f>IF($B19=" ","",IFERROR(INDEX(MMWR_RATING_RO_ROLLUP[],MATCH($B19,MMWR_RATING_RO_ROLLUP[MMWR_RATING_RO_ROLLUP],0),MATCH(I$9,MMWR_RATING_RO_ROLLUP[#Headers],0)),"ERROR"))</f>
        <v>150.88454228699999</v>
      </c>
      <c r="J19" s="42"/>
      <c r="K19" s="42"/>
      <c r="L19" s="42"/>
      <c r="M19" s="42"/>
      <c r="N19" s="28"/>
    </row>
    <row r="20" spans="1:14" x14ac:dyDescent="0.2">
      <c r="A20" s="25"/>
      <c r="B20" s="8" t="str">
        <f>VLOOKUP($B$15,DISTRICT_RO[],6,0)</f>
        <v>Huntington VSC</v>
      </c>
      <c r="C20" s="155">
        <f>IF($B20=" ","",IFERROR(INDEX(MMWR_RATING_RO_ROLLUP[],MATCH($B20,MMWR_RATING_RO_ROLLUP[MMWR_RATING_RO_ROLLUP],0),MATCH(C$9,MMWR_RATING_RO_ROLLUP[#Headers],0)),"ERROR"))</f>
        <v>2262</v>
      </c>
      <c r="D20" s="156">
        <f>IF($B20=" ","",IFERROR(INDEX(MMWR_RATING_RO_ROLLUP[],MATCH($B20,MMWR_RATING_RO_ROLLUP[MMWR_RATING_RO_ROLLUP],0),MATCH(D$9,MMWR_RATING_RO_ROLLUP[#Headers],0)),"ERROR"))</f>
        <v>84.068523430599996</v>
      </c>
      <c r="E20" s="157">
        <f>IF($B20=" ","",IFERROR(INDEX(MMWR_RATING_RO_ROLLUP[],MATCH($B20,MMWR_RATING_RO_ROLLUP[MMWR_RATING_RO_ROLLUP],0),MATCH(E$9,MMWR_RATING_RO_ROLLUP[#Headers],0))/$C20,"ERROR"))</f>
        <v>0.17948717948717949</v>
      </c>
      <c r="F20" s="155">
        <f>IF($B20=" ","",IFERROR(INDEX(MMWR_RATING_RO_ROLLUP[],MATCH($B20,MMWR_RATING_RO_ROLLUP[MMWR_RATING_RO_ROLLUP],0),MATCH(F$9,MMWR_RATING_RO_ROLLUP[#Headers],0)),"ERROR"))</f>
        <v>368</v>
      </c>
      <c r="G20" s="155">
        <f>IF($B20=" ","",IFERROR(INDEX(MMWR_RATING_RO_ROLLUP[],MATCH($B20,MMWR_RATING_RO_ROLLUP[MMWR_RATING_RO_ROLLUP],0),MATCH(G$9,MMWR_RATING_RO_ROLLUP[#Headers],0)),"ERROR"))</f>
        <v>9076</v>
      </c>
      <c r="H20" s="156">
        <f>IF($B20=" ","",IFERROR(INDEX(MMWR_RATING_RO_ROLLUP[],MATCH($B20,MMWR_RATING_RO_ROLLUP[MMWR_RATING_RO_ROLLUP],0),MATCH(H$9,MMWR_RATING_RO_ROLLUP[#Headers],0)),"ERROR"))</f>
        <v>129.5815217391</v>
      </c>
      <c r="I20" s="156">
        <f>IF($B20=" ","",IFERROR(INDEX(MMWR_RATING_RO_ROLLUP[],MATCH($B20,MMWR_RATING_RO_ROLLUP[MMWR_RATING_RO_ROLLUP],0),MATCH(I$9,MMWR_RATING_RO_ROLLUP[#Headers],0)),"ERROR"))</f>
        <v>141.95207139710001</v>
      </c>
      <c r="J20" s="42"/>
      <c r="K20" s="42"/>
      <c r="L20" s="42"/>
      <c r="M20" s="42"/>
      <c r="N20" s="28"/>
    </row>
    <row r="21" spans="1:14" x14ac:dyDescent="0.2">
      <c r="A21" s="25"/>
      <c r="B21" s="8" t="str">
        <f>VLOOKUP($B$15,DISTRICT_RO[],7,0)</f>
        <v>Manchester VSC</v>
      </c>
      <c r="C21" s="155">
        <f>IF($B21=" ","",IFERROR(INDEX(MMWR_RATING_RO_ROLLUP[],MATCH($B21,MMWR_RATING_RO_ROLLUP[MMWR_RATING_RO_ROLLUP],0),MATCH(C$9,MMWR_RATING_RO_ROLLUP[#Headers],0)),"ERROR"))</f>
        <v>1329</v>
      </c>
      <c r="D21" s="156">
        <f>IF($B21=" ","",IFERROR(INDEX(MMWR_RATING_RO_ROLLUP[],MATCH($B21,MMWR_RATING_RO_ROLLUP[MMWR_RATING_RO_ROLLUP],0),MATCH(D$9,MMWR_RATING_RO_ROLLUP[#Headers],0)),"ERROR"))</f>
        <v>86.823927765199997</v>
      </c>
      <c r="E21" s="157">
        <f>IF($B21=" ","",IFERROR(INDEX(MMWR_RATING_RO_ROLLUP[],MATCH($B21,MMWR_RATING_RO_ROLLUP[MMWR_RATING_RO_ROLLUP],0),MATCH(E$9,MMWR_RATING_RO_ROLLUP[#Headers],0))/$C21,"ERROR"))</f>
        <v>0.18359668924003009</v>
      </c>
      <c r="F21" s="155">
        <f>IF($B21=" ","",IFERROR(INDEX(MMWR_RATING_RO_ROLLUP[],MATCH($B21,MMWR_RATING_RO_ROLLUP[MMWR_RATING_RO_ROLLUP],0),MATCH(F$9,MMWR_RATING_RO_ROLLUP[#Headers],0)),"ERROR"))</f>
        <v>157</v>
      </c>
      <c r="G21" s="155">
        <f>IF($B21=" ","",IFERROR(INDEX(MMWR_RATING_RO_ROLLUP[],MATCH($B21,MMWR_RATING_RO_ROLLUP[MMWR_RATING_RO_ROLLUP],0),MATCH(G$9,MMWR_RATING_RO_ROLLUP[#Headers],0)),"ERROR"))</f>
        <v>3897</v>
      </c>
      <c r="H21" s="156">
        <f>IF($B21=" ","",IFERROR(INDEX(MMWR_RATING_RO_ROLLUP[],MATCH($B21,MMWR_RATING_RO_ROLLUP[MMWR_RATING_RO_ROLLUP],0),MATCH(H$9,MMWR_RATING_RO_ROLLUP[#Headers],0)),"ERROR"))</f>
        <v>147.80254777069999</v>
      </c>
      <c r="I21" s="156">
        <f>IF($B21=" ","",IFERROR(INDEX(MMWR_RATING_RO_ROLLUP[],MATCH($B21,MMWR_RATING_RO_ROLLUP[MMWR_RATING_RO_ROLLUP],0),MATCH(I$9,MMWR_RATING_RO_ROLLUP[#Headers],0)),"ERROR"))</f>
        <v>173.76802668720001</v>
      </c>
      <c r="J21" s="42"/>
      <c r="K21" s="42"/>
      <c r="L21" s="42"/>
      <c r="M21" s="42"/>
      <c r="N21" s="28"/>
    </row>
    <row r="22" spans="1:14" x14ac:dyDescent="0.2">
      <c r="A22" s="25"/>
      <c r="B22" s="8" t="str">
        <f>VLOOKUP($B$15,DISTRICT_RO[],8,0)</f>
        <v>New York VSC</v>
      </c>
      <c r="C22" s="155">
        <f>IF($B22=" ","",IFERROR(INDEX(MMWR_RATING_RO_ROLLUP[],MATCH($B22,MMWR_RATING_RO_ROLLUP[MMWR_RATING_RO_ROLLUP],0),MATCH(C$9,MMWR_RATING_RO_ROLLUP[#Headers],0)),"ERROR"))</f>
        <v>4745</v>
      </c>
      <c r="D22" s="156">
        <f>IF($B22=" ","",IFERROR(INDEX(MMWR_RATING_RO_ROLLUP[],MATCH($B22,MMWR_RATING_RO_ROLLUP[MMWR_RATING_RO_ROLLUP],0),MATCH(D$9,MMWR_RATING_RO_ROLLUP[#Headers],0)),"ERROR"))</f>
        <v>97.397260274000004</v>
      </c>
      <c r="E22" s="157">
        <f>IF($B22=" ","",IFERROR(INDEX(MMWR_RATING_RO_ROLLUP[],MATCH($B22,MMWR_RATING_RO_ROLLUP[MMWR_RATING_RO_ROLLUP],0),MATCH(E$9,MMWR_RATING_RO_ROLLUP[#Headers],0))/$C22,"ERROR"))</f>
        <v>0.19915700737618547</v>
      </c>
      <c r="F22" s="155">
        <f>IF($B22=" ","",IFERROR(INDEX(MMWR_RATING_RO_ROLLUP[],MATCH($B22,MMWR_RATING_RO_ROLLUP[MMWR_RATING_RO_ROLLUP],0),MATCH(F$9,MMWR_RATING_RO_ROLLUP[#Headers],0)),"ERROR"))</f>
        <v>671</v>
      </c>
      <c r="G22" s="155">
        <f>IF($B22=" ","",IFERROR(INDEX(MMWR_RATING_RO_ROLLUP[],MATCH($B22,MMWR_RATING_RO_ROLLUP[MMWR_RATING_RO_ROLLUP],0),MATCH(G$9,MMWR_RATING_RO_ROLLUP[#Headers],0)),"ERROR"))</f>
        <v>16207</v>
      </c>
      <c r="H22" s="156">
        <f>IF($B22=" ","",IFERROR(INDEX(MMWR_RATING_RO_ROLLUP[],MATCH($B22,MMWR_RATING_RO_ROLLUP[MMWR_RATING_RO_ROLLUP],0),MATCH(H$9,MMWR_RATING_RO_ROLLUP[#Headers],0)),"ERROR"))</f>
        <v>195.01639344259999</v>
      </c>
      <c r="I22" s="156">
        <f>IF($B22=" ","",IFERROR(INDEX(MMWR_RATING_RO_ROLLUP[],MATCH($B22,MMWR_RATING_RO_ROLLUP[MMWR_RATING_RO_ROLLUP],0),MATCH(I$9,MMWR_RATING_RO_ROLLUP[#Headers],0)),"ERROR"))</f>
        <v>203.46813105449999</v>
      </c>
      <c r="J22" s="42"/>
      <c r="K22" s="42"/>
      <c r="L22" s="42"/>
      <c r="M22" s="42"/>
      <c r="N22" s="28"/>
    </row>
    <row r="23" spans="1:14" x14ac:dyDescent="0.2">
      <c r="A23" s="25"/>
      <c r="B23" s="8" t="str">
        <f>VLOOKUP($B$15,DISTRICT_RO[],9,0)</f>
        <v>Newark VSC</v>
      </c>
      <c r="C23" s="155">
        <f>IF($B23=" ","",IFERROR(INDEX(MMWR_RATING_RO_ROLLUP[],MATCH($B23,MMWR_RATING_RO_ROLLUP[MMWR_RATING_RO_ROLLUP],0),MATCH(C$9,MMWR_RATING_RO_ROLLUP[#Headers],0)),"ERROR"))</f>
        <v>2910</v>
      </c>
      <c r="D23" s="156">
        <f>IF($B23=" ","",IFERROR(INDEX(MMWR_RATING_RO_ROLLUP[],MATCH($B23,MMWR_RATING_RO_ROLLUP[MMWR_RATING_RO_ROLLUP],0),MATCH(D$9,MMWR_RATING_RO_ROLLUP[#Headers],0)),"ERROR"))</f>
        <v>89.232989690699995</v>
      </c>
      <c r="E23" s="157">
        <f>IF($B23=" ","",IFERROR(INDEX(MMWR_RATING_RO_ROLLUP[],MATCH($B23,MMWR_RATING_RO_ROLLUP[MMWR_RATING_RO_ROLLUP],0),MATCH(E$9,MMWR_RATING_RO_ROLLUP[#Headers],0))/$C23,"ERROR"))</f>
        <v>0.17766323024054984</v>
      </c>
      <c r="F23" s="155">
        <f>IF($B23=" ","",IFERROR(INDEX(MMWR_RATING_RO_ROLLUP[],MATCH($B23,MMWR_RATING_RO_ROLLUP[MMWR_RATING_RO_ROLLUP],0),MATCH(F$9,MMWR_RATING_RO_ROLLUP[#Headers],0)),"ERROR"))</f>
        <v>338</v>
      </c>
      <c r="G23" s="155">
        <f>IF($B23=" ","",IFERROR(INDEX(MMWR_RATING_RO_ROLLUP[],MATCH($B23,MMWR_RATING_RO_ROLLUP[MMWR_RATING_RO_ROLLUP],0),MATCH(G$9,MMWR_RATING_RO_ROLLUP[#Headers],0)),"ERROR"))</f>
        <v>7243</v>
      </c>
      <c r="H23" s="156">
        <f>IF($B23=" ","",IFERROR(INDEX(MMWR_RATING_RO_ROLLUP[],MATCH($B23,MMWR_RATING_RO_ROLLUP[MMWR_RATING_RO_ROLLUP],0),MATCH(H$9,MMWR_RATING_RO_ROLLUP[#Headers],0)),"ERROR"))</f>
        <v>191.72189349109999</v>
      </c>
      <c r="I23" s="156">
        <f>IF($B23=" ","",IFERROR(INDEX(MMWR_RATING_RO_ROLLUP[],MATCH($B23,MMWR_RATING_RO_ROLLUP[MMWR_RATING_RO_ROLLUP],0),MATCH(I$9,MMWR_RATING_RO_ROLLUP[#Headers],0)),"ERROR"))</f>
        <v>167.7657048184</v>
      </c>
      <c r="J23" s="42"/>
      <c r="K23" s="42"/>
      <c r="L23" s="42"/>
      <c r="M23" s="42"/>
      <c r="N23" s="28"/>
    </row>
    <row r="24" spans="1:14" x14ac:dyDescent="0.2">
      <c r="A24" s="25"/>
      <c r="B24" s="8" t="str">
        <f>VLOOKUP($B$15,DISTRICT_RO[],10,0)</f>
        <v>Philadelphia VSC</v>
      </c>
      <c r="C24" s="155">
        <f>IF($B24=" ","",IFERROR(INDEX(MMWR_RATING_RO_ROLLUP[],MATCH($B24,MMWR_RATING_RO_ROLLUP[MMWR_RATING_RO_ROLLUP],0),MATCH(C$9,MMWR_RATING_RO_ROLLUP[#Headers],0)),"ERROR"))</f>
        <v>7517</v>
      </c>
      <c r="D24" s="156">
        <f>IF($B24=" ","",IFERROR(INDEX(MMWR_RATING_RO_ROLLUP[],MATCH($B24,MMWR_RATING_RO_ROLLUP[MMWR_RATING_RO_ROLLUP],0),MATCH(D$9,MMWR_RATING_RO_ROLLUP[#Headers],0)),"ERROR"))</f>
        <v>128.52813622459999</v>
      </c>
      <c r="E24" s="157">
        <f>IF($B24=" ","",IFERROR(INDEX(MMWR_RATING_RO_ROLLUP[],MATCH($B24,MMWR_RATING_RO_ROLLUP[MMWR_RATING_RO_ROLLUP],0),MATCH(E$9,MMWR_RATING_RO_ROLLUP[#Headers],0))/$C24,"ERROR"))</f>
        <v>0.35160303312491686</v>
      </c>
      <c r="F24" s="155">
        <f>IF($B24=" ","",IFERROR(INDEX(MMWR_RATING_RO_ROLLUP[],MATCH($B24,MMWR_RATING_RO_ROLLUP[MMWR_RATING_RO_ROLLUP],0),MATCH(F$9,MMWR_RATING_RO_ROLLUP[#Headers],0)),"ERROR"))</f>
        <v>1373</v>
      </c>
      <c r="G24" s="155">
        <f>IF($B24=" ","",IFERROR(INDEX(MMWR_RATING_RO_ROLLUP[],MATCH($B24,MMWR_RATING_RO_ROLLUP[MMWR_RATING_RO_ROLLUP],0),MATCH(G$9,MMWR_RATING_RO_ROLLUP[#Headers],0)),"ERROR"))</f>
        <v>28320</v>
      </c>
      <c r="H24" s="156">
        <f>IF($B24=" ","",IFERROR(INDEX(MMWR_RATING_RO_ROLLUP[],MATCH($B24,MMWR_RATING_RO_ROLLUP[MMWR_RATING_RO_ROLLUP],0),MATCH(H$9,MMWR_RATING_RO_ROLLUP[#Headers],0)),"ERROR"))</f>
        <v>164.7348871085</v>
      </c>
      <c r="I24" s="156">
        <f>IF($B24=" ","",IFERROR(INDEX(MMWR_RATING_RO_ROLLUP[],MATCH($B24,MMWR_RATING_RO_ROLLUP[MMWR_RATING_RO_ROLLUP],0),MATCH(I$9,MMWR_RATING_RO_ROLLUP[#Headers],0)),"ERROR"))</f>
        <v>223.56087570619999</v>
      </c>
      <c r="J24" s="42"/>
      <c r="K24" s="42"/>
      <c r="L24" s="42"/>
      <c r="M24" s="42"/>
      <c r="N24" s="28"/>
    </row>
    <row r="25" spans="1:14" x14ac:dyDescent="0.2">
      <c r="A25" s="25"/>
      <c r="B25" s="8" t="str">
        <f>VLOOKUP($B$15,DISTRICT_RO[],11,0)</f>
        <v>Pittsburgh VSC</v>
      </c>
      <c r="C25" s="155">
        <f>IF($B25=" ","",IFERROR(INDEX(MMWR_RATING_RO_ROLLUP[],MATCH($B25,MMWR_RATING_RO_ROLLUP[MMWR_RATING_RO_ROLLUP],0),MATCH(C$9,MMWR_RATING_RO_ROLLUP[#Headers],0)),"ERROR"))</f>
        <v>4947</v>
      </c>
      <c r="D25" s="156">
        <f>IF($B25=" ","",IFERROR(INDEX(MMWR_RATING_RO_ROLLUP[],MATCH($B25,MMWR_RATING_RO_ROLLUP[MMWR_RATING_RO_ROLLUP],0),MATCH(D$9,MMWR_RATING_RO_ROLLUP[#Headers],0)),"ERROR"))</f>
        <v>124.1053163533</v>
      </c>
      <c r="E25" s="157">
        <f>IF($B25=" ","",IFERROR(INDEX(MMWR_RATING_RO_ROLLUP[],MATCH($B25,MMWR_RATING_RO_ROLLUP[MMWR_RATING_RO_ROLLUP],0),MATCH(E$9,MMWR_RATING_RO_ROLLUP[#Headers],0))/$C25,"ERROR"))</f>
        <v>0.30058621386699008</v>
      </c>
      <c r="F25" s="155">
        <f>IF($B25=" ","",IFERROR(INDEX(MMWR_RATING_RO_ROLLUP[],MATCH($B25,MMWR_RATING_RO_ROLLUP[MMWR_RATING_RO_ROLLUP],0),MATCH(F$9,MMWR_RATING_RO_ROLLUP[#Headers],0)),"ERROR"))</f>
        <v>489</v>
      </c>
      <c r="G25" s="155">
        <f>IF($B25=" ","",IFERROR(INDEX(MMWR_RATING_RO_ROLLUP[],MATCH($B25,MMWR_RATING_RO_ROLLUP[MMWR_RATING_RO_ROLLUP],0),MATCH(G$9,MMWR_RATING_RO_ROLLUP[#Headers],0)),"ERROR"))</f>
        <v>12848</v>
      </c>
      <c r="H25" s="156">
        <f>IF($B25=" ","",IFERROR(INDEX(MMWR_RATING_RO_ROLLUP[],MATCH($B25,MMWR_RATING_RO_ROLLUP[MMWR_RATING_RO_ROLLUP],0),MATCH(H$9,MMWR_RATING_RO_ROLLUP[#Headers],0)),"ERROR"))</f>
        <v>215.55214723930001</v>
      </c>
      <c r="I25" s="156">
        <f>IF($B25=" ","",IFERROR(INDEX(MMWR_RATING_RO_ROLLUP[],MATCH($B25,MMWR_RATING_RO_ROLLUP[MMWR_RATING_RO_ROLLUP],0),MATCH(I$9,MMWR_RATING_RO_ROLLUP[#Headers],0)),"ERROR"))</f>
        <v>209.8608343711</v>
      </c>
      <c r="J25" s="42"/>
      <c r="K25" s="42"/>
      <c r="L25" s="42"/>
      <c r="M25" s="42"/>
      <c r="N25" s="28"/>
    </row>
    <row r="26" spans="1:14" x14ac:dyDescent="0.2">
      <c r="A26" s="25"/>
      <c r="B26" s="8" t="str">
        <f>VLOOKUP($B$15,DISTRICT_RO[],12,0)</f>
        <v>Providence VSC</v>
      </c>
      <c r="C26" s="155">
        <f>IF($B26=" ","",IFERROR(INDEX(MMWR_RATING_RO_ROLLUP[],MATCH($B26,MMWR_RATING_RO_ROLLUP[MMWR_RATING_RO_ROLLUP],0),MATCH(C$9,MMWR_RATING_RO_ROLLUP[#Headers],0)),"ERROR"))</f>
        <v>2333</v>
      </c>
      <c r="D26" s="156">
        <f>IF($B26=" ","",IFERROR(INDEX(MMWR_RATING_RO_ROLLUP[],MATCH($B26,MMWR_RATING_RO_ROLLUP[MMWR_RATING_RO_ROLLUP],0),MATCH(D$9,MMWR_RATING_RO_ROLLUP[#Headers],0)),"ERROR"))</f>
        <v>73.471924560700003</v>
      </c>
      <c r="E26" s="157">
        <f>IF($B26=" ","",IFERROR(INDEX(MMWR_RATING_RO_ROLLUP[],MATCH($B26,MMWR_RATING_RO_ROLLUP[MMWR_RATING_RO_ROLLUP],0),MATCH(E$9,MMWR_RATING_RO_ROLLUP[#Headers],0))/$C26,"ERROR"))</f>
        <v>0.16802400342906129</v>
      </c>
      <c r="F26" s="155">
        <f>IF($B26=" ","",IFERROR(INDEX(MMWR_RATING_RO_ROLLUP[],MATCH($B26,MMWR_RATING_RO_ROLLUP[MMWR_RATING_RO_ROLLUP],0),MATCH(F$9,MMWR_RATING_RO_ROLLUP[#Headers],0)),"ERROR"))</f>
        <v>1050</v>
      </c>
      <c r="G26" s="155">
        <f>IF($B26=" ","",IFERROR(INDEX(MMWR_RATING_RO_ROLLUP[],MATCH($B26,MMWR_RATING_RO_ROLLUP[MMWR_RATING_RO_ROLLUP],0),MATCH(G$9,MMWR_RATING_RO_ROLLUP[#Headers],0)),"ERROR"))</f>
        <v>23251</v>
      </c>
      <c r="H26" s="156">
        <f>IF($B26=" ","",IFERROR(INDEX(MMWR_RATING_RO_ROLLUP[],MATCH($B26,MMWR_RATING_RO_ROLLUP[MMWR_RATING_RO_ROLLUP],0),MATCH(H$9,MMWR_RATING_RO_ROLLUP[#Headers],0)),"ERROR"))</f>
        <v>65.348571428599996</v>
      </c>
      <c r="I26" s="156">
        <f>IF($B26=" ","",IFERROR(INDEX(MMWR_RATING_RO_ROLLUP[],MATCH($B26,MMWR_RATING_RO_ROLLUP[MMWR_RATING_RO_ROLLUP],0),MATCH(I$9,MMWR_RATING_RO_ROLLUP[#Headers],0)),"ERROR"))</f>
        <v>55.586082318999999</v>
      </c>
      <c r="J26" s="42"/>
      <c r="K26" s="42"/>
      <c r="L26" s="42"/>
      <c r="M26" s="42"/>
      <c r="N26" s="28"/>
    </row>
    <row r="27" spans="1:14" x14ac:dyDescent="0.2">
      <c r="A27" s="25"/>
      <c r="B27" s="8" t="str">
        <f>VLOOKUP($B$15,DISTRICT_RO[],13,0)</f>
        <v>Roanoke VSC</v>
      </c>
      <c r="C27" s="155">
        <f>IF($B27=" ","",IFERROR(INDEX(MMWR_RATING_RO_ROLLUP[],MATCH($B27,MMWR_RATING_RO_ROLLUP[MMWR_RATING_RO_ROLLUP],0),MATCH(C$9,MMWR_RATING_RO_ROLLUP[#Headers],0)),"ERROR"))</f>
        <v>10689</v>
      </c>
      <c r="D27" s="156">
        <f>IF($B27=" ","",IFERROR(INDEX(MMWR_RATING_RO_ROLLUP[],MATCH($B27,MMWR_RATING_RO_ROLLUP[MMWR_RATING_RO_ROLLUP],0),MATCH(D$9,MMWR_RATING_RO_ROLLUP[#Headers],0)),"ERROR"))</f>
        <v>88.904294134200001</v>
      </c>
      <c r="E27" s="157">
        <f>IF($B27=" ","",IFERROR(INDEX(MMWR_RATING_RO_ROLLUP[],MATCH($B27,MMWR_RATING_RO_ROLLUP[MMWR_RATING_RO_ROLLUP],0),MATCH(E$9,MMWR_RATING_RO_ROLLUP[#Headers],0))/$C27,"ERROR"))</f>
        <v>0.19739919543455889</v>
      </c>
      <c r="F27" s="155">
        <f>IF($B27=" ","",IFERROR(INDEX(MMWR_RATING_RO_ROLLUP[],MATCH($B27,MMWR_RATING_RO_ROLLUP[MMWR_RATING_RO_ROLLUP],0),MATCH(F$9,MMWR_RATING_RO_ROLLUP[#Headers],0)),"ERROR"))</f>
        <v>1788</v>
      </c>
      <c r="G27" s="155">
        <f>IF($B27=" ","",IFERROR(INDEX(MMWR_RATING_RO_ROLLUP[],MATCH($B27,MMWR_RATING_RO_ROLLUP[MMWR_RATING_RO_ROLLUP],0),MATCH(G$9,MMWR_RATING_RO_ROLLUP[#Headers],0)),"ERROR"))</f>
        <v>37875</v>
      </c>
      <c r="H27" s="156">
        <f>IF($B27=" ","",IFERROR(INDEX(MMWR_RATING_RO_ROLLUP[],MATCH($B27,MMWR_RATING_RO_ROLLUP[MMWR_RATING_RO_ROLLUP],0),MATCH(H$9,MMWR_RATING_RO_ROLLUP[#Headers],0)),"ERROR"))</f>
        <v>167.69966442949999</v>
      </c>
      <c r="I27" s="156">
        <f>IF($B27=" ","",IFERROR(INDEX(MMWR_RATING_RO_ROLLUP[],MATCH($B27,MMWR_RATING_RO_ROLLUP[MMWR_RATING_RO_ROLLUP],0),MATCH(I$9,MMWR_RATING_RO_ROLLUP[#Headers],0)),"ERROR"))</f>
        <v>205.41124752479999</v>
      </c>
      <c r="J27" s="42"/>
      <c r="K27" s="42"/>
      <c r="L27" s="42"/>
      <c r="M27" s="42"/>
      <c r="N27" s="28"/>
    </row>
    <row r="28" spans="1:14" x14ac:dyDescent="0.2">
      <c r="A28" s="25"/>
      <c r="B28" s="8" t="str">
        <f>VLOOKUP($B$15,DISTRICT_RO[],14,0)</f>
        <v>Togus VSC</v>
      </c>
      <c r="C28" s="155">
        <f>IF($B28=" ","",IFERROR(INDEX(MMWR_RATING_RO_ROLLUP[],MATCH($B28,MMWR_RATING_RO_ROLLUP[MMWR_RATING_RO_ROLLUP],0),MATCH(C$9,MMWR_RATING_RO_ROLLUP[#Headers],0)),"ERROR"))</f>
        <v>1352</v>
      </c>
      <c r="D28" s="156">
        <f>IF($B28=" ","",IFERROR(INDEX(MMWR_RATING_RO_ROLLUP[],MATCH($B28,MMWR_RATING_RO_ROLLUP[MMWR_RATING_RO_ROLLUP],0),MATCH(D$9,MMWR_RATING_RO_ROLLUP[#Headers],0)),"ERROR"))</f>
        <v>74.792899408300002</v>
      </c>
      <c r="E28" s="157">
        <f>IF($B28=" ","",IFERROR(INDEX(MMWR_RATING_RO_ROLLUP[],MATCH($B28,MMWR_RATING_RO_ROLLUP[MMWR_RATING_RO_ROLLUP],0),MATCH(E$9,MMWR_RATING_RO_ROLLUP[#Headers],0))/$C28,"ERROR"))</f>
        <v>0.11242603550295859</v>
      </c>
      <c r="F28" s="155">
        <f>IF($B28=" ","",IFERROR(INDEX(MMWR_RATING_RO_ROLLUP[],MATCH($B28,MMWR_RATING_RO_ROLLUP[MMWR_RATING_RO_ROLLUP],0),MATCH(F$9,MMWR_RATING_RO_ROLLUP[#Headers],0)),"ERROR"))</f>
        <v>217</v>
      </c>
      <c r="G28" s="155">
        <f>IF($B28=" ","",IFERROR(INDEX(MMWR_RATING_RO_ROLLUP[],MATCH($B28,MMWR_RATING_RO_ROLLUP[MMWR_RATING_RO_ROLLUP],0),MATCH(G$9,MMWR_RATING_RO_ROLLUP[#Headers],0)),"ERROR"))</f>
        <v>4423</v>
      </c>
      <c r="H28" s="156">
        <f>IF($B28=" ","",IFERROR(INDEX(MMWR_RATING_RO_ROLLUP[],MATCH($B28,MMWR_RATING_RO_ROLLUP[MMWR_RATING_RO_ROLLUP],0),MATCH(H$9,MMWR_RATING_RO_ROLLUP[#Headers],0)),"ERROR"))</f>
        <v>129.5576036866</v>
      </c>
      <c r="I28" s="156">
        <f>IF($B28=" ","",IFERROR(INDEX(MMWR_RATING_RO_ROLLUP[],MATCH($B28,MMWR_RATING_RO_ROLLUP[MMWR_RATING_RO_ROLLUP],0),MATCH(I$9,MMWR_RATING_RO_ROLLUP[#Headers],0)),"ERROR"))</f>
        <v>130.13881980560001</v>
      </c>
      <c r="J28" s="42"/>
      <c r="K28" s="42"/>
      <c r="L28" s="42"/>
      <c r="M28" s="42"/>
      <c r="N28" s="28"/>
    </row>
    <row r="29" spans="1:14" x14ac:dyDescent="0.2">
      <c r="A29" s="25"/>
      <c r="B29" s="8" t="str">
        <f>VLOOKUP($B$15,DISTRICT_RO[],15,0)</f>
        <v>White River Junction VSC</v>
      </c>
      <c r="C29" s="155">
        <f>IF($B29=" ","",IFERROR(INDEX(MMWR_RATING_RO_ROLLUP[],MATCH($B29,MMWR_RATING_RO_ROLLUP[MMWR_RATING_RO_ROLLUP],0),MATCH(C$9,MMWR_RATING_RO_ROLLUP[#Headers],0)),"ERROR"))</f>
        <v>382</v>
      </c>
      <c r="D29" s="156">
        <f>IF($B29=" ","",IFERROR(INDEX(MMWR_RATING_RO_ROLLUP[],MATCH($B29,MMWR_RATING_RO_ROLLUP[MMWR_RATING_RO_ROLLUP],0),MATCH(D$9,MMWR_RATING_RO_ROLLUP[#Headers],0)),"ERROR"))</f>
        <v>95.044502617800006</v>
      </c>
      <c r="E29" s="157">
        <f>IF($B29=" ","",IFERROR(INDEX(MMWR_RATING_RO_ROLLUP[],MATCH($B29,MMWR_RATING_RO_ROLLUP[MMWR_RATING_RO_ROLLUP],0),MATCH(E$9,MMWR_RATING_RO_ROLLUP[#Headers],0))/$C29,"ERROR"))</f>
        <v>0.27486910994764396</v>
      </c>
      <c r="F29" s="155">
        <f>IF($B29=" ","",IFERROR(INDEX(MMWR_RATING_RO_ROLLUP[],MATCH($B29,MMWR_RATING_RO_ROLLUP[MMWR_RATING_RO_ROLLUP],0),MATCH(F$9,MMWR_RATING_RO_ROLLUP[#Headers],0)),"ERROR"))</f>
        <v>48</v>
      </c>
      <c r="G29" s="155">
        <f>IF($B29=" ","",IFERROR(INDEX(MMWR_RATING_RO_ROLLUP[],MATCH($B29,MMWR_RATING_RO_ROLLUP[MMWR_RATING_RO_ROLLUP],0),MATCH(G$9,MMWR_RATING_RO_ROLLUP[#Headers],0)),"ERROR"))</f>
        <v>1484</v>
      </c>
      <c r="H29" s="156">
        <f>IF($B29=" ","",IFERROR(INDEX(MMWR_RATING_RO_ROLLUP[],MATCH($B29,MMWR_RATING_RO_ROLLUP[MMWR_RATING_RO_ROLLUP],0),MATCH(H$9,MMWR_RATING_RO_ROLLUP[#Headers],0)),"ERROR"))</f>
        <v>181.5833333333</v>
      </c>
      <c r="I29" s="156">
        <f>IF($B29=" ","",IFERROR(INDEX(MMWR_RATING_RO_ROLLUP[],MATCH($B29,MMWR_RATING_RO_ROLLUP[MMWR_RATING_RO_ROLLUP],0),MATCH(I$9,MMWR_RATING_RO_ROLLUP[#Headers],0)),"ERROR"))</f>
        <v>167.1327493261</v>
      </c>
      <c r="J29" s="42"/>
      <c r="K29" s="42"/>
      <c r="L29" s="42"/>
      <c r="M29" s="42"/>
      <c r="N29" s="28"/>
    </row>
    <row r="30" spans="1:14" x14ac:dyDescent="0.2">
      <c r="A30" s="25"/>
      <c r="B30" s="8" t="str">
        <f>VLOOKUP($B$15,DISTRICT_RO[],16,0)</f>
        <v>Wilmington VSC</v>
      </c>
      <c r="C30" s="155">
        <f>IF($B30=" ","",IFERROR(INDEX(MMWR_RATING_RO_ROLLUP[],MATCH($B30,MMWR_RATING_RO_ROLLUP[MMWR_RATING_RO_ROLLUP],0),MATCH(C$9,MMWR_RATING_RO_ROLLUP[#Headers],0)),"ERROR"))</f>
        <v>814</v>
      </c>
      <c r="D30" s="156">
        <f>IF($B30=" ","",IFERROR(INDEX(MMWR_RATING_RO_ROLLUP[],MATCH($B30,MMWR_RATING_RO_ROLLUP[MMWR_RATING_RO_ROLLUP],0),MATCH(D$9,MMWR_RATING_RO_ROLLUP[#Headers],0)),"ERROR"))</f>
        <v>104.48894348890001</v>
      </c>
      <c r="E30" s="157">
        <f>IF($B30=" ","",IFERROR(INDEX(MMWR_RATING_RO_ROLLUP[],MATCH($B30,MMWR_RATING_RO_ROLLUP[MMWR_RATING_RO_ROLLUP],0),MATCH(E$9,MMWR_RATING_RO_ROLLUP[#Headers],0))/$C30,"ERROR"))</f>
        <v>0.26289926289926291</v>
      </c>
      <c r="F30" s="155">
        <f>IF($B30=" ","",IFERROR(INDEX(MMWR_RATING_RO_ROLLUP[],MATCH($B30,MMWR_RATING_RO_ROLLUP[MMWR_RATING_RO_ROLLUP],0),MATCH(F$9,MMWR_RATING_RO_ROLLUP[#Headers],0)),"ERROR"))</f>
        <v>130</v>
      </c>
      <c r="G30" s="155">
        <f>IF($B30=" ","",IFERROR(INDEX(MMWR_RATING_RO_ROLLUP[],MATCH($B30,MMWR_RATING_RO_ROLLUP[MMWR_RATING_RO_ROLLUP],0),MATCH(G$9,MMWR_RATING_RO_ROLLUP[#Headers],0)),"ERROR"))</f>
        <v>2657</v>
      </c>
      <c r="H30" s="156">
        <f>IF($B30=" ","",IFERROR(INDEX(MMWR_RATING_RO_ROLLUP[],MATCH($B30,MMWR_RATING_RO_ROLLUP[MMWR_RATING_RO_ROLLUP],0),MATCH(H$9,MMWR_RATING_RO_ROLLUP[#Headers],0)),"ERROR"))</f>
        <v>187</v>
      </c>
      <c r="I30" s="156">
        <f>IF($B30=" ","",IFERROR(INDEX(MMWR_RATING_RO_ROLLUP[],MATCH($B30,MMWR_RATING_RO_ROLLUP[MMWR_RATING_RO_ROLLUP],0),MATCH(I$9,MMWR_RATING_RO_ROLLUP[#Headers],0)),"ERROR"))</f>
        <v>218.9394053444</v>
      </c>
      <c r="J30" s="42"/>
      <c r="K30" s="42"/>
      <c r="L30" s="42"/>
      <c r="M30" s="42"/>
      <c r="N30" s="28"/>
    </row>
    <row r="31" spans="1:14" x14ac:dyDescent="0.2">
      <c r="A31" s="25"/>
      <c r="B31" s="8" t="str">
        <f>VLOOKUP($B$15,DISTRICT_RO[],17,0)</f>
        <v>Winston-Salem VSC</v>
      </c>
      <c r="C31" s="155">
        <f>IF($B31=" ","",IFERROR(INDEX(MMWR_RATING_RO_ROLLUP[],MATCH($B31,MMWR_RATING_RO_ROLLUP[MMWR_RATING_RO_ROLLUP],0),MATCH(C$9,MMWR_RATING_RO_ROLLUP[#Headers],0)),"ERROR"))</f>
        <v>18588</v>
      </c>
      <c r="D31" s="156">
        <f>IF($B31=" ","",IFERROR(INDEX(MMWR_RATING_RO_ROLLUP[],MATCH($B31,MMWR_RATING_RO_ROLLUP[MMWR_RATING_RO_ROLLUP],0),MATCH(D$9,MMWR_RATING_RO_ROLLUP[#Headers],0)),"ERROR"))</f>
        <v>102.1523025608</v>
      </c>
      <c r="E31" s="157">
        <f>IF($B31=" ","",IFERROR(INDEX(MMWR_RATING_RO_ROLLUP[],MATCH($B31,MMWR_RATING_RO_ROLLUP[MMWR_RATING_RO_ROLLUP],0),MATCH(E$9,MMWR_RATING_RO_ROLLUP[#Headers],0))/$C31,"ERROR"))</f>
        <v>0.25242091672046479</v>
      </c>
      <c r="F31" s="155">
        <f>IF($B31=" ","",IFERROR(INDEX(MMWR_RATING_RO_ROLLUP[],MATCH($B31,MMWR_RATING_RO_ROLLUP[MMWR_RATING_RO_ROLLUP],0),MATCH(F$9,MMWR_RATING_RO_ROLLUP[#Headers],0)),"ERROR"))</f>
        <v>2234</v>
      </c>
      <c r="G31" s="155">
        <f>IF($B31=" ","",IFERROR(INDEX(MMWR_RATING_RO_ROLLUP[],MATCH($B31,MMWR_RATING_RO_ROLLUP[MMWR_RATING_RO_ROLLUP],0),MATCH(G$9,MMWR_RATING_RO_ROLLUP[#Headers],0)),"ERROR"))</f>
        <v>54611</v>
      </c>
      <c r="H31" s="156">
        <f>IF($B31=" ","",IFERROR(INDEX(MMWR_RATING_RO_ROLLUP[],MATCH($B31,MMWR_RATING_RO_ROLLUP[MMWR_RATING_RO_ROLLUP],0),MATCH(H$9,MMWR_RATING_RO_ROLLUP[#Headers],0)),"ERROR"))</f>
        <v>174.92837958819999</v>
      </c>
      <c r="I31" s="156">
        <f>IF($B31=" ","",IFERROR(INDEX(MMWR_RATING_RO_ROLLUP[],MATCH($B31,MMWR_RATING_RO_ROLLUP[MMWR_RATING_RO_ROLLUP],0),MATCH(I$9,MMWR_RATING_RO_ROLLUP[#Headers],0)),"ERROR"))</f>
        <v>202.8308399407</v>
      </c>
      <c r="J31" s="42"/>
      <c r="K31" s="42"/>
      <c r="L31" s="42"/>
      <c r="M31" s="42"/>
      <c r="N31" s="28"/>
    </row>
    <row r="32" spans="1:14" x14ac:dyDescent="0.2">
      <c r="A32" s="25"/>
      <c r="B32" s="377" t="s">
        <v>741</v>
      </c>
      <c r="C32" s="378"/>
      <c r="D32" s="378"/>
      <c r="E32" s="378"/>
      <c r="F32" s="378"/>
      <c r="G32" s="378"/>
      <c r="H32" s="378"/>
      <c r="I32" s="378"/>
      <c r="J32" s="378"/>
      <c r="K32" s="378"/>
      <c r="L32" s="378"/>
      <c r="M32" s="387"/>
      <c r="N32" s="28"/>
    </row>
    <row r="33" spans="1:14" x14ac:dyDescent="0.2">
      <c r="A33" s="25"/>
      <c r="B33" s="11" t="s">
        <v>704</v>
      </c>
      <c r="C33" s="155">
        <f>IF($B33=" ","",IFERROR(INDEX(MMWR_RATING_RO_ROLLUP[],MATCH($B33,MMWR_RATING_RO_ROLLUP[MMWR_RATING_RO_ROLLUP],0),MATCH(C$9,MMWR_RATING_RO_ROLLUP[#Headers],0)),"ERROR"))</f>
        <v>20660</v>
      </c>
      <c r="D33" s="156">
        <f>IF($B33=" ","",IFERROR(INDEX(MMWR_RATING_RO_ROLLUP[],MATCH($B33,MMWR_RATING_RO_ROLLUP[MMWR_RATING_RO_ROLLUP],0),MATCH(D$9,MMWR_RATING_RO_ROLLUP[#Headers],0)),"ERROR"))</f>
        <v>59.192207163600003</v>
      </c>
      <c r="E33" s="157">
        <f>IF($B33=" ","",IFERROR(INDEX(MMWR_RATING_RO_ROLLUP[],MATCH($B33,MMWR_RATING_RO_ROLLUP[MMWR_RATING_RO_ROLLUP],0),MATCH(E$9,MMWR_RATING_RO_ROLLUP[#Headers],0))/$C33,"ERROR"))</f>
        <v>8.3155856727976762E-2</v>
      </c>
      <c r="F33" s="155">
        <f>IF($B33=" ","",IFERROR(INDEX(MMWR_RATING_RO_ROLLUP[],MATCH($B33,MMWR_RATING_RO_ROLLUP[MMWR_RATING_RO_ROLLUP],0),MATCH(F$9,MMWR_RATING_RO_ROLLUP[#Headers],0)),"ERROR"))</f>
        <v>8050</v>
      </c>
      <c r="G33" s="155">
        <f>IF($B33=" ","",IFERROR(INDEX(MMWR_RATING_RO_ROLLUP[],MATCH($B33,MMWR_RATING_RO_ROLLUP[MMWR_RATING_RO_ROLLUP],0),MATCH(G$9,MMWR_RATING_RO_ROLLUP[#Headers],0)),"ERROR"))</f>
        <v>148719</v>
      </c>
      <c r="H33" s="156">
        <f>IF($B33=" ","",IFERROR(INDEX(MMWR_RATING_RO_ROLLUP[],MATCH($B33,MMWR_RATING_RO_ROLLUP[MMWR_RATING_RO_ROLLUP],0),MATCH(H$9,MMWR_RATING_RO_ROLLUP[#Headers],0)),"ERROR"))</f>
        <v>66.988322981400003</v>
      </c>
      <c r="I33" s="156">
        <f>IF($B33=" ","",IFERROR(INDEX(MMWR_RATING_RO_ROLLUP[],MATCH($B33,MMWR_RATING_RO_ROLLUP[MMWR_RATING_RO_ROLLUP],0),MATCH(I$9,MMWR_RATING_RO_ROLLUP[#Headers],0)),"ERROR"))</f>
        <v>64.635829988099999</v>
      </c>
      <c r="J33" s="42"/>
      <c r="K33" s="42"/>
      <c r="L33" s="42"/>
      <c r="M33" s="42"/>
      <c r="N33" s="28"/>
    </row>
    <row r="34" spans="1:14" x14ac:dyDescent="0.2">
      <c r="A34" s="25"/>
      <c r="B34" s="12" t="s">
        <v>216</v>
      </c>
      <c r="C34" s="155">
        <f>IF($B34=" ","",IFERROR(INDEX(MMWR_RATING_RO_ROLLUP[],MATCH($B34,MMWR_RATING_RO_ROLLUP[MMWR_RATING_RO_ROLLUP],0),MATCH(C$9,MMWR_RATING_RO_ROLLUP[#Headers],0)),"ERROR"))</f>
        <v>6695</v>
      </c>
      <c r="D34" s="156">
        <f>IF($B34=" ","",IFERROR(INDEX(MMWR_RATING_RO_ROLLUP[],MATCH($B34,MMWR_RATING_RO_ROLLUP[MMWR_RATING_RO_ROLLUP],0),MATCH(D$9,MMWR_RATING_RO_ROLLUP[#Headers],0)),"ERROR"))</f>
        <v>64.178939507099997</v>
      </c>
      <c r="E34" s="157">
        <f>IF($B34=" ","",IFERROR(INDEX(MMWR_RATING_RO_ROLLUP[],MATCH($B34,MMWR_RATING_RO_ROLLUP[MMWR_RATING_RO_ROLLUP],0),MATCH(E$9,MMWR_RATING_RO_ROLLUP[#Headers],0))/$C34,"ERROR"))</f>
        <v>9.2158327109783417E-2</v>
      </c>
      <c r="F34" s="155">
        <f>IF($B34=" ","",IFERROR(INDEX(MMWR_RATING_RO_ROLLUP[],MATCH($B34,MMWR_RATING_RO_ROLLUP[MMWR_RATING_RO_ROLLUP],0),MATCH(F$9,MMWR_RATING_RO_ROLLUP[#Headers],0)),"ERROR"))</f>
        <v>2687</v>
      </c>
      <c r="G34" s="155">
        <f>IF($B34=" ","",IFERROR(INDEX(MMWR_RATING_RO_ROLLUP[],MATCH($B34,MMWR_RATING_RO_ROLLUP[MMWR_RATING_RO_ROLLUP],0),MATCH(G$9,MMWR_RATING_RO_ROLLUP[#Headers],0)),"ERROR"))</f>
        <v>47319</v>
      </c>
      <c r="H34" s="156">
        <f>IF($B34=" ","",IFERROR(INDEX(MMWR_RATING_RO_ROLLUP[],MATCH($B34,MMWR_RATING_RO_ROLLUP[MMWR_RATING_RO_ROLLUP],0),MATCH(H$9,MMWR_RATING_RO_ROLLUP[#Headers],0)),"ERROR"))</f>
        <v>73.718645329400005</v>
      </c>
      <c r="I34" s="156">
        <f>IF($B34=" ","",IFERROR(INDEX(MMWR_RATING_RO_ROLLUP[],MATCH($B34,MMWR_RATING_RO_ROLLUP[MMWR_RATING_RO_ROLLUP],0),MATCH(I$9,MMWR_RATING_RO_ROLLUP[#Headers],0)),"ERROR"))</f>
        <v>72.543227878899998</v>
      </c>
      <c r="J34" s="42"/>
      <c r="K34" s="42"/>
      <c r="L34" s="42"/>
      <c r="M34" s="42"/>
      <c r="N34" s="28"/>
    </row>
    <row r="35" spans="1:14" x14ac:dyDescent="0.2">
      <c r="A35" s="43"/>
      <c r="B35" s="12" t="s">
        <v>215</v>
      </c>
      <c r="C35" s="155">
        <f>IF($B35=" ","",IFERROR(INDEX(MMWR_RATING_RO_ROLLUP[],MATCH($B35,MMWR_RATING_RO_ROLLUP[MMWR_RATING_RO_ROLLUP],0),MATCH(C$9,MMWR_RATING_RO_ROLLUP[#Headers],0)),"ERROR"))</f>
        <v>5502</v>
      </c>
      <c r="D35" s="156">
        <f>IF($B35=" ","",IFERROR(INDEX(MMWR_RATING_RO_ROLLUP[],MATCH($B35,MMWR_RATING_RO_ROLLUP[MMWR_RATING_RO_ROLLUP],0),MATCH(D$9,MMWR_RATING_RO_ROLLUP[#Headers],0)),"ERROR"))</f>
        <v>55.190657942599998</v>
      </c>
      <c r="E35" s="157">
        <f>IF($B35=" ","",IFERROR(INDEX(MMWR_RATING_RO_ROLLUP[],MATCH($B35,MMWR_RATING_RO_ROLLUP[MMWR_RATING_RO_ROLLUP],0),MATCH(E$9,MMWR_RATING_RO_ROLLUP[#Headers],0))/$C35,"ERROR"))</f>
        <v>7.8516902944383862E-2</v>
      </c>
      <c r="F35" s="155">
        <f>IF($B35=" ","",IFERROR(INDEX(MMWR_RATING_RO_ROLLUP[],MATCH($B35,MMWR_RATING_RO_ROLLUP[MMWR_RATING_RO_ROLLUP],0),MATCH(F$9,MMWR_RATING_RO_ROLLUP[#Headers],0)),"ERROR"))</f>
        <v>1990</v>
      </c>
      <c r="G35" s="155">
        <f>IF($B35=" ","",IFERROR(INDEX(MMWR_RATING_RO_ROLLUP[],MATCH($B35,MMWR_RATING_RO_ROLLUP[MMWR_RATING_RO_ROLLUP],0),MATCH(G$9,MMWR_RATING_RO_ROLLUP[#Headers],0)),"ERROR"))</f>
        <v>41517</v>
      </c>
      <c r="H35" s="156">
        <f>IF($B35=" ","",IFERROR(INDEX(MMWR_RATING_RO_ROLLUP[],MATCH($B35,MMWR_RATING_RO_ROLLUP[MMWR_RATING_RO_ROLLUP],0),MATCH(H$9,MMWR_RATING_RO_ROLLUP[#Headers],0)),"ERROR"))</f>
        <v>63.722613065300003</v>
      </c>
      <c r="I35" s="156">
        <f>IF($B35=" ","",IFERROR(INDEX(MMWR_RATING_RO_ROLLUP[],MATCH($B35,MMWR_RATING_RO_ROLLUP[MMWR_RATING_RO_ROLLUP],0),MATCH(I$9,MMWR_RATING_RO_ROLLUP[#Headers],0)),"ERROR"))</f>
        <v>55.195582532499998</v>
      </c>
      <c r="J35" s="42"/>
      <c r="K35" s="42"/>
      <c r="L35" s="42"/>
      <c r="M35" s="42"/>
      <c r="N35" s="28"/>
    </row>
    <row r="36" spans="1:14" x14ac:dyDescent="0.2">
      <c r="A36" s="25"/>
      <c r="B36" s="12" t="s">
        <v>218</v>
      </c>
      <c r="C36" s="155">
        <f>IF($B36=" ","",IFERROR(INDEX(MMWR_RATING_RO_ROLLUP[],MATCH($B36,MMWR_RATING_RO_ROLLUP[MMWR_RATING_RO_ROLLUP],0),MATCH(C$9,MMWR_RATING_RO_ROLLUP[#Headers],0)),"ERROR"))</f>
        <v>7923</v>
      </c>
      <c r="D36" s="156">
        <f>IF($B36=" ","",IFERROR(INDEX(MMWR_RATING_RO_ROLLUP[],MATCH($B36,MMWR_RATING_RO_ROLLUP[MMWR_RATING_RO_ROLLUP],0),MATCH(D$9,MMWR_RATING_RO_ROLLUP[#Headers],0)),"ERROR"))</f>
        <v>51.125457528699997</v>
      </c>
      <c r="E36" s="157">
        <f>IF($B36=" ","",IFERROR(INDEX(MMWR_RATING_RO_ROLLUP[],MATCH($B36,MMWR_RATING_RO_ROLLUP[MMWR_RATING_RO_ROLLUP],0),MATCH(E$9,MMWR_RATING_RO_ROLLUP[#Headers],0))/$C36,"ERROR"))</f>
        <v>5.6418023475956078E-2</v>
      </c>
      <c r="F36" s="155">
        <f>IF($B36=" ","",IFERROR(INDEX(MMWR_RATING_RO_ROLLUP[],MATCH($B36,MMWR_RATING_RO_ROLLUP[MMWR_RATING_RO_ROLLUP],0),MATCH(F$9,MMWR_RATING_RO_ROLLUP[#Headers],0)),"ERROR"))</f>
        <v>3111</v>
      </c>
      <c r="G36" s="155">
        <f>IF($B36=" ","",IFERROR(INDEX(MMWR_RATING_RO_ROLLUP[],MATCH($B36,MMWR_RATING_RO_ROLLUP[MMWR_RATING_RO_ROLLUP],0),MATCH(G$9,MMWR_RATING_RO_ROLLUP[#Headers],0)),"ERROR"))</f>
        <v>54420</v>
      </c>
      <c r="H36" s="156">
        <f>IF($B36=" ","",IFERROR(INDEX(MMWR_RATING_RO_ROLLUP[],MATCH($B36,MMWR_RATING_RO_ROLLUP[MMWR_RATING_RO_ROLLUP],0),MATCH(H$9,MMWR_RATING_RO_ROLLUP[#Headers],0)),"ERROR"))</f>
        <v>62.229508196700003</v>
      </c>
      <c r="I36" s="156">
        <f>IF($B36=" ","",IFERROR(INDEX(MMWR_RATING_RO_ROLLUP[],MATCH($B36,MMWR_RATING_RO_ROLLUP[MMWR_RATING_RO_ROLLUP],0),MATCH(I$9,MMWR_RATING_RO_ROLLUP[#Headers],0)),"ERROR"))</f>
        <v>64.603325983100007</v>
      </c>
      <c r="J36" s="42"/>
      <c r="K36" s="42"/>
      <c r="L36" s="42"/>
      <c r="M36" s="42"/>
      <c r="N36" s="28"/>
    </row>
    <row r="37" spans="1:14" x14ac:dyDescent="0.2">
      <c r="A37" s="25"/>
      <c r="B37" s="13" t="s">
        <v>230</v>
      </c>
      <c r="C37" s="155">
        <f>IF($B37=" ","",IFERROR(INDEX(MMWR_RATING_RO_ROLLUP[],MATCH($B37,MMWR_RATING_RO_ROLLUP[MMWR_RATING_RO_ROLLUP],0),MATCH(C$9,MMWR_RATING_RO_ROLLUP[#Headers],0)),"ERROR"))</f>
        <v>540</v>
      </c>
      <c r="D37" s="156">
        <f>IF($B37=" ","",IFERROR(INDEX(MMWR_RATING_RO_ROLLUP[],MATCH($B37,MMWR_RATING_RO_ROLLUP[MMWR_RATING_RO_ROLLUP],0),MATCH(D$9,MMWR_RATING_RO_ROLLUP[#Headers],0)),"ERROR"))</f>
        <v>156.49444444439999</v>
      </c>
      <c r="E37" s="157">
        <f>IF($B37=" ","",IFERROR(INDEX(MMWR_RATING_RO_ROLLUP[],MATCH($B37,MMWR_RATING_RO_ROLLUP[MMWR_RATING_RO_ROLLUP],0),MATCH(E$9,MMWR_RATING_RO_ROLLUP[#Headers],0))/$C37,"ERROR"))</f>
        <v>0.41111111111111109</v>
      </c>
      <c r="F37" s="155">
        <f>IF($B37=" ","",IFERROR(INDEX(MMWR_RATING_RO_ROLLUP[],MATCH($B37,MMWR_RATING_RO_ROLLUP[MMWR_RATING_RO_ROLLUP],0),MATCH(F$9,MMWR_RATING_RO_ROLLUP[#Headers],0)),"ERROR"))</f>
        <v>262</v>
      </c>
      <c r="G37" s="155">
        <f>IF($B37=" ","",IFERROR(INDEX(MMWR_RATING_RO_ROLLUP[],MATCH($B37,MMWR_RATING_RO_ROLLUP[MMWR_RATING_RO_ROLLUP],0),MATCH(G$9,MMWR_RATING_RO_ROLLUP[#Headers],0)),"ERROR"))</f>
        <v>5463</v>
      </c>
      <c r="H37" s="156">
        <f>IF($B37=" ","",IFERROR(INDEX(MMWR_RATING_RO_ROLLUP[],MATCH($B37,MMWR_RATING_RO_ROLLUP[MMWR_RATING_RO_ROLLUP],0),MATCH(H$9,MMWR_RATING_RO_ROLLUP[#Headers],0)),"ERROR"))</f>
        <v>79.274809160299995</v>
      </c>
      <c r="I37" s="156">
        <f>IF($B37=" ","",IFERROR(INDEX(MMWR_RATING_RO_ROLLUP[],MATCH($B37,MMWR_RATING_RO_ROLLUP[MMWR_RATING_RO_ROLLUP],0),MATCH(I$9,MMWR_RATING_RO_ROLLUP[#Headers],0)),"ERROR"))</f>
        <v>68.210690096999997</v>
      </c>
      <c r="J37" s="42"/>
      <c r="K37" s="42"/>
      <c r="L37" s="42"/>
      <c r="M37" s="42"/>
      <c r="N37" s="28"/>
    </row>
    <row r="38" spans="1:14" x14ac:dyDescent="0.2">
      <c r="A38" s="25"/>
      <c r="B38" s="377" t="s">
        <v>924</v>
      </c>
      <c r="C38" s="378"/>
      <c r="D38" s="378"/>
      <c r="E38" s="378"/>
      <c r="F38" s="378"/>
      <c r="G38" s="378"/>
      <c r="H38" s="378"/>
      <c r="I38" s="378"/>
      <c r="J38" s="378"/>
      <c r="K38" s="378"/>
      <c r="L38" s="378"/>
      <c r="M38" s="387"/>
      <c r="N38" s="28"/>
    </row>
    <row r="39" spans="1:14" x14ac:dyDescent="0.2">
      <c r="A39" s="25"/>
      <c r="B39" s="44" t="s">
        <v>705</v>
      </c>
      <c r="C39" s="155">
        <f>IF($B39=" ","",IFERROR(INDEX(MMWR_RATING_RO_ROLLUP[],MATCH($B39,MMWR_RATING_RO_ROLLUP[MMWR_RATING_RO_ROLLUP],0),MATCH(C$9,MMWR_RATING_RO_ROLLUP[#Headers],0)),"ERROR"))</f>
        <v>8986</v>
      </c>
      <c r="D39" s="156">
        <f>IF($B39=" ","",IFERROR(INDEX(MMWR_RATING_RO_ROLLUP[],MATCH($B39,MMWR_RATING_RO_ROLLUP[MMWR_RATING_RO_ROLLUP],0),MATCH(D$9,MMWR_RATING_RO_ROLLUP[#Headers],0)),"ERROR"))</f>
        <v>68.709325617600001</v>
      </c>
      <c r="E39" s="157">
        <f>IF($B39=" ","",IFERROR(INDEX(MMWR_RATING_RO_ROLLUP[],MATCH($B39,MMWR_RATING_RO_ROLLUP[MMWR_RATING_RO_ROLLUP],0),MATCH(E$9,MMWR_RATING_RO_ROLLUP[#Headers],0))/$C39,"ERROR"))</f>
        <v>0.11740485199198754</v>
      </c>
      <c r="F39" s="155">
        <f>IF($B39=" ","",IFERROR(INDEX(MMWR_RATING_RO_ROLLUP[],MATCH($B39,MMWR_RATING_RO_ROLLUP[MMWR_RATING_RO_ROLLUP],0),MATCH(F$9,MMWR_RATING_RO_ROLLUP[#Headers],0)),"ERROR"))</f>
        <v>956</v>
      </c>
      <c r="G39" s="155">
        <f>IF($B39=" ","",IFERROR(INDEX(MMWR_RATING_RO_ROLLUP[],MATCH($B39,MMWR_RATING_RO_ROLLUP[MMWR_RATING_RO_ROLLUP],0),MATCH(G$9,MMWR_RATING_RO_ROLLUP[#Headers],0)),"ERROR"))</f>
        <v>24692</v>
      </c>
      <c r="H39" s="156">
        <f>IF($B39=" ","",IFERROR(INDEX(MMWR_RATING_RO_ROLLUP[],MATCH($B39,MMWR_RATING_RO_ROLLUP[MMWR_RATING_RO_ROLLUP],0),MATCH(H$9,MMWR_RATING_RO_ROLLUP[#Headers],0)),"ERROR"))</f>
        <v>127.3953974895</v>
      </c>
      <c r="I39" s="156">
        <f>IF($B39=" ","",IFERROR(INDEX(MMWR_RATING_RO_ROLLUP[],MATCH($B39,MMWR_RATING_RO_ROLLUP[MMWR_RATING_RO_ROLLUP],0),MATCH(I$9,MMWR_RATING_RO_ROLLUP[#Headers],0)),"ERROR"))</f>
        <v>132.8043495869</v>
      </c>
      <c r="J39" s="42"/>
      <c r="K39" s="42"/>
      <c r="L39" s="42"/>
      <c r="M39" s="42"/>
      <c r="N39" s="28"/>
    </row>
    <row r="40" spans="1:14" x14ac:dyDescent="0.2">
      <c r="A40" s="25"/>
      <c r="B40" s="53" t="s">
        <v>964</v>
      </c>
      <c r="C40" s="155">
        <f>IF($B40=" ","",IFERROR(INDEX(MMWR_RATING_RO_ROLLUP[],MATCH($B40,MMWR_RATING_RO_ROLLUP[MMWR_RATING_RO_ROLLUP],0),MATCH(C$9,MMWR_RATING_RO_ROLLUP[#Headers],0)),"ERROR"))</f>
        <v>2972</v>
      </c>
      <c r="D40" s="156">
        <f>IF($B40=" ","",IFERROR(INDEX(MMWR_RATING_RO_ROLLUP[],MATCH($B40,MMWR_RATING_RO_ROLLUP[MMWR_RATING_RO_ROLLUP],0),MATCH(D$9,MMWR_RATING_RO_ROLLUP[#Headers],0)),"ERROR"))</f>
        <v>62.010430686399999</v>
      </c>
      <c r="E40" s="157">
        <f>IF($B40=" ","",IFERROR(INDEX(MMWR_RATING_RO_ROLLUP[],MATCH($B40,MMWR_RATING_RO_ROLLUP[MMWR_RATING_RO_ROLLUP],0),MATCH(E$9,MMWR_RATING_RO_ROLLUP[#Headers],0))/$C40,"ERROR"))</f>
        <v>9.6231493943472413E-2</v>
      </c>
      <c r="F40" s="155">
        <f>IF($B40=" ","",IFERROR(INDEX(MMWR_RATING_RO_ROLLUP[],MATCH($B40,MMWR_RATING_RO_ROLLUP[MMWR_RATING_RO_ROLLUP],0),MATCH(F$9,MMWR_RATING_RO_ROLLUP[#Headers],0)),"ERROR"))</f>
        <v>411</v>
      </c>
      <c r="G40" s="155">
        <f>IF($B40=" ","",IFERROR(INDEX(MMWR_RATING_RO_ROLLUP[],MATCH($B40,MMWR_RATING_RO_ROLLUP[MMWR_RATING_RO_ROLLUP],0),MATCH(G$9,MMWR_RATING_RO_ROLLUP[#Headers],0)),"ERROR"))</f>
        <v>10298</v>
      </c>
      <c r="H40" s="156">
        <f>IF($B40=" ","",IFERROR(INDEX(MMWR_RATING_RO_ROLLUP[],MATCH($B40,MMWR_RATING_RO_ROLLUP[MMWR_RATING_RO_ROLLUP],0),MATCH(H$9,MMWR_RATING_RO_ROLLUP[#Headers],0)),"ERROR"))</f>
        <v>108.2433090024</v>
      </c>
      <c r="I40" s="156">
        <f>IF($B40=" ","",IFERROR(INDEX(MMWR_RATING_RO_ROLLUP[],MATCH($B40,MMWR_RATING_RO_ROLLUP[MMWR_RATING_RO_ROLLUP],0),MATCH(I$9,MMWR_RATING_RO_ROLLUP[#Headers],0)),"ERROR"))</f>
        <v>117.87249951450001</v>
      </c>
      <c r="J40" s="42"/>
      <c r="K40" s="42"/>
      <c r="L40" s="42"/>
      <c r="M40" s="42"/>
      <c r="N40" s="28"/>
    </row>
    <row r="41" spans="1:14" x14ac:dyDescent="0.2">
      <c r="A41" s="25"/>
      <c r="B41" s="53" t="s">
        <v>965</v>
      </c>
      <c r="C41" s="155">
        <f>IF($B41=" ","",IFERROR(INDEX(MMWR_RATING_RO_ROLLUP[],MATCH($B41,MMWR_RATING_RO_ROLLUP[MMWR_RATING_RO_ROLLUP],0),MATCH(C$9,MMWR_RATING_RO_ROLLUP[#Headers],0)),"ERROR"))</f>
        <v>3101</v>
      </c>
      <c r="D41" s="156">
        <f>IF($B41=" ","",IFERROR(INDEX(MMWR_RATING_RO_ROLLUP[],MATCH($B41,MMWR_RATING_RO_ROLLUP[MMWR_RATING_RO_ROLLUP],0),MATCH(D$9,MMWR_RATING_RO_ROLLUP[#Headers],0)),"ERROR"))</f>
        <v>76.745888423099998</v>
      </c>
      <c r="E41" s="157">
        <f>IF($B41=" ","",IFERROR(INDEX(MMWR_RATING_RO_ROLLUP[],MATCH($B41,MMWR_RATING_RO_ROLLUP[MMWR_RATING_RO_ROLLUP],0),MATCH(E$9,MMWR_RATING_RO_ROLLUP[#Headers],0))/$C41,"ERROR"))</f>
        <v>0.14124475975491776</v>
      </c>
      <c r="F41" s="155">
        <f>IF($B41=" ","",IFERROR(INDEX(MMWR_RATING_RO_ROLLUP[],MATCH($B41,MMWR_RATING_RO_ROLLUP[MMWR_RATING_RO_ROLLUP],0),MATCH(F$9,MMWR_RATING_RO_ROLLUP[#Headers],0)),"ERROR"))</f>
        <v>261</v>
      </c>
      <c r="G41" s="155">
        <f>IF($B41=" ","",IFERROR(INDEX(MMWR_RATING_RO_ROLLUP[],MATCH($B41,MMWR_RATING_RO_ROLLUP[MMWR_RATING_RO_ROLLUP],0),MATCH(G$9,MMWR_RATING_RO_ROLLUP[#Headers],0)),"ERROR"))</f>
        <v>10338</v>
      </c>
      <c r="H41" s="156">
        <f>IF($B41=" ","",IFERROR(INDEX(MMWR_RATING_RO_ROLLUP[],MATCH($B41,MMWR_RATING_RO_ROLLUP[MMWR_RATING_RO_ROLLUP],0),MATCH(H$9,MMWR_RATING_RO_ROLLUP[#Headers],0)),"ERROR"))</f>
        <v>158.78160919539999</v>
      </c>
      <c r="I41" s="156">
        <f>IF($B41=" ","",IFERROR(INDEX(MMWR_RATING_RO_ROLLUP[],MATCH($B41,MMWR_RATING_RO_ROLLUP[MMWR_RATING_RO_ROLLUP],0),MATCH(I$9,MMWR_RATING_RO_ROLLUP[#Headers],0)),"ERROR"))</f>
        <v>151.32559489260001</v>
      </c>
      <c r="J41" s="42"/>
      <c r="K41" s="42"/>
      <c r="L41" s="42"/>
      <c r="M41" s="42"/>
      <c r="N41" s="28"/>
    </row>
    <row r="42" spans="1:14" x14ac:dyDescent="0.2">
      <c r="A42" s="25"/>
      <c r="B42" s="46" t="s">
        <v>314</v>
      </c>
      <c r="C42" s="155">
        <f>IF($B42=" ","",IFERROR(INDEX(MMWR_RATING_RO_ROLLUP[],MATCH($B42,MMWR_RATING_RO_ROLLUP[MMWR_RATING_RO_ROLLUP],0),MATCH(C$9,MMWR_RATING_RO_ROLLUP[#Headers],0)),"ERROR"))</f>
        <v>2913</v>
      </c>
      <c r="D42" s="156">
        <f>IF($B42=" ","",IFERROR(INDEX(MMWR_RATING_RO_ROLLUP[],MATCH($B42,MMWR_RATING_RO_ROLLUP[MMWR_RATING_RO_ROLLUP],0),MATCH(D$9,MMWR_RATING_RO_ROLLUP[#Headers],0)),"ERROR"))</f>
        <v>66.988671472700005</v>
      </c>
      <c r="E42" s="157">
        <f>IF($B42=" ","",IFERROR(INDEX(MMWR_RATING_RO_ROLLUP[],MATCH($B42,MMWR_RATING_RO_ROLLUP[MMWR_RATING_RO_ROLLUP],0),MATCH(E$9,MMWR_RATING_RO_ROLLUP[#Headers],0))/$C42,"ERROR"))</f>
        <v>0.11362856162032269</v>
      </c>
      <c r="F42" s="155">
        <f>IF($B42=" ","",IFERROR(INDEX(MMWR_RATING_RO_ROLLUP[],MATCH($B42,MMWR_RATING_RO_ROLLUP[MMWR_RATING_RO_ROLLUP],0),MATCH(F$9,MMWR_RATING_RO_ROLLUP[#Headers],0)),"ERROR"))</f>
        <v>284</v>
      </c>
      <c r="G42" s="155">
        <f>IF($B42=" ","",IFERROR(INDEX(MMWR_RATING_RO_ROLLUP[],MATCH($B42,MMWR_RATING_RO_ROLLUP[MMWR_RATING_RO_ROLLUP],0),MATCH(G$9,MMWR_RATING_RO_ROLLUP[#Headers],0)),"ERROR"))</f>
        <v>4056</v>
      </c>
      <c r="H42" s="156">
        <f>IF($B42=" ","",IFERROR(INDEX(MMWR_RATING_RO_ROLLUP[],MATCH($B42,MMWR_RATING_RO_ROLLUP[MMWR_RATING_RO_ROLLUP],0),MATCH(H$9,MMWR_RATING_RO_ROLLUP[#Headers],0)),"ERROR"))</f>
        <v>126.2676056338</v>
      </c>
      <c r="I42" s="156">
        <f>IF($B42=" ","",IFERROR(INDEX(MMWR_RATING_RO_ROLLUP[],MATCH($B42,MMWR_RATING_RO_ROLLUP[MMWR_RATING_RO_ROLLUP],0),MATCH(I$9,MMWR_RATING_RO_ROLLUP[#Headers],0)),"ERROR"))</f>
        <v>123.508382643</v>
      </c>
      <c r="J42" s="42"/>
      <c r="K42" s="42"/>
      <c r="L42" s="42"/>
      <c r="M42" s="42"/>
      <c r="N42" s="28"/>
    </row>
    <row r="43" spans="1:14" x14ac:dyDescent="0.2">
      <c r="A43" s="25"/>
      <c r="B43" s="377" t="s">
        <v>742</v>
      </c>
      <c r="C43" s="378"/>
      <c r="D43" s="378"/>
      <c r="E43" s="378"/>
      <c r="F43" s="378"/>
      <c r="G43" s="378"/>
      <c r="H43" s="378"/>
      <c r="I43" s="378"/>
      <c r="J43" s="378"/>
      <c r="K43" s="378"/>
      <c r="L43" s="378"/>
      <c r="M43" s="387"/>
      <c r="N43" s="28"/>
    </row>
    <row r="44" spans="1:14" x14ac:dyDescent="0.2">
      <c r="A44" s="25"/>
      <c r="B44" s="44" t="s">
        <v>703</v>
      </c>
      <c r="C44" s="155">
        <f>IF($B44=" ","",IFERROR(INDEX(MMWR_RATING_RO_ROLLUP[],MATCH($B44,MMWR_RATING_RO_ROLLUP[MMWR_RATING_RO_ROLLUP],0),MATCH(C$9,MMWR_RATING_RO_ROLLUP[#Headers],0)),"ERROR"))</f>
        <v>10381</v>
      </c>
      <c r="D44" s="156">
        <f>IF($B44=" ","",IFERROR(INDEX(MMWR_RATING_RO_ROLLUP[],MATCH($B44,MMWR_RATING_RO_ROLLUP[MMWR_RATING_RO_ROLLUP],0),MATCH(D$9,MMWR_RATING_RO_ROLLUP[#Headers],0)),"ERROR"))</f>
        <v>67.965513919700001</v>
      </c>
      <c r="E44" s="157">
        <f>IF($B44=" ","",IFERROR(INDEX(MMWR_RATING_RO_ROLLUP[],MATCH($B44,MMWR_RATING_RO_ROLLUP[MMWR_RATING_RO_ROLLUP],0),MATCH(E$9,MMWR_RATING_RO_ROLLUP[#Headers],0))/$C44,"ERROR"))</f>
        <v>9.7196801849532805E-2</v>
      </c>
      <c r="F44" s="155">
        <f>IF($B44=" ","",IFERROR(INDEX(MMWR_RATING_RO_ROLLUP[],MATCH($B44,MMWR_RATING_RO_ROLLUP[MMWR_RATING_RO_ROLLUP],0),MATCH(F$9,MMWR_RATING_RO_ROLLUP[#Headers],0)),"ERROR"))</f>
        <v>893</v>
      </c>
      <c r="G44" s="155">
        <f>IF($B44=" ","",IFERROR(INDEX(MMWR_RATING_RO_ROLLUP[],MATCH($B44,MMWR_RATING_RO_ROLLUP[MMWR_RATING_RO_ROLLUP],0),MATCH(G$9,MMWR_RATING_RO_ROLLUP[#Headers],0)),"ERROR"))</f>
        <v>24509</v>
      </c>
      <c r="H44" s="156">
        <f>IF($B44=" ","",IFERROR(INDEX(MMWR_RATING_RO_ROLLUP[],MATCH($B44,MMWR_RATING_RO_ROLLUP[MMWR_RATING_RO_ROLLUP],0),MATCH(H$9,MMWR_RATING_RO_ROLLUP[#Headers],0)),"ERROR"))</f>
        <v>134.490481523</v>
      </c>
      <c r="I44" s="156">
        <f>IF($B44=" ","",IFERROR(INDEX(MMWR_RATING_RO_ROLLUP[],MATCH($B44,MMWR_RATING_RO_ROLLUP[MMWR_RATING_RO_ROLLUP],0),MATCH(I$9,MMWR_RATING_RO_ROLLUP[#Headers],0)),"ERROR"))</f>
        <v>150.25794606060001</v>
      </c>
      <c r="J44" s="42"/>
      <c r="K44" s="42"/>
      <c r="L44" s="42"/>
      <c r="M44" s="42"/>
      <c r="N44" s="28"/>
    </row>
    <row r="45" spans="1:14" x14ac:dyDescent="0.2">
      <c r="A45" s="25"/>
      <c r="B45" s="45" t="s">
        <v>217</v>
      </c>
      <c r="C45" s="155">
        <f>IF($B45=" ","",IFERROR(INDEX(MMWR_RATING_RO_ROLLUP[],MATCH($B45,MMWR_RATING_RO_ROLLUP[MMWR_RATING_RO_ROLLUP],0),MATCH(C$9,MMWR_RATING_RO_ROLLUP[#Headers],0)),"ERROR"))</f>
        <v>3468</v>
      </c>
      <c r="D45" s="156">
        <f>IF($B45=" ","",IFERROR(INDEX(MMWR_RATING_RO_ROLLUP[],MATCH($B45,MMWR_RATING_RO_ROLLUP[MMWR_RATING_RO_ROLLUP],0),MATCH(D$9,MMWR_RATING_RO_ROLLUP[#Headers],0)),"ERROR"))</f>
        <v>63.944348327599997</v>
      </c>
      <c r="E45" s="157">
        <f>IF($B45=" ","",IFERROR(INDEX(MMWR_RATING_RO_ROLLUP[],MATCH($B45,MMWR_RATING_RO_ROLLUP[MMWR_RATING_RO_ROLLUP],0),MATCH(E$9,MMWR_RATING_RO_ROLLUP[#Headers],0))/$C45,"ERROR"))</f>
        <v>7.0645905420991931E-2</v>
      </c>
      <c r="F45" s="155">
        <f>IF($B45=" ","",IFERROR(INDEX(MMWR_RATING_RO_ROLLUP[],MATCH($B45,MMWR_RATING_RO_ROLLUP[MMWR_RATING_RO_ROLLUP],0),MATCH(F$9,MMWR_RATING_RO_ROLLUP[#Headers],0)),"ERROR"))</f>
        <v>403</v>
      </c>
      <c r="G45" s="155">
        <f>IF($B45=" ","",IFERROR(INDEX(MMWR_RATING_RO_ROLLUP[],MATCH($B45,MMWR_RATING_RO_ROLLUP[MMWR_RATING_RO_ROLLUP],0),MATCH(G$9,MMWR_RATING_RO_ROLLUP[#Headers],0)),"ERROR"))</f>
        <v>12616</v>
      </c>
      <c r="H45" s="156">
        <f>IF($B45=" ","",IFERROR(INDEX(MMWR_RATING_RO_ROLLUP[],MATCH($B45,MMWR_RATING_RO_ROLLUP[MMWR_RATING_RO_ROLLUP],0),MATCH(H$9,MMWR_RATING_RO_ROLLUP[#Headers],0)),"ERROR"))</f>
        <v>122.26302729530001</v>
      </c>
      <c r="I45" s="156">
        <f>IF($B45=" ","",IFERROR(INDEX(MMWR_RATING_RO_ROLLUP[],MATCH($B45,MMWR_RATING_RO_ROLLUP[MMWR_RATING_RO_ROLLUP],0),MATCH(I$9,MMWR_RATING_RO_ROLLUP[#Headers],0)),"ERROR"))</f>
        <v>165.6857165504</v>
      </c>
      <c r="J45" s="42"/>
      <c r="K45" s="42"/>
      <c r="L45" s="42"/>
      <c r="M45" s="42"/>
      <c r="N45" s="28"/>
    </row>
    <row r="46" spans="1:14" x14ac:dyDescent="0.2">
      <c r="A46" s="25"/>
      <c r="B46" s="45" t="s">
        <v>219</v>
      </c>
      <c r="C46" s="155">
        <f>IF($B46=" ","",IFERROR(INDEX(MMWR_RATING_RO_ROLLUP[],MATCH($B46,MMWR_RATING_RO_ROLLUP[MMWR_RATING_RO_ROLLUP],0),MATCH(C$9,MMWR_RATING_RO_ROLLUP[#Headers],0)),"ERROR"))</f>
        <v>4642</v>
      </c>
      <c r="D46" s="156">
        <f>IF($B46=" ","",IFERROR(INDEX(MMWR_RATING_RO_ROLLUP[],MATCH($B46,MMWR_RATING_RO_ROLLUP[MMWR_RATING_RO_ROLLUP],0),MATCH(D$9,MMWR_RATING_RO_ROLLUP[#Headers],0)),"ERROR"))</f>
        <v>73.908013787200005</v>
      </c>
      <c r="E46" s="157">
        <f>IF($B46=" ","",IFERROR(INDEX(MMWR_RATING_RO_ROLLUP[],MATCH($B46,MMWR_RATING_RO_ROLLUP[MMWR_RATING_RO_ROLLUP],0),MATCH(E$9,MMWR_RATING_RO_ROLLUP[#Headers],0))/$C46,"ERROR"))</f>
        <v>0.12085308056872038</v>
      </c>
      <c r="F46" s="155">
        <f>IF($B46=" ","",IFERROR(INDEX(MMWR_RATING_RO_ROLLUP[],MATCH($B46,MMWR_RATING_RO_ROLLUP[MMWR_RATING_RO_ROLLUP],0),MATCH(F$9,MMWR_RATING_RO_ROLLUP[#Headers],0)),"ERROR"))</f>
        <v>346</v>
      </c>
      <c r="G46" s="155">
        <f>IF($B46=" ","",IFERROR(INDEX(MMWR_RATING_RO_ROLLUP[],MATCH($B46,MMWR_RATING_RO_ROLLUP[MMWR_RATING_RO_ROLLUP],0),MATCH(G$9,MMWR_RATING_RO_ROLLUP[#Headers],0)),"ERROR"))</f>
        <v>9357</v>
      </c>
      <c r="H46" s="156">
        <f>IF($B46=" ","",IFERROR(INDEX(MMWR_RATING_RO_ROLLUP[],MATCH($B46,MMWR_RATING_RO_ROLLUP[MMWR_RATING_RO_ROLLUP],0),MATCH(H$9,MMWR_RATING_RO_ROLLUP[#Headers],0)),"ERROR"))</f>
        <v>148.2687861272</v>
      </c>
      <c r="I46" s="156">
        <f>IF($B46=" ","",IFERROR(INDEX(MMWR_RATING_RO_ROLLUP[],MATCH($B46,MMWR_RATING_RO_ROLLUP[MMWR_RATING_RO_ROLLUP],0),MATCH(I$9,MMWR_RATING_RO_ROLLUP[#Headers],0)),"ERROR"))</f>
        <v>131.35770011759999</v>
      </c>
      <c r="J46" s="42"/>
      <c r="K46" s="42"/>
      <c r="L46" s="42"/>
      <c r="M46" s="42"/>
      <c r="N46" s="28"/>
    </row>
    <row r="47" spans="1:14" x14ac:dyDescent="0.2">
      <c r="A47" s="25"/>
      <c r="B47" s="47" t="s">
        <v>315</v>
      </c>
      <c r="C47" s="155">
        <f>IF($B47=" ","",IFERROR(INDEX(MMWR_RATING_RO_ROLLUP[],MATCH($B47,MMWR_RATING_RO_ROLLUP[MMWR_RATING_RO_ROLLUP],0),MATCH(C$9,MMWR_RATING_RO_ROLLUP[#Headers],0)),"ERROR"))</f>
        <v>2271</v>
      </c>
      <c r="D47" s="156">
        <f>IF($B47=" ","",IFERROR(INDEX(MMWR_RATING_RO_ROLLUP[],MATCH($B47,MMWR_RATING_RO_ROLLUP[MMWR_RATING_RO_ROLLUP],0),MATCH(D$9,MMWR_RATING_RO_ROLLUP[#Headers],0)),"ERROR"))</f>
        <v>61.959489211799998</v>
      </c>
      <c r="E47" s="157">
        <f>IF($B47=" ","",IFERROR(INDEX(MMWR_RATING_RO_ROLLUP[],MATCH($B47,MMWR_RATING_RO_ROLLUP[MMWR_RATING_RO_ROLLUP],0),MATCH(E$9,MMWR_RATING_RO_ROLLUP[#Headers],0))/$C47,"ERROR"))</f>
        <v>8.9387934830471152E-2</v>
      </c>
      <c r="F47" s="155">
        <f>IF($B47=" ","",IFERROR(INDEX(MMWR_RATING_RO_ROLLUP[],MATCH($B47,MMWR_RATING_RO_ROLLUP[MMWR_RATING_RO_ROLLUP],0),MATCH(F$9,MMWR_RATING_RO_ROLLUP[#Headers],0)),"ERROR"))</f>
        <v>144</v>
      </c>
      <c r="G47" s="155">
        <f>IF($B47=" ","",IFERROR(INDEX(MMWR_RATING_RO_ROLLUP[],MATCH($B47,MMWR_RATING_RO_ROLLUP[MMWR_RATING_RO_ROLLUP],0),MATCH(G$9,MMWR_RATING_RO_ROLLUP[#Headers],0)),"ERROR"))</f>
        <v>2536</v>
      </c>
      <c r="H47" s="156">
        <f>IF($B47=" ","",IFERROR(INDEX(MMWR_RATING_RO_ROLLUP[],MATCH($B47,MMWR_RATING_RO_ROLLUP[MMWR_RATING_RO_ROLLUP],0),MATCH(H$9,MMWR_RATING_RO_ROLLUP[#Headers],0)),"ERROR"))</f>
        <v>135.6041666667</v>
      </c>
      <c r="I47" s="156">
        <f>IF($B47=" ","",IFERROR(INDEX(MMWR_RATING_RO_ROLLUP[],MATCH($B47,MMWR_RATING_RO_ROLLUP[MMWR_RATING_RO_ROLLUP],0),MATCH(I$9,MMWR_RATING_RO_ROLLUP[#Headers],0)),"ERROR"))</f>
        <v>143.2440851735</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49" t="s">
        <v>986</v>
      </c>
      <c r="D2" s="350"/>
      <c r="E2" s="350"/>
      <c r="F2" s="350"/>
      <c r="G2" s="350"/>
      <c r="H2" s="350"/>
      <c r="I2" s="350"/>
      <c r="J2" s="349" t="s">
        <v>307</v>
      </c>
      <c r="K2" s="350"/>
      <c r="L2" s="350"/>
      <c r="M2" s="351"/>
      <c r="N2" s="28"/>
    </row>
    <row r="3" spans="1:15" ht="24" customHeight="1" thickBot="1" x14ac:dyDescent="0.4">
      <c r="A3" s="25"/>
      <c r="B3" s="29"/>
      <c r="C3" s="352"/>
      <c r="D3" s="353"/>
      <c r="E3" s="353"/>
      <c r="F3" s="353"/>
      <c r="G3" s="353"/>
      <c r="H3" s="353"/>
      <c r="I3" s="353"/>
      <c r="J3" s="352" t="str">
        <f>Transformation!B4</f>
        <v>As of: September 19, 2015</v>
      </c>
      <c r="K3" s="353"/>
      <c r="L3" s="353"/>
      <c r="M3" s="354"/>
      <c r="N3" s="28"/>
    </row>
    <row r="4" spans="1:15" ht="51.75" customHeight="1" thickBot="1" x14ac:dyDescent="0.35">
      <c r="A4" s="30"/>
      <c r="B4" s="248" t="s">
        <v>463</v>
      </c>
      <c r="C4" s="355" t="s">
        <v>439</v>
      </c>
      <c r="D4" s="356"/>
      <c r="E4" s="356"/>
      <c r="F4" s="356"/>
      <c r="G4" s="356"/>
      <c r="H4" s="356"/>
      <c r="I4" s="356"/>
      <c r="J4" s="356"/>
      <c r="K4" s="356"/>
      <c r="L4" s="356"/>
      <c r="M4" s="357"/>
      <c r="N4" s="28"/>
    </row>
    <row r="5" spans="1:15" ht="27" customHeight="1" thickBot="1" x14ac:dyDescent="0.25">
      <c r="A5" s="30"/>
      <c r="B5" s="247" t="s">
        <v>377</v>
      </c>
      <c r="C5" s="358" t="s">
        <v>1050</v>
      </c>
      <c r="D5" s="359"/>
      <c r="E5" s="359"/>
      <c r="F5" s="359"/>
      <c r="G5" s="359"/>
      <c r="H5" s="359"/>
      <c r="I5" s="359"/>
      <c r="J5" s="359"/>
      <c r="K5" s="359"/>
      <c r="L5" s="359"/>
      <c r="M5" s="359"/>
      <c r="N5" s="359"/>
      <c r="O5" s="360"/>
    </row>
    <row r="6" spans="1:15" ht="55.5" customHeight="1" x14ac:dyDescent="0.2">
      <c r="A6" s="30"/>
      <c r="B6" s="31"/>
      <c r="C6" s="32" t="s">
        <v>196</v>
      </c>
      <c r="D6" s="361" t="s">
        <v>16</v>
      </c>
      <c r="E6" s="362"/>
      <c r="F6" s="33" t="s">
        <v>199</v>
      </c>
      <c r="G6" s="361" t="s">
        <v>204</v>
      </c>
      <c r="H6" s="363"/>
      <c r="I6" s="33" t="s">
        <v>202</v>
      </c>
      <c r="J6" s="49" t="s">
        <v>14</v>
      </c>
      <c r="K6" s="33" t="s">
        <v>207</v>
      </c>
      <c r="L6" s="367" t="s">
        <v>88</v>
      </c>
      <c r="M6" s="395"/>
      <c r="N6" s="28"/>
    </row>
    <row r="7" spans="1:15" ht="51.75" customHeight="1" x14ac:dyDescent="0.2">
      <c r="A7" s="30"/>
      <c r="B7" s="34"/>
      <c r="C7" s="35" t="s">
        <v>197</v>
      </c>
      <c r="D7" s="379" t="s">
        <v>0</v>
      </c>
      <c r="E7" s="380"/>
      <c r="F7" s="36" t="s">
        <v>200</v>
      </c>
      <c r="G7" s="381" t="s">
        <v>205</v>
      </c>
      <c r="H7" s="381"/>
      <c r="I7" s="36" t="s">
        <v>203</v>
      </c>
      <c r="J7" s="50" t="s">
        <v>19</v>
      </c>
      <c r="K7" s="36" t="s">
        <v>208</v>
      </c>
      <c r="L7" s="391" t="s">
        <v>90</v>
      </c>
      <c r="M7" s="392"/>
      <c r="N7" s="28"/>
    </row>
    <row r="8" spans="1:15" ht="51.75" customHeight="1" thickBot="1" x14ac:dyDescent="0.25">
      <c r="A8" s="25"/>
      <c r="B8" s="28"/>
      <c r="C8" s="37" t="s">
        <v>198</v>
      </c>
      <c r="D8" s="382" t="s">
        <v>18</v>
      </c>
      <c r="E8" s="383"/>
      <c r="F8" s="38" t="s">
        <v>201</v>
      </c>
      <c r="G8" s="384" t="s">
        <v>17</v>
      </c>
      <c r="H8" s="384"/>
      <c r="I8" s="38" t="s">
        <v>206</v>
      </c>
      <c r="J8" s="51" t="s">
        <v>87</v>
      </c>
      <c r="K8" s="38" t="s">
        <v>209</v>
      </c>
      <c r="L8" s="393" t="s">
        <v>89</v>
      </c>
      <c r="M8" s="394"/>
      <c r="N8" s="28"/>
    </row>
    <row r="9" spans="1:15" x14ac:dyDescent="0.2">
      <c r="A9" s="28"/>
      <c r="B9" s="39"/>
      <c r="C9" s="39" t="s">
        <v>722</v>
      </c>
      <c r="D9" s="39" t="s">
        <v>724</v>
      </c>
      <c r="E9" s="39" t="s">
        <v>723</v>
      </c>
      <c r="F9" s="39" t="s">
        <v>726</v>
      </c>
      <c r="G9" s="39" t="s">
        <v>725</v>
      </c>
      <c r="H9" s="39" t="s">
        <v>728</v>
      </c>
      <c r="I9" s="39" t="s">
        <v>727</v>
      </c>
      <c r="J9" s="39"/>
      <c r="K9" s="39"/>
      <c r="L9" s="39"/>
      <c r="M9" s="39"/>
      <c r="N9" s="39"/>
    </row>
    <row r="10" spans="1:15" ht="15.75" customHeight="1" x14ac:dyDescent="0.2">
      <c r="A10" s="25"/>
      <c r="B10" s="26"/>
      <c r="C10" s="385" t="s">
        <v>300</v>
      </c>
      <c r="D10" s="385"/>
      <c r="E10" s="385"/>
      <c r="F10" s="385"/>
      <c r="G10" s="385"/>
      <c r="H10" s="385"/>
      <c r="I10" s="385"/>
      <c r="J10" s="385"/>
      <c r="K10" s="385"/>
      <c r="L10" s="385"/>
      <c r="M10" s="386"/>
      <c r="N10" s="28"/>
    </row>
    <row r="11" spans="1:15" ht="63.75" customHeight="1" x14ac:dyDescent="0.2">
      <c r="A11" s="25"/>
      <c r="B11" s="26"/>
      <c r="C11" s="52" t="s">
        <v>232</v>
      </c>
      <c r="D11" s="52" t="s">
        <v>140</v>
      </c>
      <c r="E11" s="52" t="s">
        <v>233</v>
      </c>
      <c r="F11" s="52" t="s">
        <v>195</v>
      </c>
      <c r="G11" s="52" t="s">
        <v>210</v>
      </c>
      <c r="H11" s="52" t="s">
        <v>212</v>
      </c>
      <c r="I11" s="52" t="s">
        <v>213</v>
      </c>
      <c r="J11" s="388" t="s">
        <v>980</v>
      </c>
      <c r="K11" s="389"/>
      <c r="L11" s="389"/>
      <c r="M11" s="390"/>
      <c r="N11" s="28"/>
    </row>
    <row r="12" spans="1:15" x14ac:dyDescent="0.2">
      <c r="A12" s="25"/>
      <c r="B12" s="41" t="s">
        <v>737</v>
      </c>
      <c r="C12" s="155">
        <f>IF($B12=" ","",IFERROR(INDEX(MMWR_RATING_STATE_ROLLUP_VSC[],MATCH($B12,MMWR_RATING_STATE_ROLLUP_VSC[MMWR_RATING_STATE_ROLLUP_VSC],0),MATCH(C$9,MMWR_RATING_STATE_ROLLUP_VSC[#Headers],0)),"ERROR"))</f>
        <v>369352</v>
      </c>
      <c r="D12" s="156">
        <f>IF($B12=" ","",IFERROR(INDEX(MMWR_RATING_STATE_ROLLUP_VSC[],MATCH($B12,MMWR_RATING_STATE_ROLLUP_VSC[MMWR_RATING_STATE_ROLLUP_VSC],0),MATCH(D$9,MMWR_RATING_STATE_ROLLUP_VSC[#Headers],0)),"ERROR"))</f>
        <v>96.589749074099998</v>
      </c>
      <c r="E12" s="159">
        <f>IF($B12=" ","",IFERROR(INDEX(MMWR_RATING_STATE_ROLLUP_VSC[],MATCH($B12,MMWR_RATING_STATE_ROLLUP_VSC[MMWR_RATING_STATE_ROLLUP_VSC],0),MATCH(E$9,MMWR_RATING_STATE_ROLLUP_VSC[#Headers],0))/$C12,"ERROR"))</f>
        <v>0.22168825402326237</v>
      </c>
      <c r="F12" s="155">
        <f>IF($B12=" ","",IFERROR(INDEX(MMWR_RATING_STATE_ROLLUP_VSC[],MATCH($B12,MMWR_RATING_STATE_ROLLUP_VSC[MMWR_RATING_STATE_ROLLUP_VSC],0),MATCH(F$9,MMWR_RATING_STATE_ROLLUP_VSC[#Headers],0)),"ERROR"))</f>
        <v>62538</v>
      </c>
      <c r="G12" s="155">
        <f>IF($B12=" ","",IFERROR(INDEX(MMWR_RATING_STATE_ROLLUP_VSC[],MATCH($B12,MMWR_RATING_STATE_ROLLUP_VSC[MMWR_RATING_STATE_ROLLUP_VSC],0),MATCH(G$9,MMWR_RATING_STATE_ROLLUP_VSC[#Headers],0)),"ERROR"))</f>
        <v>1343332</v>
      </c>
      <c r="H12" s="156">
        <f>IF($B12=" ","",IFERROR(INDEX(MMWR_RATING_STATE_ROLLUP_VSC[],MATCH($B12,MMWR_RATING_STATE_ROLLUP_VSC[MMWR_RATING_STATE_ROLLUP_VSC],0),MATCH(H$9,MMWR_RATING_STATE_ROLLUP_VSC[#Headers],0)),"ERROR"))</f>
        <v>148.83354120690001</v>
      </c>
      <c r="I12" s="156">
        <f>IF($B12=" ","",IFERROR(INDEX(MMWR_RATING_STATE_ROLLUP_VSC[],MATCH($B12,MMWR_RATING_STATE_ROLLUP_VSC[MMWR_RATING_STATE_ROLLUP_VSC],0),MATCH(I$9,MMWR_RATING_STATE_ROLLUP_VSC[#Headers],0)),"ERROR"))</f>
        <v>170.3015620859</v>
      </c>
      <c r="J12" s="42"/>
      <c r="K12" s="42"/>
      <c r="L12" s="42"/>
      <c r="M12" s="42"/>
      <c r="N12" s="28"/>
    </row>
    <row r="13" spans="1:15" x14ac:dyDescent="0.2">
      <c r="A13" s="25"/>
      <c r="B13" s="377" t="s">
        <v>966</v>
      </c>
      <c r="C13" s="378"/>
      <c r="D13" s="378"/>
      <c r="E13" s="378"/>
      <c r="F13" s="378"/>
      <c r="G13" s="378"/>
      <c r="H13" s="378"/>
      <c r="I13" s="378"/>
      <c r="J13" s="378"/>
      <c r="K13" s="378"/>
      <c r="L13" s="378"/>
      <c r="M13" s="387"/>
      <c r="N13" s="28"/>
    </row>
    <row r="14" spans="1:15" x14ac:dyDescent="0.2">
      <c r="A14" s="25"/>
      <c r="B14" s="41" t="s">
        <v>1044</v>
      </c>
      <c r="C14" s="155">
        <f>IF($B14=" ","",IFERROR(INDEX(MMWR_RATING_STATE_ROLLUP_VSC[],MATCH($B14,MMWR_RATING_STATE_ROLLUP_VSC[MMWR_RATING_STATE_ROLLUP_VSC],0),MATCH(C$9,MMWR_RATING_STATE_ROLLUP_VSC[#Headers],0)),"ERROR"))</f>
        <v>329325</v>
      </c>
      <c r="D14" s="156">
        <f>IF($B14=" ","",IFERROR(INDEX(MMWR_RATING_STATE_ROLLUP_VSC[],MATCH($B14,MMWR_RATING_STATE_ROLLUP_VSC[MMWR_RATING_STATE_ROLLUP_VSC],0),MATCH(D$9,MMWR_RATING_STATE_ROLLUP_VSC[#Headers],0)),"ERROR"))</f>
        <v>100.5989038184</v>
      </c>
      <c r="E14" s="157">
        <f>IF($B14=" ","",IFERROR(INDEX(MMWR_RATING_STATE_ROLLUP_VSC[],MATCH($B14,MMWR_RATING_STATE_ROLLUP_VSC[MMWR_RATING_STATE_ROLLUP_VSC],0),MATCH(E$9,MMWR_RATING_STATE_ROLLUP_VSC[#Headers],0))/$C14,"ERROR"))</f>
        <v>0.23714871327715784</v>
      </c>
      <c r="F14" s="155">
        <f>IF($B14=" ","",IFERROR(INDEX(MMWR_RATING_STATE_ROLLUP_VSC[],MATCH($B14,MMWR_RATING_STATE_ROLLUP_VSC[MMWR_RATING_STATE_ROLLUP_VSC],0),MATCH(F$9,MMWR_RATING_STATE_ROLLUP_VSC[#Headers],0)),"ERROR"))</f>
        <v>52639</v>
      </c>
      <c r="G14" s="155">
        <f>IF($B14=" ","",IFERROR(INDEX(MMWR_RATING_STATE_ROLLUP_VSC[],MATCH($B14,MMWR_RATING_STATE_ROLLUP_VSC[MMWR_RATING_STATE_ROLLUP_VSC],0),MATCH(G$9,MMWR_RATING_STATE_ROLLUP_VSC[#Headers],0)),"ERROR"))</f>
        <v>1145411</v>
      </c>
      <c r="H14" s="156">
        <f>IF($B14=" ","",IFERROR(INDEX(MMWR_RATING_STATE_ROLLUP_VSC[],MATCH($B14,MMWR_RATING_STATE_ROLLUP_VSC[MMWR_RATING_STATE_ROLLUP_VSC],0),MATCH(H$9,MMWR_RATING_STATE_ROLLUP_VSC[#Headers],0)),"ERROR"))</f>
        <v>161.98267444289999</v>
      </c>
      <c r="I14" s="156">
        <f>IF($B14=" ","",IFERROR(INDEX(MMWR_RATING_STATE_ROLLUP_VSC[],MATCH($B14,MMWR_RATING_STATE_ROLLUP_VSC[MMWR_RATING_STATE_ROLLUP_VSC],0),MATCH(I$9,MMWR_RATING_STATE_ROLLUP_VSC[#Headers],0)),"ERROR"))</f>
        <v>185.25808989090001</v>
      </c>
      <c r="J14" s="42"/>
      <c r="K14" s="42"/>
      <c r="L14" s="42"/>
      <c r="M14" s="42"/>
      <c r="N14" s="28"/>
    </row>
    <row r="15" spans="1:15" x14ac:dyDescent="0.2">
      <c r="A15" s="25"/>
      <c r="B15" s="250" t="str">
        <f>INDEX(DISTRICT_STATES[],MATCH($B$5,DISTRICT_RO[District],0),1)</f>
        <v>North Atlantic</v>
      </c>
      <c r="C15" s="155">
        <f>IF($B15=" ","",IFERROR(INDEX(MMWR_RATING_STATE_ROLLUP_VSC[],MATCH($B15,MMWR_RATING_STATE_ROLLUP_VSC[MMWR_RATING_STATE_ROLLUP_VSC],0),MATCH(C$9,MMWR_RATING_STATE_ROLLUP_VSC[#Headers],0)),"ERROR"))</f>
        <v>70832</v>
      </c>
      <c r="D15" s="156">
        <f>IF($B15=" ","",IFERROR(INDEX(MMWR_RATING_STATE_ROLLUP_VSC[],MATCH($B15,MMWR_RATING_STATE_ROLLUP_VSC[MMWR_RATING_STATE_ROLLUP_VSC],0),MATCH(D$9,MMWR_RATING_STATE_ROLLUP_VSC[#Headers],0)),"ERROR"))</f>
        <v>101.9567850689</v>
      </c>
      <c r="E15" s="157">
        <f>IF($B15=" ","",IFERROR(INDEX(MMWR_RATING_STATE_ROLLUP_VSC[],MATCH($B15,MMWR_RATING_STATE_ROLLUP_VSC[MMWR_RATING_STATE_ROLLUP_VSC],0),MATCH(E$9,MMWR_RATING_STATE_ROLLUP_VSC[#Headers],0))/$C15,"ERROR"))</f>
        <v>0.2425316241246894</v>
      </c>
      <c r="F15" s="155">
        <f>IF($B15=" ","",IFERROR(INDEX(MMWR_RATING_STATE_ROLLUP_VSC[],MATCH($B15,MMWR_RATING_STATE_ROLLUP_VSC[MMWR_RATING_STATE_ROLLUP_VSC],0),MATCH(F$9,MMWR_RATING_STATE_ROLLUP_VSC[#Headers],0)),"ERROR"))</f>
        <v>11098</v>
      </c>
      <c r="G15" s="155">
        <f>IF($B15=" ","",IFERROR(INDEX(MMWR_RATING_STATE_ROLLUP_VSC[],MATCH($B15,MMWR_RATING_STATE_ROLLUP_VSC[MMWR_RATING_STATE_ROLLUP_VSC],0),MATCH(G$9,MMWR_RATING_STATE_ROLLUP_VSC[#Headers],0)),"ERROR"))</f>
        <v>245320</v>
      </c>
      <c r="H15" s="156">
        <f>IF($B15=" ","",IFERROR(INDEX(MMWR_RATING_STATE_ROLLUP_VSC[],MATCH($B15,MMWR_RATING_STATE_ROLLUP_VSC[MMWR_RATING_STATE_ROLLUP_VSC],0),MATCH(H$9,MMWR_RATING_STATE_ROLLUP_VSC[#Headers],0)),"ERROR"))</f>
        <v>166.64029554870001</v>
      </c>
      <c r="I15" s="156">
        <f>IF($B15=" ","",IFERROR(INDEX(MMWR_RATING_STATE_ROLLUP_VSC[],MATCH($B15,MMWR_RATING_STATE_ROLLUP_VSC[MMWR_RATING_STATE_ROLLUP_VSC],0),MATCH(I$9,MMWR_RATING_STATE_ROLLUP_VSC[#Headers],0)),"ERROR"))</f>
        <v>193.44144790479999</v>
      </c>
      <c r="J15" s="42"/>
      <c r="K15" s="42"/>
      <c r="L15" s="42"/>
      <c r="M15" s="42"/>
      <c r="N15" s="28"/>
    </row>
    <row r="16" spans="1:15" x14ac:dyDescent="0.2">
      <c r="A16" s="25"/>
      <c r="B16" s="8" t="str">
        <f>VLOOKUP($B$15,DISTRICT_STATES[],2,0)</f>
        <v>Connecticut</v>
      </c>
      <c r="C16" s="155">
        <f>IF($B16=" ","",IFERROR(INDEX(MMWR_RATING_STATE_ROLLUP_VSC[],MATCH($B16,MMWR_RATING_STATE_ROLLUP_VSC[MMWR_RATING_STATE_ROLLUP_VSC],0),MATCH(C$9,MMWR_RATING_STATE_ROLLUP_VSC[#Headers],0)),"ERROR"))</f>
        <v>1868</v>
      </c>
      <c r="D16" s="156">
        <f>IF($B16=" ","",IFERROR(INDEX(MMWR_RATING_STATE_ROLLUP_VSC[],MATCH($B16,MMWR_RATING_STATE_ROLLUP_VSC[MMWR_RATING_STATE_ROLLUP_VSC],0),MATCH(D$9,MMWR_RATING_STATE_ROLLUP_VSC[#Headers],0)),"ERROR"))</f>
        <v>88.678800856500004</v>
      </c>
      <c r="E16" s="157">
        <f>IF($B16=" ","",IFERROR(INDEX(MMWR_RATING_STATE_ROLLUP_VSC[],MATCH($B16,MMWR_RATING_STATE_ROLLUP_VSC[MMWR_RATING_STATE_ROLLUP_VSC],0),MATCH(E$9,MMWR_RATING_STATE_ROLLUP_VSC[#Headers],0))/$C16,"ERROR"))</f>
        <v>0.20182012847965738</v>
      </c>
      <c r="F16" s="155">
        <f>IF($B16=" ","",IFERROR(INDEX(MMWR_RATING_STATE_ROLLUP_VSC[],MATCH($B16,MMWR_RATING_STATE_ROLLUP_VSC[MMWR_RATING_STATE_ROLLUP_VSC],0),MATCH(F$9,MMWR_RATING_STATE_ROLLUP_VSC[#Headers],0)),"ERROR"))</f>
        <v>316</v>
      </c>
      <c r="G16" s="155">
        <f>IF($B16=" ","",IFERROR(INDEX(MMWR_RATING_STATE_ROLLUP_VSC[],MATCH($B16,MMWR_RATING_STATE_ROLLUP_VSC[MMWR_RATING_STATE_ROLLUP_VSC],0),MATCH(G$9,MMWR_RATING_STATE_ROLLUP_VSC[#Headers],0)),"ERROR"))</f>
        <v>6654</v>
      </c>
      <c r="H16" s="156">
        <f>IF($B16=" ","",IFERROR(INDEX(MMWR_RATING_STATE_ROLLUP_VSC[],MATCH($B16,MMWR_RATING_STATE_ROLLUP_VSC[MMWR_RATING_STATE_ROLLUP_VSC],0),MATCH(H$9,MMWR_RATING_STATE_ROLLUP_VSC[#Headers],0)),"ERROR"))</f>
        <v>144.72468354430001</v>
      </c>
      <c r="I16" s="156">
        <f>IF($B16=" ","",IFERROR(INDEX(MMWR_RATING_STATE_ROLLUP_VSC[],MATCH($B16,MMWR_RATING_STATE_ROLLUP_VSC[MMWR_RATING_STATE_ROLLUP_VSC],0),MATCH(I$9,MMWR_RATING_STATE_ROLLUP_VSC[#Headers],0)),"ERROR"))</f>
        <v>151.2888488127</v>
      </c>
      <c r="J16" s="42"/>
      <c r="K16" s="42"/>
      <c r="L16" s="42"/>
      <c r="M16" s="42"/>
      <c r="N16" s="28"/>
    </row>
    <row r="17" spans="1:14" x14ac:dyDescent="0.2">
      <c r="A17" s="25"/>
      <c r="B17" s="8" t="str">
        <f>VLOOKUP($B$15,DISTRICT_STATES[],3,0)</f>
        <v>Delaware</v>
      </c>
      <c r="C17" s="155">
        <f>IF($B17=" ","",IFERROR(INDEX(MMWR_RATING_STATE_ROLLUP_VSC[],MATCH($B17,MMWR_RATING_STATE_ROLLUP_VSC[MMWR_RATING_STATE_ROLLUP_VSC],0),MATCH(C$9,MMWR_RATING_STATE_ROLLUP_VSC[#Headers],0)),"ERROR"))</f>
        <v>940</v>
      </c>
      <c r="D17" s="156">
        <f>IF($B17=" ","",IFERROR(INDEX(MMWR_RATING_STATE_ROLLUP_VSC[],MATCH($B17,MMWR_RATING_STATE_ROLLUP_VSC[MMWR_RATING_STATE_ROLLUP_VSC],0),MATCH(D$9,MMWR_RATING_STATE_ROLLUP_VSC[#Headers],0)),"ERROR"))</f>
        <v>110.3563829787</v>
      </c>
      <c r="E17" s="157">
        <f>IF($B17=" ","",IFERROR(INDEX(MMWR_RATING_STATE_ROLLUP_VSC[],MATCH($B17,MMWR_RATING_STATE_ROLLUP_VSC[MMWR_RATING_STATE_ROLLUP_VSC],0),MATCH(E$9,MMWR_RATING_STATE_ROLLUP_VSC[#Headers],0))/$C17,"ERROR"))</f>
        <v>0.275531914893617</v>
      </c>
      <c r="F17" s="155">
        <f>IF($B17=" ","",IFERROR(INDEX(MMWR_RATING_STATE_ROLLUP_VSC[],MATCH($B17,MMWR_RATING_STATE_ROLLUP_VSC[MMWR_RATING_STATE_ROLLUP_VSC],0),MATCH(F$9,MMWR_RATING_STATE_ROLLUP_VSC[#Headers],0)),"ERROR"))</f>
        <v>156</v>
      </c>
      <c r="G17" s="155">
        <f>IF($B17=" ","",IFERROR(INDEX(MMWR_RATING_STATE_ROLLUP_VSC[],MATCH($B17,MMWR_RATING_STATE_ROLLUP_VSC[MMWR_RATING_STATE_ROLLUP_VSC],0),MATCH(G$9,MMWR_RATING_STATE_ROLLUP_VSC[#Headers],0)),"ERROR"))</f>
        <v>3158</v>
      </c>
      <c r="H17" s="156">
        <f>IF($B17=" ","",IFERROR(INDEX(MMWR_RATING_STATE_ROLLUP_VSC[],MATCH($B17,MMWR_RATING_STATE_ROLLUP_VSC[MMWR_RATING_STATE_ROLLUP_VSC],0),MATCH(H$9,MMWR_RATING_STATE_ROLLUP_VSC[#Headers],0)),"ERROR"))</f>
        <v>193.16025641030001</v>
      </c>
      <c r="I17" s="156">
        <f>IF($B17=" ","",IFERROR(INDEX(MMWR_RATING_STATE_ROLLUP_VSC[],MATCH($B17,MMWR_RATING_STATE_ROLLUP_VSC[MMWR_RATING_STATE_ROLLUP_VSC],0),MATCH(I$9,MMWR_RATING_STATE_ROLLUP_VSC[#Headers],0)),"ERROR"))</f>
        <v>215.7324255858</v>
      </c>
      <c r="J17" s="42"/>
      <c r="K17" s="42"/>
      <c r="L17" s="42"/>
      <c r="M17" s="42"/>
      <c r="N17" s="28"/>
    </row>
    <row r="18" spans="1:14" x14ac:dyDescent="0.2">
      <c r="A18" s="25"/>
      <c r="B18" s="8" t="str">
        <f>VLOOKUP($B$15,DISTRICT_STATES[],4,0)</f>
        <v>District of Columbia</v>
      </c>
      <c r="C18" s="155">
        <f>IF($B18=" ","",IFERROR(INDEX(MMWR_RATING_STATE_ROLLUP_VSC[],MATCH($B18,MMWR_RATING_STATE_ROLLUP_VSC[MMWR_RATING_STATE_ROLLUP_VSC],0),MATCH(C$9,MMWR_RATING_STATE_ROLLUP_VSC[#Headers],0)),"ERROR"))</f>
        <v>426</v>
      </c>
      <c r="D18" s="156">
        <f>IF($B18=" ","",IFERROR(INDEX(MMWR_RATING_STATE_ROLLUP_VSC[],MATCH($B18,MMWR_RATING_STATE_ROLLUP_VSC[MMWR_RATING_STATE_ROLLUP_VSC],0),MATCH(D$9,MMWR_RATING_STATE_ROLLUP_VSC[#Headers],0)),"ERROR"))</f>
        <v>114.5892018779</v>
      </c>
      <c r="E18" s="157">
        <f>IF($B18=" ","",IFERROR(INDEX(MMWR_RATING_STATE_ROLLUP_VSC[],MATCH($B18,MMWR_RATING_STATE_ROLLUP_VSC[MMWR_RATING_STATE_ROLLUP_VSC],0),MATCH(E$9,MMWR_RATING_STATE_ROLLUP_VSC[#Headers],0))/$C18,"ERROR"))</f>
        <v>0.29577464788732394</v>
      </c>
      <c r="F18" s="155">
        <f>IF($B18=" ","",IFERROR(INDEX(MMWR_RATING_STATE_ROLLUP_VSC[],MATCH($B18,MMWR_RATING_STATE_ROLLUP_VSC[MMWR_RATING_STATE_ROLLUP_VSC],0),MATCH(F$9,MMWR_RATING_STATE_ROLLUP_VSC[#Headers],0)),"ERROR"))</f>
        <v>80</v>
      </c>
      <c r="G18" s="155">
        <f>IF($B18=" ","",IFERROR(INDEX(MMWR_RATING_STATE_ROLLUP_VSC[],MATCH($B18,MMWR_RATING_STATE_ROLLUP_VSC[MMWR_RATING_STATE_ROLLUP_VSC],0),MATCH(G$9,MMWR_RATING_STATE_ROLLUP_VSC[#Headers],0)),"ERROR"))</f>
        <v>1585</v>
      </c>
      <c r="H18" s="156">
        <f>IF($B18=" ","",IFERROR(INDEX(MMWR_RATING_STATE_ROLLUP_VSC[],MATCH($B18,MMWR_RATING_STATE_ROLLUP_VSC[MMWR_RATING_STATE_ROLLUP_VSC],0),MATCH(H$9,MMWR_RATING_STATE_ROLLUP_VSC[#Headers],0)),"ERROR"))</f>
        <v>177.45</v>
      </c>
      <c r="I18" s="156">
        <f>IF($B18=" ","",IFERROR(INDEX(MMWR_RATING_STATE_ROLLUP_VSC[],MATCH($B18,MMWR_RATING_STATE_ROLLUP_VSC[MMWR_RATING_STATE_ROLLUP_VSC],0),MATCH(I$9,MMWR_RATING_STATE_ROLLUP_VSC[#Headers],0)),"ERROR"))</f>
        <v>210.82271293380001</v>
      </c>
      <c r="J18" s="42"/>
      <c r="K18" s="42"/>
      <c r="L18" s="42"/>
      <c r="M18" s="42"/>
      <c r="N18" s="28"/>
    </row>
    <row r="19" spans="1:14" x14ac:dyDescent="0.2">
      <c r="A19" s="25"/>
      <c r="B19" s="8" t="str">
        <f>VLOOKUP($B$15,DISTRICT_STATES[],5,0)</f>
        <v>Maine</v>
      </c>
      <c r="C19" s="155">
        <f>IF($B19=" ","",IFERROR(INDEX(MMWR_RATING_STATE_ROLLUP_VSC[],MATCH($B19,MMWR_RATING_STATE_ROLLUP_VSC[MMWR_RATING_STATE_ROLLUP_VSC],0),MATCH(C$9,MMWR_RATING_STATE_ROLLUP_VSC[#Headers],0)),"ERROR"))</f>
        <v>1387</v>
      </c>
      <c r="D19" s="156">
        <f>IF($B19=" ","",IFERROR(INDEX(MMWR_RATING_STATE_ROLLUP_VSC[],MATCH($B19,MMWR_RATING_STATE_ROLLUP_VSC[MMWR_RATING_STATE_ROLLUP_VSC],0),MATCH(D$9,MMWR_RATING_STATE_ROLLUP_VSC[#Headers],0)),"ERROR"))</f>
        <v>76.430425378500004</v>
      </c>
      <c r="E19" s="157">
        <f>IF($B19=" ","",IFERROR(INDEX(MMWR_RATING_STATE_ROLLUP_VSC[],MATCH($B19,MMWR_RATING_STATE_ROLLUP_VSC[MMWR_RATING_STATE_ROLLUP_VSC],0),MATCH(E$9,MMWR_RATING_STATE_ROLLUP_VSC[#Headers],0))/$C19,"ERROR"))</f>
        <v>0.12040374909877433</v>
      </c>
      <c r="F19" s="155">
        <f>IF($B19=" ","",IFERROR(INDEX(MMWR_RATING_STATE_ROLLUP_VSC[],MATCH($B19,MMWR_RATING_STATE_ROLLUP_VSC[MMWR_RATING_STATE_ROLLUP_VSC],0),MATCH(F$9,MMWR_RATING_STATE_ROLLUP_VSC[#Headers],0)),"ERROR"))</f>
        <v>222</v>
      </c>
      <c r="G19" s="155">
        <f>IF($B19=" ","",IFERROR(INDEX(MMWR_RATING_STATE_ROLLUP_VSC[],MATCH($B19,MMWR_RATING_STATE_ROLLUP_VSC[MMWR_RATING_STATE_ROLLUP_VSC],0),MATCH(G$9,MMWR_RATING_STATE_ROLLUP_VSC[#Headers],0)),"ERROR"))</f>
        <v>4498</v>
      </c>
      <c r="H19" s="156">
        <f>IF($B19=" ","",IFERROR(INDEX(MMWR_RATING_STATE_ROLLUP_VSC[],MATCH($B19,MMWR_RATING_STATE_ROLLUP_VSC[MMWR_RATING_STATE_ROLLUP_VSC],0),MATCH(H$9,MMWR_RATING_STATE_ROLLUP_VSC[#Headers],0)),"ERROR"))</f>
        <v>124.00450450450001</v>
      </c>
      <c r="I19" s="156">
        <f>IF($B19=" ","",IFERROR(INDEX(MMWR_RATING_STATE_ROLLUP_VSC[],MATCH($B19,MMWR_RATING_STATE_ROLLUP_VSC[MMWR_RATING_STATE_ROLLUP_VSC],0),MATCH(I$9,MMWR_RATING_STATE_ROLLUP_VSC[#Headers],0)),"ERROR"))</f>
        <v>127.32592263230001</v>
      </c>
      <c r="J19" s="42"/>
      <c r="K19" s="42"/>
      <c r="L19" s="42"/>
      <c r="M19" s="42"/>
      <c r="N19" s="28"/>
    </row>
    <row r="20" spans="1:14" x14ac:dyDescent="0.2">
      <c r="A20" s="25"/>
      <c r="B20" s="8" t="str">
        <f>VLOOKUP($B$15,DISTRICT_STATES[],6,0)</f>
        <v>Maryland</v>
      </c>
      <c r="C20" s="155">
        <f>IF($B20=" ","",IFERROR(INDEX(MMWR_RATING_STATE_ROLLUP_VSC[],MATCH($B20,MMWR_RATING_STATE_ROLLUP_VSC[MMWR_RATING_STATE_ROLLUP_VSC],0),MATCH(C$9,MMWR_RATING_STATE_ROLLUP_VSC[#Headers],0)),"ERROR"))</f>
        <v>5356</v>
      </c>
      <c r="D20" s="156">
        <f>IF($B20=" ","",IFERROR(INDEX(MMWR_RATING_STATE_ROLLUP_VSC[],MATCH($B20,MMWR_RATING_STATE_ROLLUP_VSC[MMWR_RATING_STATE_ROLLUP_VSC],0),MATCH(D$9,MMWR_RATING_STATE_ROLLUP_VSC[#Headers],0)),"ERROR"))</f>
        <v>102.63424197160001</v>
      </c>
      <c r="E20" s="157">
        <f>IF($B20=" ","",IFERROR(INDEX(MMWR_RATING_STATE_ROLLUP_VSC[],MATCH($B20,MMWR_RATING_STATE_ROLLUP_VSC[MMWR_RATING_STATE_ROLLUP_VSC],0),MATCH(E$9,MMWR_RATING_STATE_ROLLUP_VSC[#Headers],0))/$C20,"ERROR"))</f>
        <v>0.2167662434652726</v>
      </c>
      <c r="F20" s="155">
        <f>IF($B20=" ","",IFERROR(INDEX(MMWR_RATING_STATE_ROLLUP_VSC[],MATCH($B20,MMWR_RATING_STATE_ROLLUP_VSC[MMWR_RATING_STATE_ROLLUP_VSC],0),MATCH(F$9,MMWR_RATING_STATE_ROLLUP_VSC[#Headers],0)),"ERROR"))</f>
        <v>829</v>
      </c>
      <c r="G20" s="155">
        <f>IF($B20=" ","",IFERROR(INDEX(MMWR_RATING_STATE_ROLLUP_VSC[],MATCH($B20,MMWR_RATING_STATE_ROLLUP_VSC[MMWR_RATING_STATE_ROLLUP_VSC],0),MATCH(G$9,MMWR_RATING_STATE_ROLLUP_VSC[#Headers],0)),"ERROR"))</f>
        <v>20844</v>
      </c>
      <c r="H20" s="156">
        <f>IF($B20=" ","",IFERROR(INDEX(MMWR_RATING_STATE_ROLLUP_VSC[],MATCH($B20,MMWR_RATING_STATE_ROLLUP_VSC[MMWR_RATING_STATE_ROLLUP_VSC],0),MATCH(H$9,MMWR_RATING_STATE_ROLLUP_VSC[#Headers],0)),"ERROR"))</f>
        <v>194.90711700840001</v>
      </c>
      <c r="I20" s="156">
        <f>IF($B20=" ","",IFERROR(INDEX(MMWR_RATING_STATE_ROLLUP_VSC[],MATCH($B20,MMWR_RATING_STATE_ROLLUP_VSC[MMWR_RATING_STATE_ROLLUP_VSC],0),MATCH(I$9,MMWR_RATING_STATE_ROLLUP_VSC[#Headers],0)),"ERROR"))</f>
        <v>229.72649203610001</v>
      </c>
      <c r="J20" s="42"/>
      <c r="K20" s="42"/>
      <c r="L20" s="42"/>
      <c r="M20" s="42"/>
      <c r="N20" s="28"/>
    </row>
    <row r="21" spans="1:14" x14ac:dyDescent="0.2">
      <c r="A21" s="25"/>
      <c r="B21" s="8" t="str">
        <f>VLOOKUP($B$15,DISTRICT_STATES[],7,0)</f>
        <v>Massachusetts</v>
      </c>
      <c r="C21" s="155">
        <f>IF($B21=" ","",IFERROR(INDEX(MMWR_RATING_STATE_ROLLUP_VSC[],MATCH($B21,MMWR_RATING_STATE_ROLLUP_VSC[MMWR_RATING_STATE_ROLLUP_VSC],0),MATCH(C$9,MMWR_RATING_STATE_ROLLUP_VSC[#Headers],0)),"ERROR"))</f>
        <v>4539</v>
      </c>
      <c r="D21" s="156">
        <f>IF($B21=" ","",IFERROR(INDEX(MMWR_RATING_STATE_ROLLUP_VSC[],MATCH($B21,MMWR_RATING_STATE_ROLLUP_VSC[MMWR_RATING_STATE_ROLLUP_VSC],0),MATCH(D$9,MMWR_RATING_STATE_ROLLUP_VSC[#Headers],0)),"ERROR"))</f>
        <v>99.530953954599994</v>
      </c>
      <c r="E21" s="157">
        <f>IF($B21=" ","",IFERROR(INDEX(MMWR_RATING_STATE_ROLLUP_VSC[],MATCH($B21,MMWR_RATING_STATE_ROLLUP_VSC[MMWR_RATING_STATE_ROLLUP_VSC],0),MATCH(E$9,MMWR_RATING_STATE_ROLLUP_VSC[#Headers],0))/$C21,"ERROR"))</f>
        <v>0.24939413967834326</v>
      </c>
      <c r="F21" s="155">
        <f>IF($B21=" ","",IFERROR(INDEX(MMWR_RATING_STATE_ROLLUP_VSC[],MATCH($B21,MMWR_RATING_STATE_ROLLUP_VSC[MMWR_RATING_STATE_ROLLUP_VSC],0),MATCH(F$9,MMWR_RATING_STATE_ROLLUP_VSC[#Headers],0)),"ERROR"))</f>
        <v>697</v>
      </c>
      <c r="G21" s="155">
        <f>IF($B21=" ","",IFERROR(INDEX(MMWR_RATING_STATE_ROLLUP_VSC[],MATCH($B21,MMWR_RATING_STATE_ROLLUP_VSC[MMWR_RATING_STATE_ROLLUP_VSC],0),MATCH(G$9,MMWR_RATING_STATE_ROLLUP_VSC[#Headers],0)),"ERROR"))</f>
        <v>14831</v>
      </c>
      <c r="H21" s="156">
        <f>IF($B21=" ","",IFERROR(INDEX(MMWR_RATING_STATE_ROLLUP_VSC[],MATCH($B21,MMWR_RATING_STATE_ROLLUP_VSC[MMWR_RATING_STATE_ROLLUP_VSC],0),MATCH(H$9,MMWR_RATING_STATE_ROLLUP_VSC[#Headers],0)),"ERROR"))</f>
        <v>158.25394548060001</v>
      </c>
      <c r="I21" s="156">
        <f>IF($B21=" ","",IFERROR(INDEX(MMWR_RATING_STATE_ROLLUP_VSC[],MATCH($B21,MMWR_RATING_STATE_ROLLUP_VSC[MMWR_RATING_STATE_ROLLUP_VSC],0),MATCH(I$9,MMWR_RATING_STATE_ROLLUP_VSC[#Headers],0)),"ERROR"))</f>
        <v>191.55633470430001</v>
      </c>
      <c r="J21" s="42"/>
      <c r="K21" s="42"/>
      <c r="L21" s="42"/>
      <c r="M21" s="42"/>
      <c r="N21" s="28"/>
    </row>
    <row r="22" spans="1:14" x14ac:dyDescent="0.2">
      <c r="A22" s="25"/>
      <c r="B22" s="8" t="str">
        <f>VLOOKUP($B$15,DISTRICT_STATES[],8,0)</f>
        <v>New Hampshire</v>
      </c>
      <c r="C22" s="155">
        <f>IF($B22=" ","",IFERROR(INDEX(MMWR_RATING_STATE_ROLLUP_VSC[],MATCH($B22,MMWR_RATING_STATE_ROLLUP_VSC[MMWR_RATING_STATE_ROLLUP_VSC],0),MATCH(C$9,MMWR_RATING_STATE_ROLLUP_VSC[#Headers],0)),"ERROR"))</f>
        <v>1371</v>
      </c>
      <c r="D22" s="156">
        <f>IF($B22=" ","",IFERROR(INDEX(MMWR_RATING_STATE_ROLLUP_VSC[],MATCH($B22,MMWR_RATING_STATE_ROLLUP_VSC[MMWR_RATING_STATE_ROLLUP_VSC],0),MATCH(D$9,MMWR_RATING_STATE_ROLLUP_VSC[#Headers],0)),"ERROR"))</f>
        <v>90.965718453700006</v>
      </c>
      <c r="E22" s="157">
        <f>IF($B22=" ","",IFERROR(INDEX(MMWR_RATING_STATE_ROLLUP_VSC[],MATCH($B22,MMWR_RATING_STATE_ROLLUP_VSC[MMWR_RATING_STATE_ROLLUP_VSC],0),MATCH(E$9,MMWR_RATING_STATE_ROLLUP_VSC[#Headers],0))/$C22,"ERROR"))</f>
        <v>0.18891320204230488</v>
      </c>
      <c r="F22" s="155">
        <f>IF($B22=" ","",IFERROR(INDEX(MMWR_RATING_STATE_ROLLUP_VSC[],MATCH($B22,MMWR_RATING_STATE_ROLLUP_VSC[MMWR_RATING_STATE_ROLLUP_VSC],0),MATCH(F$9,MMWR_RATING_STATE_ROLLUP_VSC[#Headers],0)),"ERROR"))</f>
        <v>147</v>
      </c>
      <c r="G22" s="155">
        <f>IF($B22=" ","",IFERROR(INDEX(MMWR_RATING_STATE_ROLLUP_VSC[],MATCH($B22,MMWR_RATING_STATE_ROLLUP_VSC[MMWR_RATING_STATE_ROLLUP_VSC],0),MATCH(G$9,MMWR_RATING_STATE_ROLLUP_VSC[#Headers],0)),"ERROR"))</f>
        <v>4013</v>
      </c>
      <c r="H22" s="156">
        <f>IF($B22=" ","",IFERROR(INDEX(MMWR_RATING_STATE_ROLLUP_VSC[],MATCH($B22,MMWR_RATING_STATE_ROLLUP_VSC[MMWR_RATING_STATE_ROLLUP_VSC],0),MATCH(H$9,MMWR_RATING_STATE_ROLLUP_VSC[#Headers],0)),"ERROR"))</f>
        <v>158.29931972790001</v>
      </c>
      <c r="I22" s="156">
        <f>IF($B22=" ","",IFERROR(INDEX(MMWR_RATING_STATE_ROLLUP_VSC[],MATCH($B22,MMWR_RATING_STATE_ROLLUP_VSC[MMWR_RATING_STATE_ROLLUP_VSC],0),MATCH(I$9,MMWR_RATING_STATE_ROLLUP_VSC[#Headers],0)),"ERROR"))</f>
        <v>173.2855718914</v>
      </c>
      <c r="J22" s="42"/>
      <c r="K22" s="42"/>
      <c r="L22" s="42"/>
      <c r="M22" s="42"/>
      <c r="N22" s="28"/>
    </row>
    <row r="23" spans="1:14" x14ac:dyDescent="0.2">
      <c r="A23" s="25"/>
      <c r="B23" s="8" t="str">
        <f>VLOOKUP($B$15,DISTRICT_STATES[],9,0)</f>
        <v>New Jersey</v>
      </c>
      <c r="C23" s="155">
        <f>IF($B23=" ","",IFERROR(INDEX(MMWR_RATING_STATE_ROLLUP_VSC[],MATCH($B23,MMWR_RATING_STATE_ROLLUP_VSC[MMWR_RATING_STATE_ROLLUP_VSC],0),MATCH(C$9,MMWR_RATING_STATE_ROLLUP_VSC[#Headers],0)),"ERROR"))</f>
        <v>4176</v>
      </c>
      <c r="D23" s="156">
        <f>IF($B23=" ","",IFERROR(INDEX(MMWR_RATING_STATE_ROLLUP_VSC[],MATCH($B23,MMWR_RATING_STATE_ROLLUP_VSC[MMWR_RATING_STATE_ROLLUP_VSC],0),MATCH(D$9,MMWR_RATING_STATE_ROLLUP_VSC[#Headers],0)),"ERROR"))</f>
        <v>103.1642720307</v>
      </c>
      <c r="E23" s="157">
        <f>IF($B23=" ","",IFERROR(INDEX(MMWR_RATING_STATE_ROLLUP_VSC[],MATCH($B23,MMWR_RATING_STATE_ROLLUP_VSC[MMWR_RATING_STATE_ROLLUP_VSC],0),MATCH(E$9,MMWR_RATING_STATE_ROLLUP_VSC[#Headers],0))/$C23,"ERROR"))</f>
        <v>0.24090038314176246</v>
      </c>
      <c r="F23" s="155">
        <f>IF($B23=" ","",IFERROR(INDEX(MMWR_RATING_STATE_ROLLUP_VSC[],MATCH($B23,MMWR_RATING_STATE_ROLLUP_VSC[MMWR_RATING_STATE_ROLLUP_VSC],0),MATCH(F$9,MMWR_RATING_STATE_ROLLUP_VSC[#Headers],0)),"ERROR"))</f>
        <v>644</v>
      </c>
      <c r="G23" s="155">
        <f>IF($B23=" ","",IFERROR(INDEX(MMWR_RATING_STATE_ROLLUP_VSC[],MATCH($B23,MMWR_RATING_STATE_ROLLUP_VSC[MMWR_RATING_STATE_ROLLUP_VSC],0),MATCH(G$9,MMWR_RATING_STATE_ROLLUP_VSC[#Headers],0)),"ERROR"))</f>
        <v>13380</v>
      </c>
      <c r="H23" s="156">
        <f>IF($B23=" ","",IFERROR(INDEX(MMWR_RATING_STATE_ROLLUP_VSC[],MATCH($B23,MMWR_RATING_STATE_ROLLUP_VSC[MMWR_RATING_STATE_ROLLUP_VSC],0),MATCH(H$9,MMWR_RATING_STATE_ROLLUP_VSC[#Headers],0)),"ERROR"))</f>
        <v>182.91304347830001</v>
      </c>
      <c r="I23" s="156">
        <f>IF($B23=" ","",IFERROR(INDEX(MMWR_RATING_STATE_ROLLUP_VSC[],MATCH($B23,MMWR_RATING_STATE_ROLLUP_VSC[MMWR_RATING_STATE_ROLLUP_VSC],0),MATCH(I$9,MMWR_RATING_STATE_ROLLUP_VSC[#Headers],0)),"ERROR"))</f>
        <v>190.37742899849999</v>
      </c>
      <c r="J23" s="42"/>
      <c r="K23" s="42"/>
      <c r="L23" s="42"/>
      <c r="M23" s="42"/>
      <c r="N23" s="28"/>
    </row>
    <row r="24" spans="1:14" x14ac:dyDescent="0.2">
      <c r="A24" s="25"/>
      <c r="B24" s="8" t="str">
        <f>VLOOKUP($B$15,DISTRICT_STATES[],10,0)</f>
        <v>New York</v>
      </c>
      <c r="C24" s="155">
        <f>IF($B24=" ","",IFERROR(INDEX(MMWR_RATING_STATE_ROLLUP_VSC[],MATCH($B24,MMWR_RATING_STATE_ROLLUP_VSC[MMWR_RATING_STATE_ROLLUP_VSC],0),MATCH(C$9,MMWR_RATING_STATE_ROLLUP_VSC[#Headers],0)),"ERROR"))</f>
        <v>9051</v>
      </c>
      <c r="D24" s="156">
        <f>IF($B24=" ","",IFERROR(INDEX(MMWR_RATING_STATE_ROLLUP_VSC[],MATCH($B24,MMWR_RATING_STATE_ROLLUP_VSC[MMWR_RATING_STATE_ROLLUP_VSC],0),MATCH(D$9,MMWR_RATING_STATE_ROLLUP_VSC[#Headers],0)),"ERROR"))</f>
        <v>100.2468235554</v>
      </c>
      <c r="E24" s="157">
        <f>IF($B24=" ","",IFERROR(INDEX(MMWR_RATING_STATE_ROLLUP_VSC[],MATCH($B24,MMWR_RATING_STATE_ROLLUP_VSC[MMWR_RATING_STATE_ROLLUP_VSC],0),MATCH(E$9,MMWR_RATING_STATE_ROLLUP_VSC[#Headers],0))/$C24,"ERROR"))</f>
        <v>0.21997569329355873</v>
      </c>
      <c r="F24" s="155">
        <f>IF($B24=" ","",IFERROR(INDEX(MMWR_RATING_STATE_ROLLUP_VSC[],MATCH($B24,MMWR_RATING_STATE_ROLLUP_VSC[MMWR_RATING_STATE_ROLLUP_VSC],0),MATCH(F$9,MMWR_RATING_STATE_ROLLUP_VSC[#Headers],0)),"ERROR"))</f>
        <v>1579</v>
      </c>
      <c r="G24" s="155">
        <f>IF($B24=" ","",IFERROR(INDEX(MMWR_RATING_STATE_ROLLUP_VSC[],MATCH($B24,MMWR_RATING_STATE_ROLLUP_VSC[MMWR_RATING_STATE_ROLLUP_VSC],0),MATCH(G$9,MMWR_RATING_STATE_ROLLUP_VSC[#Headers],0)),"ERROR"))</f>
        <v>31563</v>
      </c>
      <c r="H24" s="156">
        <f>IF($B24=" ","",IFERROR(INDEX(MMWR_RATING_STATE_ROLLUP_VSC[],MATCH($B24,MMWR_RATING_STATE_ROLLUP_VSC[MMWR_RATING_STATE_ROLLUP_VSC],0),MATCH(H$9,MMWR_RATING_STATE_ROLLUP_VSC[#Headers],0)),"ERROR"))</f>
        <v>175.49208359720001</v>
      </c>
      <c r="I24" s="156">
        <f>IF($B24=" ","",IFERROR(INDEX(MMWR_RATING_STATE_ROLLUP_VSC[],MATCH($B24,MMWR_RATING_STATE_ROLLUP_VSC[MMWR_RATING_STATE_ROLLUP_VSC],0),MATCH(I$9,MMWR_RATING_STATE_ROLLUP_VSC[#Headers],0)),"ERROR"))</f>
        <v>196.35522605579999</v>
      </c>
      <c r="J24" s="42"/>
      <c r="K24" s="42"/>
      <c r="L24" s="42"/>
      <c r="M24" s="42"/>
      <c r="N24" s="28"/>
    </row>
    <row r="25" spans="1:14" x14ac:dyDescent="0.2">
      <c r="A25" s="25"/>
      <c r="B25" s="8" t="str">
        <f>VLOOKUP($B$15,DISTRICT_STATES[],11,0)</f>
        <v>North Carolina</v>
      </c>
      <c r="C25" s="155">
        <f>IF($B25=" ","",IFERROR(INDEX(MMWR_RATING_STATE_ROLLUP_VSC[],MATCH($B25,MMWR_RATING_STATE_ROLLUP_VSC[MMWR_RATING_STATE_ROLLUP_VSC],0),MATCH(C$9,MMWR_RATING_STATE_ROLLUP_VSC[#Headers],0)),"ERROR"))</f>
        <v>17887</v>
      </c>
      <c r="D25" s="156">
        <f>IF($B25=" ","",IFERROR(INDEX(MMWR_RATING_STATE_ROLLUP_VSC[],MATCH($B25,MMWR_RATING_STATE_ROLLUP_VSC[MMWR_RATING_STATE_ROLLUP_VSC],0),MATCH(D$9,MMWR_RATING_STATE_ROLLUP_VSC[#Headers],0)),"ERROR"))</f>
        <v>105.2658914295</v>
      </c>
      <c r="E25" s="157">
        <f>IF($B25=" ","",IFERROR(INDEX(MMWR_RATING_STATE_ROLLUP_VSC[],MATCH($B25,MMWR_RATING_STATE_ROLLUP_VSC[MMWR_RATING_STATE_ROLLUP_VSC],0),MATCH(E$9,MMWR_RATING_STATE_ROLLUP_VSC[#Headers],0))/$C25,"ERROR"))</f>
        <v>0.26617096215128305</v>
      </c>
      <c r="F25" s="155">
        <f>IF($B25=" ","",IFERROR(INDEX(MMWR_RATING_STATE_ROLLUP_VSC[],MATCH($B25,MMWR_RATING_STATE_ROLLUP_VSC[MMWR_RATING_STATE_ROLLUP_VSC],0),MATCH(F$9,MMWR_RATING_STATE_ROLLUP_VSC[#Headers],0)),"ERROR"))</f>
        <v>2405</v>
      </c>
      <c r="G25" s="155">
        <f>IF($B25=" ","",IFERROR(INDEX(MMWR_RATING_STATE_ROLLUP_VSC[],MATCH($B25,MMWR_RATING_STATE_ROLLUP_VSC[MMWR_RATING_STATE_ROLLUP_VSC],0),MATCH(G$9,MMWR_RATING_STATE_ROLLUP_VSC[#Headers],0)),"ERROR"))</f>
        <v>57641</v>
      </c>
      <c r="H25" s="156">
        <f>IF($B25=" ","",IFERROR(INDEX(MMWR_RATING_STATE_ROLLUP_VSC[],MATCH($B25,MMWR_RATING_STATE_ROLLUP_VSC[MMWR_RATING_STATE_ROLLUP_VSC],0),MATCH(H$9,MMWR_RATING_STATE_ROLLUP_VSC[#Headers],0)),"ERROR"))</f>
        <v>166.42910602910001</v>
      </c>
      <c r="I25" s="156">
        <f>IF($B25=" ","",IFERROR(INDEX(MMWR_RATING_STATE_ROLLUP_VSC[],MATCH($B25,MMWR_RATING_STATE_ROLLUP_VSC[MMWR_RATING_STATE_ROLLUP_VSC],0),MATCH(I$9,MMWR_RATING_STATE_ROLLUP_VSC[#Headers],0)),"ERROR"))</f>
        <v>193.3081834111</v>
      </c>
      <c r="J25" s="42"/>
      <c r="K25" s="42"/>
      <c r="L25" s="42"/>
      <c r="M25" s="42"/>
      <c r="N25" s="28"/>
    </row>
    <row r="26" spans="1:14" x14ac:dyDescent="0.2">
      <c r="A26" s="25"/>
      <c r="B26" s="8" t="str">
        <f>VLOOKUP($B$15,DISTRICT_STATES[],12,0)</f>
        <v>Pennsylvania</v>
      </c>
      <c r="C26" s="155">
        <f>IF($B26=" ","",IFERROR(INDEX(MMWR_RATING_STATE_ROLLUP_VSC[],MATCH($B26,MMWR_RATING_STATE_ROLLUP_VSC[MMWR_RATING_STATE_ROLLUP_VSC],0),MATCH(C$9,MMWR_RATING_STATE_ROLLUP_VSC[#Headers],0)),"ERROR"))</f>
        <v>9294</v>
      </c>
      <c r="D26" s="156">
        <f>IF($B26=" ","",IFERROR(INDEX(MMWR_RATING_STATE_ROLLUP_VSC[],MATCH($B26,MMWR_RATING_STATE_ROLLUP_VSC[MMWR_RATING_STATE_ROLLUP_VSC],0),MATCH(D$9,MMWR_RATING_STATE_ROLLUP_VSC[#Headers],0)),"ERROR"))</f>
        <v>118.45599311380001</v>
      </c>
      <c r="E26" s="157">
        <f>IF($B26=" ","",IFERROR(INDEX(MMWR_RATING_STATE_ROLLUP_VSC[],MATCH($B26,MMWR_RATING_STATE_ROLLUP_VSC[MMWR_RATING_STATE_ROLLUP_VSC],0),MATCH(E$9,MMWR_RATING_STATE_ROLLUP_VSC[#Headers],0))/$C26,"ERROR"))</f>
        <v>0.30374435119431892</v>
      </c>
      <c r="F26" s="155">
        <f>IF($B26=" ","",IFERROR(INDEX(MMWR_RATING_STATE_ROLLUP_VSC[],MATCH($B26,MMWR_RATING_STATE_ROLLUP_VSC[MMWR_RATING_STATE_ROLLUP_VSC],0),MATCH(F$9,MMWR_RATING_STATE_ROLLUP_VSC[#Headers],0)),"ERROR"))</f>
        <v>1462</v>
      </c>
      <c r="G26" s="155">
        <f>IF($B26=" ","",IFERROR(INDEX(MMWR_RATING_STATE_ROLLUP_VSC[],MATCH($B26,MMWR_RATING_STATE_ROLLUP_VSC[MMWR_RATING_STATE_ROLLUP_VSC],0),MATCH(G$9,MMWR_RATING_STATE_ROLLUP_VSC[#Headers],0)),"ERROR"))</f>
        <v>32502</v>
      </c>
      <c r="H26" s="156">
        <f>IF($B26=" ","",IFERROR(INDEX(MMWR_RATING_STATE_ROLLUP_VSC[],MATCH($B26,MMWR_RATING_STATE_ROLLUP_VSC[MMWR_RATING_STATE_ROLLUP_VSC],0),MATCH(H$9,MMWR_RATING_STATE_ROLLUP_VSC[#Headers],0)),"ERROR"))</f>
        <v>166.6716826265</v>
      </c>
      <c r="I26" s="156">
        <f>IF($B26=" ","",IFERROR(INDEX(MMWR_RATING_STATE_ROLLUP_VSC[],MATCH($B26,MMWR_RATING_STATE_ROLLUP_VSC[MMWR_RATING_STATE_ROLLUP_VSC],0),MATCH(I$9,MMWR_RATING_STATE_ROLLUP_VSC[#Headers],0)),"ERROR"))</f>
        <v>207.02279859699999</v>
      </c>
      <c r="J26" s="42"/>
      <c r="K26" s="42"/>
      <c r="L26" s="42"/>
      <c r="M26" s="42"/>
      <c r="N26" s="28"/>
    </row>
    <row r="27" spans="1:14" x14ac:dyDescent="0.2">
      <c r="A27" s="25"/>
      <c r="B27" s="8" t="str">
        <f>VLOOKUP($B$15,DISTRICT_STATES[],13,0)</f>
        <v>Rhode Island</v>
      </c>
      <c r="C27" s="155">
        <f>IF($B27=" ","",IFERROR(INDEX(MMWR_RATING_STATE_ROLLUP_VSC[],MATCH($B27,MMWR_RATING_STATE_ROLLUP_VSC[MMWR_RATING_STATE_ROLLUP_VSC],0),MATCH(C$9,MMWR_RATING_STATE_ROLLUP_VSC[#Headers],0)),"ERROR"))</f>
        <v>947</v>
      </c>
      <c r="D27" s="156">
        <f>IF($B27=" ","",IFERROR(INDEX(MMWR_RATING_STATE_ROLLUP_VSC[],MATCH($B27,MMWR_RATING_STATE_ROLLUP_VSC[MMWR_RATING_STATE_ROLLUP_VSC],0),MATCH(D$9,MMWR_RATING_STATE_ROLLUP_VSC[#Headers],0)),"ERROR"))</f>
        <v>87.609292502599999</v>
      </c>
      <c r="E27" s="157">
        <f>IF($B27=" ","",IFERROR(INDEX(MMWR_RATING_STATE_ROLLUP_VSC[],MATCH($B27,MMWR_RATING_STATE_ROLLUP_VSC[MMWR_RATING_STATE_ROLLUP_VSC],0),MATCH(E$9,MMWR_RATING_STATE_ROLLUP_VSC[#Headers],0))/$C27,"ERROR"))</f>
        <v>0.21858500527983105</v>
      </c>
      <c r="F27" s="155">
        <f>IF($B27=" ","",IFERROR(INDEX(MMWR_RATING_STATE_ROLLUP_VSC[],MATCH($B27,MMWR_RATING_STATE_ROLLUP_VSC[MMWR_RATING_STATE_ROLLUP_VSC],0),MATCH(F$9,MMWR_RATING_STATE_ROLLUP_VSC[#Headers],0)),"ERROR"))</f>
        <v>182</v>
      </c>
      <c r="G27" s="155">
        <f>IF($B27=" ","",IFERROR(INDEX(MMWR_RATING_STATE_ROLLUP_VSC[],MATCH($B27,MMWR_RATING_STATE_ROLLUP_VSC[MMWR_RATING_STATE_ROLLUP_VSC],0),MATCH(G$9,MMWR_RATING_STATE_ROLLUP_VSC[#Headers],0)),"ERROR"))</f>
        <v>3044</v>
      </c>
      <c r="H27" s="156">
        <f>IF($B27=" ","",IFERROR(INDEX(MMWR_RATING_STATE_ROLLUP_VSC[],MATCH($B27,MMWR_RATING_STATE_ROLLUP_VSC[MMWR_RATING_STATE_ROLLUP_VSC],0),MATCH(H$9,MMWR_RATING_STATE_ROLLUP_VSC[#Headers],0)),"ERROR"))</f>
        <v>147.58791208790001</v>
      </c>
      <c r="I27" s="156">
        <f>IF($B27=" ","",IFERROR(INDEX(MMWR_RATING_STATE_ROLLUP_VSC[],MATCH($B27,MMWR_RATING_STATE_ROLLUP_VSC[MMWR_RATING_STATE_ROLLUP_VSC],0),MATCH(I$9,MMWR_RATING_STATE_ROLLUP_VSC[#Headers],0)),"ERROR"))</f>
        <v>117.9346254928</v>
      </c>
      <c r="J27" s="42"/>
      <c r="K27" s="42"/>
      <c r="L27" s="42"/>
      <c r="M27" s="42"/>
      <c r="N27" s="28"/>
    </row>
    <row r="28" spans="1:14" x14ac:dyDescent="0.2">
      <c r="A28" s="25"/>
      <c r="B28" s="8" t="str">
        <f>VLOOKUP($B$15,DISTRICT_STATES[],14,0)</f>
        <v>Vermont</v>
      </c>
      <c r="C28" s="155">
        <f>IF($B28=" ","",IFERROR(INDEX(MMWR_RATING_STATE_ROLLUP_VSC[],MATCH($B28,MMWR_RATING_STATE_ROLLUP_VSC[MMWR_RATING_STATE_ROLLUP_VSC],0),MATCH(C$9,MMWR_RATING_STATE_ROLLUP_VSC[#Headers],0)),"ERROR"))</f>
        <v>411</v>
      </c>
      <c r="D28" s="156">
        <f>IF($B28=" ","",IFERROR(INDEX(MMWR_RATING_STATE_ROLLUP_VSC[],MATCH($B28,MMWR_RATING_STATE_ROLLUP_VSC[MMWR_RATING_STATE_ROLLUP_VSC],0),MATCH(D$9,MMWR_RATING_STATE_ROLLUP_VSC[#Headers],0)),"ERROR"))</f>
        <v>94.102189781000007</v>
      </c>
      <c r="E28" s="157">
        <f>IF($B28=" ","",IFERROR(INDEX(MMWR_RATING_STATE_ROLLUP_VSC[],MATCH($B28,MMWR_RATING_STATE_ROLLUP_VSC[MMWR_RATING_STATE_ROLLUP_VSC],0),MATCH(E$9,MMWR_RATING_STATE_ROLLUP_VSC[#Headers],0))/$C28,"ERROR"))</f>
        <v>0.25304136253041365</v>
      </c>
      <c r="F28" s="155">
        <f>IF($B28=" ","",IFERROR(INDEX(MMWR_RATING_STATE_ROLLUP_VSC[],MATCH($B28,MMWR_RATING_STATE_ROLLUP_VSC[MMWR_RATING_STATE_ROLLUP_VSC],0),MATCH(F$9,MMWR_RATING_STATE_ROLLUP_VSC[#Headers],0)),"ERROR"))</f>
        <v>60</v>
      </c>
      <c r="G28" s="155">
        <f>IF($B28=" ","",IFERROR(INDEX(MMWR_RATING_STATE_ROLLUP_VSC[],MATCH($B28,MMWR_RATING_STATE_ROLLUP_VSC[MMWR_RATING_STATE_ROLLUP_VSC],0),MATCH(G$9,MMWR_RATING_STATE_ROLLUP_VSC[#Headers],0)),"ERROR"))</f>
        <v>1503</v>
      </c>
      <c r="H28" s="156">
        <f>IF($B28=" ","",IFERROR(INDEX(MMWR_RATING_STATE_ROLLUP_VSC[],MATCH($B28,MMWR_RATING_STATE_ROLLUP_VSC[MMWR_RATING_STATE_ROLLUP_VSC],0),MATCH(H$9,MMWR_RATING_STATE_ROLLUP_VSC[#Headers],0)),"ERROR"))</f>
        <v>162.4166666667</v>
      </c>
      <c r="I28" s="156">
        <f>IF($B28=" ","",IFERROR(INDEX(MMWR_RATING_STATE_ROLLUP_VSC[],MATCH($B28,MMWR_RATING_STATE_ROLLUP_VSC[MMWR_RATING_STATE_ROLLUP_VSC],0),MATCH(I$9,MMWR_RATING_STATE_ROLLUP_VSC[#Headers],0)),"ERROR"))</f>
        <v>161.7711244178</v>
      </c>
      <c r="J28" s="42"/>
      <c r="K28" s="42"/>
      <c r="L28" s="42"/>
      <c r="M28" s="42"/>
      <c r="N28" s="28"/>
    </row>
    <row r="29" spans="1:14" x14ac:dyDescent="0.2">
      <c r="A29" s="25"/>
      <c r="B29" s="8" t="str">
        <f>VLOOKUP($B$15,DISTRICT_STATES[],15,0)</f>
        <v>Virginia</v>
      </c>
      <c r="C29" s="155">
        <f>IF($B29=" ","",IFERROR(INDEX(MMWR_RATING_STATE_ROLLUP_VSC[],MATCH($B29,MMWR_RATING_STATE_ROLLUP_VSC[MMWR_RATING_STATE_ROLLUP_VSC],0),MATCH(C$9,MMWR_RATING_STATE_ROLLUP_VSC[#Headers],0)),"ERROR"))</f>
        <v>10848</v>
      </c>
      <c r="D29" s="156">
        <f>IF($B29=" ","",IFERROR(INDEX(MMWR_RATING_STATE_ROLLUP_VSC[],MATCH($B29,MMWR_RATING_STATE_ROLLUP_VSC[MMWR_RATING_STATE_ROLLUP_VSC],0),MATCH(D$9,MMWR_RATING_STATE_ROLLUP_VSC[#Headers],0)),"ERROR"))</f>
        <v>94.234236725700001</v>
      </c>
      <c r="E29" s="157">
        <f>IF($B29=" ","",IFERROR(INDEX(MMWR_RATING_STATE_ROLLUP_VSC[],MATCH($B29,MMWR_RATING_STATE_ROLLUP_VSC[MMWR_RATING_STATE_ROLLUP_VSC],0),MATCH(E$9,MMWR_RATING_STATE_ROLLUP_VSC[#Headers],0))/$C29,"ERROR"))</f>
        <v>0.21838126843657818</v>
      </c>
      <c r="F29" s="155">
        <f>IF($B29=" ","",IFERROR(INDEX(MMWR_RATING_STATE_ROLLUP_VSC[],MATCH($B29,MMWR_RATING_STATE_ROLLUP_VSC[MMWR_RATING_STATE_ROLLUP_VSC],0),MATCH(F$9,MMWR_RATING_STATE_ROLLUP_VSC[#Headers],0)),"ERROR"))</f>
        <v>1936</v>
      </c>
      <c r="G29" s="155">
        <f>IF($B29=" ","",IFERROR(INDEX(MMWR_RATING_STATE_ROLLUP_VSC[],MATCH($B29,MMWR_RATING_STATE_ROLLUP_VSC[MMWR_RATING_STATE_ROLLUP_VSC],0),MATCH(G$9,MMWR_RATING_STATE_ROLLUP_VSC[#Headers],0)),"ERROR"))</f>
        <v>40651</v>
      </c>
      <c r="H29" s="156">
        <f>IF($B29=" ","",IFERROR(INDEX(MMWR_RATING_STATE_ROLLUP_VSC[],MATCH($B29,MMWR_RATING_STATE_ROLLUP_VSC[MMWR_RATING_STATE_ROLLUP_VSC],0),MATCH(H$9,MMWR_RATING_STATE_ROLLUP_VSC[#Headers],0)),"ERROR"))</f>
        <v>159.32489669419999</v>
      </c>
      <c r="I29" s="156">
        <f>IF($B29=" ","",IFERROR(INDEX(MMWR_RATING_STATE_ROLLUP_VSC[],MATCH($B29,MMWR_RATING_STATE_ROLLUP_VSC[MMWR_RATING_STATE_ROLLUP_VSC],0),MATCH(I$9,MMWR_RATING_STATE_ROLLUP_VSC[#Headers],0)),"ERROR"))</f>
        <v>195.2760325699</v>
      </c>
      <c r="J29" s="42"/>
      <c r="K29" s="42"/>
      <c r="L29" s="42"/>
      <c r="M29" s="42"/>
      <c r="N29" s="28"/>
    </row>
    <row r="30" spans="1:14" x14ac:dyDescent="0.2">
      <c r="A30" s="25"/>
      <c r="B30" s="8" t="str">
        <f>VLOOKUP($B$15,DISTRICT_STATES[],16,0)</f>
        <v>West Virginia</v>
      </c>
      <c r="C30" s="155">
        <f>IF($B30=" ","",IFERROR(INDEX(MMWR_RATING_STATE_ROLLUP_VSC[],MATCH($B30,MMWR_RATING_STATE_ROLLUP_VSC[MMWR_RATING_STATE_ROLLUP_VSC],0),MATCH(C$9,MMWR_RATING_STATE_ROLLUP_VSC[#Headers],0)),"ERROR"))</f>
        <v>2331</v>
      </c>
      <c r="D30" s="156">
        <f>IF($B30=" ","",IFERROR(INDEX(MMWR_RATING_STATE_ROLLUP_VSC[],MATCH($B30,MMWR_RATING_STATE_ROLLUP_VSC[MMWR_RATING_STATE_ROLLUP_VSC],0),MATCH(D$9,MMWR_RATING_STATE_ROLLUP_VSC[#Headers],0)),"ERROR"))</f>
        <v>88.174174174200004</v>
      </c>
      <c r="E30" s="157">
        <f>IF($B30=" ","",IFERROR(INDEX(MMWR_RATING_STATE_ROLLUP_VSC[],MATCH($B30,MMWR_RATING_STATE_ROLLUP_VSC[MMWR_RATING_STATE_ROLLUP_VSC],0),MATCH(E$9,MMWR_RATING_STATE_ROLLUP_VSC[#Headers],0))/$C30,"ERROR"))</f>
        <v>0.18747318747318747</v>
      </c>
      <c r="F30" s="155">
        <f>IF($B30=" ","",IFERROR(INDEX(MMWR_RATING_STATE_ROLLUP_VSC[],MATCH($B30,MMWR_RATING_STATE_ROLLUP_VSC[MMWR_RATING_STATE_ROLLUP_VSC],0),MATCH(F$9,MMWR_RATING_STATE_ROLLUP_VSC[#Headers],0)),"ERROR"))</f>
        <v>383</v>
      </c>
      <c r="G30" s="155">
        <f>IF($B30=" ","",IFERROR(INDEX(MMWR_RATING_STATE_ROLLUP_VSC[],MATCH($B30,MMWR_RATING_STATE_ROLLUP_VSC[MMWR_RATING_STATE_ROLLUP_VSC],0),MATCH(G$9,MMWR_RATING_STATE_ROLLUP_VSC[#Headers],0)),"ERROR"))</f>
        <v>9453</v>
      </c>
      <c r="H30" s="156">
        <f>IF($B30=" ","",IFERROR(INDEX(MMWR_RATING_STATE_ROLLUP_VSC[],MATCH($B30,MMWR_RATING_STATE_ROLLUP_VSC[MMWR_RATING_STATE_ROLLUP_VSC],0),MATCH(H$9,MMWR_RATING_STATE_ROLLUP_VSC[#Headers],0)),"ERROR"))</f>
        <v>137.6997389034</v>
      </c>
      <c r="I30" s="156">
        <f>IF($B30=" ","",IFERROR(INDEX(MMWR_RATING_STATE_ROLLUP_VSC[],MATCH($B30,MMWR_RATING_STATE_ROLLUP_VSC[MMWR_RATING_STATE_ROLLUP_VSC],0),MATCH(I$9,MMWR_RATING_STATE_ROLLUP_VSC[#Headers],0)),"ERROR"))</f>
        <v>145.9009838147</v>
      </c>
      <c r="J30" s="42"/>
      <c r="K30" s="42"/>
      <c r="L30" s="42"/>
      <c r="M30" s="42"/>
      <c r="N30" s="28"/>
    </row>
    <row r="31" spans="1:14" x14ac:dyDescent="0.2">
      <c r="A31" s="25"/>
      <c r="B31" s="377" t="s">
        <v>967</v>
      </c>
      <c r="C31" s="378"/>
      <c r="D31" s="378"/>
      <c r="E31" s="378"/>
      <c r="F31" s="378"/>
      <c r="G31" s="378"/>
      <c r="H31" s="378"/>
      <c r="I31" s="378"/>
      <c r="J31" s="378"/>
      <c r="K31" s="378"/>
      <c r="L31" s="378"/>
      <c r="M31" s="387"/>
      <c r="N31" s="28"/>
    </row>
    <row r="32" spans="1:14" x14ac:dyDescent="0.2">
      <c r="A32" s="25"/>
      <c r="B32" s="41" t="s">
        <v>1046</v>
      </c>
      <c r="C32" s="155">
        <f>IF($B32=" ","",IFERROR(INDEX(MMWR_RATING_STATE_ROLLUP_PMC[],MATCH($B32,MMWR_RATING_STATE_ROLLUP_PMC[MMWR_RATING_STATE_ROLLUP_PMC],0),MATCH(C$9,MMWR_RATING_STATE_ROLLUP_PMC[#Headers],0)),"ERROR"))</f>
        <v>20660</v>
      </c>
      <c r="D32" s="156">
        <f>IF($B32=" ","",IFERROR(INDEX(MMWR_RATING_STATE_ROLLUP_PMC[],MATCH($B32,MMWR_RATING_STATE_ROLLUP_PMC[MMWR_RATING_STATE_ROLLUP_PMC],0),MATCH(D$9,MMWR_RATING_STATE_ROLLUP_PMC[#Headers],0)),"ERROR"))</f>
        <v>59.192207163600003</v>
      </c>
      <c r="E32" s="157">
        <f>IF($B32=" ","",IFERROR(INDEX(MMWR_RATING_STATE_ROLLUP_PMC[],MATCH($B32,MMWR_RATING_STATE_ROLLUP_PMC[MMWR_RATING_STATE_ROLLUP_PMC],0),MATCH(E$9,MMWR_RATING_STATE_ROLLUP_PMC[#Headers],0))/$C32,"ERROR"))</f>
        <v>8.3155856727976762E-2</v>
      </c>
      <c r="F32" s="155">
        <f>IF($B32=" ","",IFERROR(INDEX(MMWR_RATING_STATE_ROLLUP_PMC[],MATCH($B32,MMWR_RATING_STATE_ROLLUP_PMC[MMWR_RATING_STATE_ROLLUP_PMC],0),MATCH(F$9,MMWR_RATING_STATE_ROLLUP_PMC[#Headers],0)),"ERROR"))</f>
        <v>8050</v>
      </c>
      <c r="G32" s="155">
        <f>IF($B32=" ","",IFERROR(INDEX(MMWR_RATING_STATE_ROLLUP_PMC[],MATCH($B32,MMWR_RATING_STATE_ROLLUP_PMC[MMWR_RATING_STATE_ROLLUP_PMC],0),MATCH(G$9,MMWR_RATING_STATE_ROLLUP_PMC[#Headers],0)),"ERROR"))</f>
        <v>148720</v>
      </c>
      <c r="H32" s="156">
        <f>IF($B32=" ","",IFERROR(INDEX(MMWR_RATING_STATE_ROLLUP_PMC[],MATCH($B32,MMWR_RATING_STATE_ROLLUP_PMC[MMWR_RATING_STATE_ROLLUP_PMC],0),MATCH(H$9,MMWR_RATING_STATE_ROLLUP_PMC[#Headers],0)),"ERROR"))</f>
        <v>66.988322981400003</v>
      </c>
      <c r="I32" s="156">
        <f>IF($B32=" ","",IFERROR(INDEX(MMWR_RATING_STATE_ROLLUP_PMC[],MATCH($B32,MMWR_RATING_STATE_ROLLUP_PMC[MMWR_RATING_STATE_ROLLUP_PMC],0),MATCH(I$9,MMWR_RATING_STATE_ROLLUP_PMC[#Headers],0)),"ERROR"))</f>
        <v>64.638293437300007</v>
      </c>
      <c r="J32" s="42"/>
      <c r="K32" s="42"/>
      <c r="L32" s="42"/>
      <c r="M32" s="42"/>
      <c r="N32" s="28"/>
    </row>
    <row r="33" spans="1:14" x14ac:dyDescent="0.2">
      <c r="A33" s="25"/>
      <c r="B33" s="250" t="str">
        <f>INDEX(DISTRICT_STATES[],MATCH($B$5,DISTRICT_RO[District],0),1)</f>
        <v>North Atlantic</v>
      </c>
      <c r="C33" s="155">
        <f>IF($B33=" ","",IFERROR(INDEX(MMWR_RATING_STATE_ROLLUP_PMC[],MATCH($B33,MMWR_RATING_STATE_ROLLUP_PMC[MMWR_RATING_STATE_ROLLUP_PMC],0),MATCH(C$9,MMWR_RATING_STATE_ROLLUP_PMC[#Headers],0)),"ERROR"))</f>
        <v>4039</v>
      </c>
      <c r="D33" s="156">
        <f>IF($B33=" ","",IFERROR(INDEX(MMWR_RATING_STATE_ROLLUP_PMC[],MATCH($B33,MMWR_RATING_STATE_ROLLUP_PMC[MMWR_RATING_STATE_ROLLUP_PMC],0),MATCH(D$9,MMWR_RATING_STATE_ROLLUP_PMC[#Headers],0)),"ERROR"))</f>
        <v>68.635058182700007</v>
      </c>
      <c r="E33" s="157">
        <f>IF($B33=" ","",IFERROR(INDEX(MMWR_RATING_STATE_ROLLUP_PMC[],MATCH($B33,MMWR_RATING_STATE_ROLLUP_PMC[MMWR_RATING_STATE_ROLLUP_PMC],0),MATCH(E$9,MMWR_RATING_STATE_ROLLUP_PMC[#Headers],0))/$C33,"ERROR"))</f>
        <v>0.10720475365189404</v>
      </c>
      <c r="F33" s="155">
        <f>IF($B33=" ","",IFERROR(INDEX(MMWR_RATING_STATE_ROLLUP_PMC[],MATCH($B33,MMWR_RATING_STATE_ROLLUP_PMC[MMWR_RATING_STATE_ROLLUP_PMC],0),MATCH(F$9,MMWR_RATING_STATE_ROLLUP_PMC[#Headers],0)),"ERROR"))</f>
        <v>1628</v>
      </c>
      <c r="G33" s="155">
        <f>IF($B33=" ","",IFERROR(INDEX(MMWR_RATING_STATE_ROLLUP_PMC[],MATCH($B33,MMWR_RATING_STATE_ROLLUP_PMC[MMWR_RATING_STATE_ROLLUP_PMC],0),MATCH(G$9,MMWR_RATING_STATE_ROLLUP_PMC[#Headers],0)),"ERROR"))</f>
        <v>28703</v>
      </c>
      <c r="H33" s="156">
        <f>IF($B33=" ","",IFERROR(INDEX(MMWR_RATING_STATE_ROLLUP_PMC[],MATCH($B33,MMWR_RATING_STATE_ROLLUP_PMC[MMWR_RATING_STATE_ROLLUP_PMC],0),MATCH(H$9,MMWR_RATING_STATE_ROLLUP_PMC[#Headers],0)),"ERROR"))</f>
        <v>73.759213759199994</v>
      </c>
      <c r="I33" s="156">
        <f>IF($B33=" ","",IFERROR(INDEX(MMWR_RATING_STATE_ROLLUP_PMC[],MATCH($B33,MMWR_RATING_STATE_ROLLUP_PMC[MMWR_RATING_STATE_ROLLUP_PMC],0),MATCH(I$9,MMWR_RATING_STATE_ROLLUP_PMC[#Headers],0)),"ERROR"))</f>
        <v>74.489844267099997</v>
      </c>
      <c r="J33" s="42"/>
      <c r="K33" s="42"/>
      <c r="L33" s="42"/>
      <c r="M33" s="42"/>
      <c r="N33" s="28"/>
    </row>
    <row r="34" spans="1:14" x14ac:dyDescent="0.2">
      <c r="A34" s="25"/>
      <c r="B34" s="8" t="str">
        <f>VLOOKUP($B$15,DISTRICT_STATES[],2,0)</f>
        <v>Connecticut</v>
      </c>
      <c r="C34" s="155">
        <f>IF($B34=" ","",IFERROR(INDEX(MMWR_RATING_STATE_ROLLUP_PMC[],MATCH($B34,MMWR_RATING_STATE_ROLLUP_PMC[MMWR_RATING_STATE_ROLLUP_PMC],0),MATCH(C$9,MMWR_RATING_STATE_ROLLUP_PMC[#Headers],0)),"ERROR"))</f>
        <v>109</v>
      </c>
      <c r="D34" s="156">
        <f>IF($B34=" ","",IFERROR(INDEX(MMWR_RATING_STATE_ROLLUP_PMC[],MATCH($B34,MMWR_RATING_STATE_ROLLUP_PMC[MMWR_RATING_STATE_ROLLUP_PMC],0),MATCH(D$9,MMWR_RATING_STATE_ROLLUP_PMC[#Headers],0)),"ERROR"))</f>
        <v>78.201834862400005</v>
      </c>
      <c r="E34" s="157">
        <f>IF($B34=" ","",IFERROR(INDEX(MMWR_RATING_STATE_ROLLUP_PMC[],MATCH($B34,MMWR_RATING_STATE_ROLLUP_PMC[MMWR_RATING_STATE_ROLLUP_PMC],0),MATCH(E$9,MMWR_RATING_STATE_ROLLUP_PMC[#Headers],0))/$C34,"ERROR"))</f>
        <v>0.11009174311926606</v>
      </c>
      <c r="F34" s="155">
        <f>IF($B34=" ","",IFERROR(INDEX(MMWR_RATING_STATE_ROLLUP_PMC[],MATCH($B34,MMWR_RATING_STATE_ROLLUP_PMC[MMWR_RATING_STATE_ROLLUP_PMC],0),MATCH(F$9,MMWR_RATING_STATE_ROLLUP_PMC[#Headers],0)),"ERROR"))</f>
        <v>37</v>
      </c>
      <c r="G34" s="155">
        <f>IF($B34=" ","",IFERROR(INDEX(MMWR_RATING_STATE_ROLLUP_PMC[],MATCH($B34,MMWR_RATING_STATE_ROLLUP_PMC[MMWR_RATING_STATE_ROLLUP_PMC],0),MATCH(G$9,MMWR_RATING_STATE_ROLLUP_PMC[#Headers],0)),"ERROR"))</f>
        <v>862</v>
      </c>
      <c r="H34" s="156">
        <f>IF($B34=" ","",IFERROR(INDEX(MMWR_RATING_STATE_ROLLUP_PMC[],MATCH($B34,MMWR_RATING_STATE_ROLLUP_PMC[MMWR_RATING_STATE_ROLLUP_PMC],0),MATCH(H$9,MMWR_RATING_STATE_ROLLUP_PMC[#Headers],0)),"ERROR"))</f>
        <v>55.027027027000003</v>
      </c>
      <c r="I34" s="156">
        <f>IF($B34=" ","",IFERROR(INDEX(MMWR_RATING_STATE_ROLLUP_PMC[],MATCH($B34,MMWR_RATING_STATE_ROLLUP_PMC[MMWR_RATING_STATE_ROLLUP_PMC],0),MATCH(I$9,MMWR_RATING_STATE_ROLLUP_PMC[#Headers],0)),"ERROR"))</f>
        <v>74.874709976800006</v>
      </c>
      <c r="J34" s="42"/>
      <c r="K34" s="42"/>
      <c r="L34" s="42"/>
      <c r="M34" s="42"/>
      <c r="N34" s="28"/>
    </row>
    <row r="35" spans="1:14" x14ac:dyDescent="0.2">
      <c r="A35" s="25"/>
      <c r="B35" s="8" t="str">
        <f>VLOOKUP($B$15,DISTRICT_STATES[],3,0)</f>
        <v>Delaware</v>
      </c>
      <c r="C35" s="155">
        <f>IF($B35=" ","",IFERROR(INDEX(MMWR_RATING_STATE_ROLLUP_PMC[],MATCH($B35,MMWR_RATING_STATE_ROLLUP_PMC[MMWR_RATING_STATE_ROLLUP_PMC],0),MATCH(C$9,MMWR_RATING_STATE_ROLLUP_PMC[#Headers],0)),"ERROR"))</f>
        <v>36</v>
      </c>
      <c r="D35" s="156">
        <f>IF($B35=" ","",IFERROR(INDEX(MMWR_RATING_STATE_ROLLUP_PMC[],MATCH($B35,MMWR_RATING_STATE_ROLLUP_PMC[MMWR_RATING_STATE_ROLLUP_PMC],0),MATCH(D$9,MMWR_RATING_STATE_ROLLUP_PMC[#Headers],0)),"ERROR"))</f>
        <v>80.333333333300004</v>
      </c>
      <c r="E35" s="157">
        <f>IF($B35=" ","",IFERROR(INDEX(MMWR_RATING_STATE_ROLLUP_PMC[],MATCH($B35,MMWR_RATING_STATE_ROLLUP_PMC[MMWR_RATING_STATE_ROLLUP_PMC],0),MATCH(E$9,MMWR_RATING_STATE_ROLLUP_PMC[#Headers],0))/$C35,"ERROR"))</f>
        <v>0.1388888888888889</v>
      </c>
      <c r="F35" s="155">
        <f>IF($B35=" ","",IFERROR(INDEX(MMWR_RATING_STATE_ROLLUP_PMC[],MATCH($B35,MMWR_RATING_STATE_ROLLUP_PMC[MMWR_RATING_STATE_ROLLUP_PMC],0),MATCH(F$9,MMWR_RATING_STATE_ROLLUP_PMC[#Headers],0)),"ERROR"))</f>
        <v>11</v>
      </c>
      <c r="G35" s="155">
        <f>IF($B35=" ","",IFERROR(INDEX(MMWR_RATING_STATE_ROLLUP_PMC[],MATCH($B35,MMWR_RATING_STATE_ROLLUP_PMC[MMWR_RATING_STATE_ROLLUP_PMC],0),MATCH(G$9,MMWR_RATING_STATE_ROLLUP_PMC[#Headers],0)),"ERROR"))</f>
        <v>301</v>
      </c>
      <c r="H35" s="156">
        <f>IF($B35=" ","",IFERROR(INDEX(MMWR_RATING_STATE_ROLLUP_PMC[],MATCH($B35,MMWR_RATING_STATE_ROLLUP_PMC[MMWR_RATING_STATE_ROLLUP_PMC],0),MATCH(H$9,MMWR_RATING_STATE_ROLLUP_PMC[#Headers],0)),"ERROR"))</f>
        <v>69.545454545499993</v>
      </c>
      <c r="I35" s="156">
        <f>IF($B35=" ","",IFERROR(INDEX(MMWR_RATING_STATE_ROLLUP_PMC[],MATCH($B35,MMWR_RATING_STATE_ROLLUP_PMC[MMWR_RATING_STATE_ROLLUP_PMC],0),MATCH(I$9,MMWR_RATING_STATE_ROLLUP_PMC[#Headers],0)),"ERROR"))</f>
        <v>83.305647840500001</v>
      </c>
      <c r="J35" s="42"/>
      <c r="K35" s="42"/>
      <c r="L35" s="42"/>
      <c r="M35" s="42"/>
      <c r="N35" s="28"/>
    </row>
    <row r="36" spans="1:14" x14ac:dyDescent="0.2">
      <c r="A36" s="25"/>
      <c r="B36" s="8" t="str">
        <f>VLOOKUP($B$15,DISTRICT_STATES[],4,0)</f>
        <v>District of Columbia</v>
      </c>
      <c r="C36" s="155">
        <f>IF($B36=" ","",IFERROR(INDEX(MMWR_RATING_STATE_ROLLUP_PMC[],MATCH($B36,MMWR_RATING_STATE_ROLLUP_PMC[MMWR_RATING_STATE_ROLLUP_PMC],0),MATCH(C$9,MMWR_RATING_STATE_ROLLUP_PMC[#Headers],0)),"ERROR"))</f>
        <v>53</v>
      </c>
      <c r="D36" s="156">
        <f>IF($B36=" ","",IFERROR(INDEX(MMWR_RATING_STATE_ROLLUP_PMC[],MATCH($B36,MMWR_RATING_STATE_ROLLUP_PMC[MMWR_RATING_STATE_ROLLUP_PMC],0),MATCH(D$9,MMWR_RATING_STATE_ROLLUP_PMC[#Headers],0)),"ERROR"))</f>
        <v>54.641509434</v>
      </c>
      <c r="E36" s="157">
        <f>IF($B36=" ","",IFERROR(INDEX(MMWR_RATING_STATE_ROLLUP_PMC[],MATCH($B36,MMWR_RATING_STATE_ROLLUP_PMC[MMWR_RATING_STATE_ROLLUP_PMC],0),MATCH(E$9,MMWR_RATING_STATE_ROLLUP_PMC[#Headers],0))/$C36,"ERROR"))</f>
        <v>1.8867924528301886E-2</v>
      </c>
      <c r="F36" s="155">
        <f>IF($B36=" ","",IFERROR(INDEX(MMWR_RATING_STATE_ROLLUP_PMC[],MATCH($B36,MMWR_RATING_STATE_ROLLUP_PMC[MMWR_RATING_STATE_ROLLUP_PMC],0),MATCH(F$9,MMWR_RATING_STATE_ROLLUP_PMC[#Headers],0)),"ERROR"))</f>
        <v>20</v>
      </c>
      <c r="G36" s="155">
        <f>IF($B36=" ","",IFERROR(INDEX(MMWR_RATING_STATE_ROLLUP_PMC[],MATCH($B36,MMWR_RATING_STATE_ROLLUP_PMC[MMWR_RATING_STATE_ROLLUP_PMC],0),MATCH(G$9,MMWR_RATING_STATE_ROLLUP_PMC[#Headers],0)),"ERROR"))</f>
        <v>194</v>
      </c>
      <c r="H36" s="156">
        <f>IF($B36=" ","",IFERROR(INDEX(MMWR_RATING_STATE_ROLLUP_PMC[],MATCH($B36,MMWR_RATING_STATE_ROLLUP_PMC[MMWR_RATING_STATE_ROLLUP_PMC],0),MATCH(H$9,MMWR_RATING_STATE_ROLLUP_PMC[#Headers],0)),"ERROR"))</f>
        <v>77.3</v>
      </c>
      <c r="I36" s="156">
        <f>IF($B36=" ","",IFERROR(INDEX(MMWR_RATING_STATE_ROLLUP_PMC[],MATCH($B36,MMWR_RATING_STATE_ROLLUP_PMC[MMWR_RATING_STATE_ROLLUP_PMC],0),MATCH(I$9,MMWR_RATING_STATE_ROLLUP_PMC[#Headers],0)),"ERROR"))</f>
        <v>86.592783505200003</v>
      </c>
      <c r="J36" s="42"/>
      <c r="K36" s="42"/>
      <c r="L36" s="42"/>
      <c r="M36" s="42"/>
      <c r="N36" s="28"/>
    </row>
    <row r="37" spans="1:14" x14ac:dyDescent="0.2">
      <c r="A37" s="25"/>
      <c r="B37" s="8" t="str">
        <f>VLOOKUP($B$15,DISTRICT_STATES[],5,0)</f>
        <v>Maine</v>
      </c>
      <c r="C37" s="155">
        <f>IF($B37=" ","",IFERROR(INDEX(MMWR_RATING_STATE_ROLLUP_PMC[],MATCH($B37,MMWR_RATING_STATE_ROLLUP_PMC[MMWR_RATING_STATE_ROLLUP_PMC],0),MATCH(C$9,MMWR_RATING_STATE_ROLLUP_PMC[#Headers],0)),"ERROR"))</f>
        <v>60</v>
      </c>
      <c r="D37" s="156">
        <f>IF($B37=" ","",IFERROR(INDEX(MMWR_RATING_STATE_ROLLUP_PMC[],MATCH($B37,MMWR_RATING_STATE_ROLLUP_PMC[MMWR_RATING_STATE_ROLLUP_PMC],0),MATCH(D$9,MMWR_RATING_STATE_ROLLUP_PMC[#Headers],0)),"ERROR"))</f>
        <v>55.483333333300003</v>
      </c>
      <c r="E37" s="157">
        <f>IF($B37=" ","",IFERROR(INDEX(MMWR_RATING_STATE_ROLLUP_PMC[],MATCH($B37,MMWR_RATING_STATE_ROLLUP_PMC[MMWR_RATING_STATE_ROLLUP_PMC],0),MATCH(E$9,MMWR_RATING_STATE_ROLLUP_PMC[#Headers],0))/$C37,"ERROR"))</f>
        <v>3.3333333333333333E-2</v>
      </c>
      <c r="F37" s="155">
        <f>IF($B37=" ","",IFERROR(INDEX(MMWR_RATING_STATE_ROLLUP_PMC[],MATCH($B37,MMWR_RATING_STATE_ROLLUP_PMC[MMWR_RATING_STATE_ROLLUP_PMC],0),MATCH(F$9,MMWR_RATING_STATE_ROLLUP_PMC[#Headers],0)),"ERROR"))</f>
        <v>30</v>
      </c>
      <c r="G37" s="155">
        <f>IF($B37=" ","",IFERROR(INDEX(MMWR_RATING_STATE_ROLLUP_PMC[],MATCH($B37,MMWR_RATING_STATE_ROLLUP_PMC[MMWR_RATING_STATE_ROLLUP_PMC],0),MATCH(G$9,MMWR_RATING_STATE_ROLLUP_PMC[#Headers],0)),"ERROR"))</f>
        <v>545</v>
      </c>
      <c r="H37" s="156">
        <f>IF($B37=" ","",IFERROR(INDEX(MMWR_RATING_STATE_ROLLUP_PMC[],MATCH($B37,MMWR_RATING_STATE_ROLLUP_PMC[MMWR_RATING_STATE_ROLLUP_PMC],0),MATCH(H$9,MMWR_RATING_STATE_ROLLUP_PMC[#Headers],0)),"ERROR"))</f>
        <v>75.233333333299996</v>
      </c>
      <c r="I37" s="156">
        <f>IF($B37=" ","",IFERROR(INDEX(MMWR_RATING_STATE_ROLLUP_PMC[],MATCH($B37,MMWR_RATING_STATE_ROLLUP_PMC[MMWR_RATING_STATE_ROLLUP_PMC],0),MATCH(I$9,MMWR_RATING_STATE_ROLLUP_PMC[#Headers],0)),"ERROR"))</f>
        <v>66.0110091743</v>
      </c>
      <c r="J37" s="42"/>
      <c r="K37" s="42"/>
      <c r="L37" s="42"/>
      <c r="M37" s="42"/>
      <c r="N37" s="28"/>
    </row>
    <row r="38" spans="1:14" x14ac:dyDescent="0.2">
      <c r="A38" s="25"/>
      <c r="B38" s="8" t="str">
        <f>VLOOKUP($B$15,DISTRICT_STATES[],6,0)</f>
        <v>Maryland</v>
      </c>
      <c r="C38" s="155">
        <f>IF($B38=" ","",IFERROR(INDEX(MMWR_RATING_STATE_ROLLUP_PMC[],MATCH($B38,MMWR_RATING_STATE_ROLLUP_PMC[MMWR_RATING_STATE_ROLLUP_PMC],0),MATCH(C$9,MMWR_RATING_STATE_ROLLUP_PMC[#Headers],0)),"ERROR"))</f>
        <v>279</v>
      </c>
      <c r="D38" s="156">
        <f>IF($B38=" ","",IFERROR(INDEX(MMWR_RATING_STATE_ROLLUP_PMC[],MATCH($B38,MMWR_RATING_STATE_ROLLUP_PMC[MMWR_RATING_STATE_ROLLUP_PMC],0),MATCH(D$9,MMWR_RATING_STATE_ROLLUP_PMC[#Headers],0)),"ERROR"))</f>
        <v>71.738351254500003</v>
      </c>
      <c r="E38" s="157">
        <f>IF($B38=" ","",IFERROR(INDEX(MMWR_RATING_STATE_ROLLUP_PMC[],MATCH($B38,MMWR_RATING_STATE_ROLLUP_PMC[MMWR_RATING_STATE_ROLLUP_PMC],0),MATCH(E$9,MMWR_RATING_STATE_ROLLUP_PMC[#Headers],0))/$C38,"ERROR"))</f>
        <v>0.1003584229390681</v>
      </c>
      <c r="F38" s="155">
        <f>IF($B38=" ","",IFERROR(INDEX(MMWR_RATING_STATE_ROLLUP_PMC[],MATCH($B38,MMWR_RATING_STATE_ROLLUP_PMC[MMWR_RATING_STATE_ROLLUP_PMC],0),MATCH(F$9,MMWR_RATING_STATE_ROLLUP_PMC[#Headers],0)),"ERROR"))</f>
        <v>108</v>
      </c>
      <c r="G38" s="155">
        <f>IF($B38=" ","",IFERROR(INDEX(MMWR_RATING_STATE_ROLLUP_PMC[],MATCH($B38,MMWR_RATING_STATE_ROLLUP_PMC[MMWR_RATING_STATE_ROLLUP_PMC],0),MATCH(G$9,MMWR_RATING_STATE_ROLLUP_PMC[#Headers],0)),"ERROR"))</f>
        <v>1872</v>
      </c>
      <c r="H38" s="156">
        <f>IF($B38=" ","",IFERROR(INDEX(MMWR_RATING_STATE_ROLLUP_PMC[],MATCH($B38,MMWR_RATING_STATE_ROLLUP_PMC[MMWR_RATING_STATE_ROLLUP_PMC],0),MATCH(H$9,MMWR_RATING_STATE_ROLLUP_PMC[#Headers],0)),"ERROR"))</f>
        <v>82.435185185199998</v>
      </c>
      <c r="I38" s="156">
        <f>IF($B38=" ","",IFERROR(INDEX(MMWR_RATING_STATE_ROLLUP_PMC[],MATCH($B38,MMWR_RATING_STATE_ROLLUP_PMC[MMWR_RATING_STATE_ROLLUP_PMC],0),MATCH(I$9,MMWR_RATING_STATE_ROLLUP_PMC[#Headers],0)),"ERROR"))</f>
        <v>85.142628205099996</v>
      </c>
      <c r="J38" s="42"/>
      <c r="K38" s="42"/>
      <c r="L38" s="42"/>
      <c r="M38" s="42"/>
      <c r="N38" s="28"/>
    </row>
    <row r="39" spans="1:14" x14ac:dyDescent="0.2">
      <c r="A39" s="25"/>
      <c r="B39" s="8" t="str">
        <f>VLOOKUP($B$15,DISTRICT_STATES[],7,0)</f>
        <v>Massachusetts</v>
      </c>
      <c r="C39" s="155">
        <f>IF($B39=" ","",IFERROR(INDEX(MMWR_RATING_STATE_ROLLUP_PMC[],MATCH($B39,MMWR_RATING_STATE_ROLLUP_PMC[MMWR_RATING_STATE_ROLLUP_PMC],0),MATCH(C$9,MMWR_RATING_STATE_ROLLUP_PMC[#Headers],0)),"ERROR"))</f>
        <v>234</v>
      </c>
      <c r="D39" s="156">
        <f>IF($B39=" ","",IFERROR(INDEX(MMWR_RATING_STATE_ROLLUP_PMC[],MATCH($B39,MMWR_RATING_STATE_ROLLUP_PMC[MMWR_RATING_STATE_ROLLUP_PMC],0),MATCH(D$9,MMWR_RATING_STATE_ROLLUP_PMC[#Headers],0)),"ERROR"))</f>
        <v>65.705128205099996</v>
      </c>
      <c r="E39" s="157">
        <f>IF($B39=" ","",IFERROR(INDEX(MMWR_RATING_STATE_ROLLUP_PMC[],MATCH($B39,MMWR_RATING_STATE_ROLLUP_PMC[MMWR_RATING_STATE_ROLLUP_PMC],0),MATCH(E$9,MMWR_RATING_STATE_ROLLUP_PMC[#Headers],0))/$C39,"ERROR"))</f>
        <v>9.4017094017094016E-2</v>
      </c>
      <c r="F39" s="155">
        <f>IF($B39=" ","",IFERROR(INDEX(MMWR_RATING_STATE_ROLLUP_PMC[],MATCH($B39,MMWR_RATING_STATE_ROLLUP_PMC[MMWR_RATING_STATE_ROLLUP_PMC],0),MATCH(F$9,MMWR_RATING_STATE_ROLLUP_PMC[#Headers],0)),"ERROR"))</f>
        <v>86</v>
      </c>
      <c r="G39" s="155">
        <f>IF($B39=" ","",IFERROR(INDEX(MMWR_RATING_STATE_ROLLUP_PMC[],MATCH($B39,MMWR_RATING_STATE_ROLLUP_PMC[MMWR_RATING_STATE_ROLLUP_PMC],0),MATCH(G$9,MMWR_RATING_STATE_ROLLUP_PMC[#Headers],0)),"ERROR"))</f>
        <v>1624</v>
      </c>
      <c r="H39" s="156">
        <f>IF($B39=" ","",IFERROR(INDEX(MMWR_RATING_STATE_ROLLUP_PMC[],MATCH($B39,MMWR_RATING_STATE_ROLLUP_PMC[MMWR_RATING_STATE_ROLLUP_PMC],0),MATCH(H$9,MMWR_RATING_STATE_ROLLUP_PMC[#Headers],0)),"ERROR"))</f>
        <v>64.965116279100002</v>
      </c>
      <c r="I39" s="156">
        <f>IF($B39=" ","",IFERROR(INDEX(MMWR_RATING_STATE_ROLLUP_PMC[],MATCH($B39,MMWR_RATING_STATE_ROLLUP_PMC[MMWR_RATING_STATE_ROLLUP_PMC],0),MATCH(I$9,MMWR_RATING_STATE_ROLLUP_PMC[#Headers],0)),"ERROR"))</f>
        <v>69.880541871899993</v>
      </c>
      <c r="J39" s="42"/>
      <c r="K39" s="42"/>
      <c r="L39" s="42"/>
      <c r="M39" s="42"/>
      <c r="N39" s="28"/>
    </row>
    <row r="40" spans="1:14" x14ac:dyDescent="0.2">
      <c r="A40" s="25"/>
      <c r="B40" s="8" t="str">
        <f>VLOOKUP($B$15,DISTRICT_STATES[],8,0)</f>
        <v>New Hampshire</v>
      </c>
      <c r="C40" s="155">
        <f>IF($B40=" ","",IFERROR(INDEX(MMWR_RATING_STATE_ROLLUP_PMC[],MATCH($B40,MMWR_RATING_STATE_ROLLUP_PMC[MMWR_RATING_STATE_ROLLUP_PMC],0),MATCH(C$9,MMWR_RATING_STATE_ROLLUP_PMC[#Headers],0)),"ERROR"))</f>
        <v>58</v>
      </c>
      <c r="D40" s="156">
        <f>IF($B40=" ","",IFERROR(INDEX(MMWR_RATING_STATE_ROLLUP_PMC[],MATCH($B40,MMWR_RATING_STATE_ROLLUP_PMC[MMWR_RATING_STATE_ROLLUP_PMC],0),MATCH(D$9,MMWR_RATING_STATE_ROLLUP_PMC[#Headers],0)),"ERROR"))</f>
        <v>68.431034482800001</v>
      </c>
      <c r="E40" s="157">
        <f>IF($B40=" ","",IFERROR(INDEX(MMWR_RATING_STATE_ROLLUP_PMC[],MATCH($B40,MMWR_RATING_STATE_ROLLUP_PMC[MMWR_RATING_STATE_ROLLUP_PMC],0),MATCH(E$9,MMWR_RATING_STATE_ROLLUP_PMC[#Headers],0))/$C40,"ERROR"))</f>
        <v>0.1206896551724138</v>
      </c>
      <c r="F40" s="155">
        <f>IF($B40=" ","",IFERROR(INDEX(MMWR_RATING_STATE_ROLLUP_PMC[],MATCH($B40,MMWR_RATING_STATE_ROLLUP_PMC[MMWR_RATING_STATE_ROLLUP_PMC],0),MATCH(F$9,MMWR_RATING_STATE_ROLLUP_PMC[#Headers],0)),"ERROR"))</f>
        <v>23</v>
      </c>
      <c r="G40" s="155">
        <f>IF($B40=" ","",IFERROR(INDEX(MMWR_RATING_STATE_ROLLUP_PMC[],MATCH($B40,MMWR_RATING_STATE_ROLLUP_PMC[MMWR_RATING_STATE_ROLLUP_PMC],0),MATCH(G$9,MMWR_RATING_STATE_ROLLUP_PMC[#Headers],0)),"ERROR"))</f>
        <v>458</v>
      </c>
      <c r="H40" s="156">
        <f>IF($B40=" ","",IFERROR(INDEX(MMWR_RATING_STATE_ROLLUP_PMC[],MATCH($B40,MMWR_RATING_STATE_ROLLUP_PMC[MMWR_RATING_STATE_ROLLUP_PMC],0),MATCH(H$9,MMWR_RATING_STATE_ROLLUP_PMC[#Headers],0)),"ERROR"))</f>
        <v>85.434782608700004</v>
      </c>
      <c r="I40" s="156">
        <f>IF($B40=" ","",IFERROR(INDEX(MMWR_RATING_STATE_ROLLUP_PMC[],MATCH($B40,MMWR_RATING_STATE_ROLLUP_PMC[MMWR_RATING_STATE_ROLLUP_PMC],0),MATCH(I$9,MMWR_RATING_STATE_ROLLUP_PMC[#Headers],0)),"ERROR"))</f>
        <v>73.742358078600006</v>
      </c>
      <c r="J40" s="42"/>
      <c r="K40" s="42"/>
      <c r="L40" s="42"/>
      <c r="M40" s="42"/>
      <c r="N40" s="28"/>
    </row>
    <row r="41" spans="1:14" x14ac:dyDescent="0.2">
      <c r="A41" s="25"/>
      <c r="B41" s="8" t="str">
        <f>VLOOKUP($B$15,DISTRICT_STATES[],9,0)</f>
        <v>New Jersey</v>
      </c>
      <c r="C41" s="155">
        <f>IF($B41=" ","",IFERROR(INDEX(MMWR_RATING_STATE_ROLLUP_PMC[],MATCH($B41,MMWR_RATING_STATE_ROLLUP_PMC[MMWR_RATING_STATE_ROLLUP_PMC],0),MATCH(C$9,MMWR_RATING_STATE_ROLLUP_PMC[#Headers],0)),"ERROR"))</f>
        <v>293</v>
      </c>
      <c r="D41" s="156">
        <f>IF($B41=" ","",IFERROR(INDEX(MMWR_RATING_STATE_ROLLUP_PMC[],MATCH($B41,MMWR_RATING_STATE_ROLLUP_PMC[MMWR_RATING_STATE_ROLLUP_PMC],0),MATCH(D$9,MMWR_RATING_STATE_ROLLUP_PMC[#Headers],0)),"ERROR"))</f>
        <v>66.385665528999994</v>
      </c>
      <c r="E41" s="157">
        <f>IF($B41=" ","",IFERROR(INDEX(MMWR_RATING_STATE_ROLLUP_PMC[],MATCH($B41,MMWR_RATING_STATE_ROLLUP_PMC[MMWR_RATING_STATE_ROLLUP_PMC],0),MATCH(E$9,MMWR_RATING_STATE_ROLLUP_PMC[#Headers],0))/$C41,"ERROR"))</f>
        <v>0.10238907849829351</v>
      </c>
      <c r="F41" s="155">
        <f>IF($B41=" ","",IFERROR(INDEX(MMWR_RATING_STATE_ROLLUP_PMC[],MATCH($B41,MMWR_RATING_STATE_ROLLUP_PMC[MMWR_RATING_STATE_ROLLUP_PMC],0),MATCH(F$9,MMWR_RATING_STATE_ROLLUP_PMC[#Headers],0)),"ERROR"))</f>
        <v>115</v>
      </c>
      <c r="G41" s="155">
        <f>IF($B41=" ","",IFERROR(INDEX(MMWR_RATING_STATE_ROLLUP_PMC[],MATCH($B41,MMWR_RATING_STATE_ROLLUP_PMC[MMWR_RATING_STATE_ROLLUP_PMC],0),MATCH(G$9,MMWR_RATING_STATE_ROLLUP_PMC[#Headers],0)),"ERROR"))</f>
        <v>2047</v>
      </c>
      <c r="H41" s="156">
        <f>IF($B41=" ","",IFERROR(INDEX(MMWR_RATING_STATE_ROLLUP_PMC[],MATCH($B41,MMWR_RATING_STATE_ROLLUP_PMC[MMWR_RATING_STATE_ROLLUP_PMC],0),MATCH(H$9,MMWR_RATING_STATE_ROLLUP_PMC[#Headers],0)),"ERROR"))</f>
        <v>83.182608695699997</v>
      </c>
      <c r="I41" s="156">
        <f>IF($B41=" ","",IFERROR(INDEX(MMWR_RATING_STATE_ROLLUP_PMC[],MATCH($B41,MMWR_RATING_STATE_ROLLUP_PMC[MMWR_RATING_STATE_ROLLUP_PMC],0),MATCH(I$9,MMWR_RATING_STATE_ROLLUP_PMC[#Headers],0)),"ERROR"))</f>
        <v>79.352222764999993</v>
      </c>
      <c r="J41" s="42"/>
      <c r="K41" s="42"/>
      <c r="L41" s="42"/>
      <c r="M41" s="42"/>
      <c r="N41" s="28"/>
    </row>
    <row r="42" spans="1:14" x14ac:dyDescent="0.2">
      <c r="A42" s="25"/>
      <c r="B42" s="8" t="str">
        <f>VLOOKUP($B$15,DISTRICT_STATES[],10,0)</f>
        <v>New York</v>
      </c>
      <c r="C42" s="155">
        <f>IF($B42=" ","",IFERROR(INDEX(MMWR_RATING_STATE_ROLLUP_PMC[],MATCH($B42,MMWR_RATING_STATE_ROLLUP_PMC[MMWR_RATING_STATE_ROLLUP_PMC],0),MATCH(C$9,MMWR_RATING_STATE_ROLLUP_PMC[#Headers],0)),"ERROR"))</f>
        <v>678</v>
      </c>
      <c r="D42" s="156">
        <f>IF($B42=" ","",IFERROR(INDEX(MMWR_RATING_STATE_ROLLUP_PMC[],MATCH($B42,MMWR_RATING_STATE_ROLLUP_PMC[MMWR_RATING_STATE_ROLLUP_PMC],0),MATCH(D$9,MMWR_RATING_STATE_ROLLUP_PMC[#Headers],0)),"ERROR"))</f>
        <v>70.373156342200005</v>
      </c>
      <c r="E42" s="157">
        <f>IF($B42=" ","",IFERROR(INDEX(MMWR_RATING_STATE_ROLLUP_PMC[],MATCH($B42,MMWR_RATING_STATE_ROLLUP_PMC[MMWR_RATING_STATE_ROLLUP_PMC],0),MATCH(E$9,MMWR_RATING_STATE_ROLLUP_PMC[#Headers],0))/$C42,"ERROR"))</f>
        <v>0.10766961651917405</v>
      </c>
      <c r="F42" s="155">
        <f>IF($B42=" ","",IFERROR(INDEX(MMWR_RATING_STATE_ROLLUP_PMC[],MATCH($B42,MMWR_RATING_STATE_ROLLUP_PMC[MMWR_RATING_STATE_ROLLUP_PMC],0),MATCH(F$9,MMWR_RATING_STATE_ROLLUP_PMC[#Headers],0)),"ERROR"))</f>
        <v>274</v>
      </c>
      <c r="G42" s="155">
        <f>IF($B42=" ","",IFERROR(INDEX(MMWR_RATING_STATE_ROLLUP_PMC[],MATCH($B42,MMWR_RATING_STATE_ROLLUP_PMC[MMWR_RATING_STATE_ROLLUP_PMC],0),MATCH(G$9,MMWR_RATING_STATE_ROLLUP_PMC[#Headers],0)),"ERROR"))</f>
        <v>4910</v>
      </c>
      <c r="H42" s="156">
        <f>IF($B42=" ","",IFERROR(INDEX(MMWR_RATING_STATE_ROLLUP_PMC[],MATCH($B42,MMWR_RATING_STATE_ROLLUP_PMC[MMWR_RATING_STATE_ROLLUP_PMC],0),MATCH(H$9,MMWR_RATING_STATE_ROLLUP_PMC[#Headers],0)),"ERROR"))</f>
        <v>77.383211678799995</v>
      </c>
      <c r="I42" s="156">
        <f>IF($B42=" ","",IFERROR(INDEX(MMWR_RATING_STATE_ROLLUP_PMC[],MATCH($B42,MMWR_RATING_STATE_ROLLUP_PMC[MMWR_RATING_STATE_ROLLUP_PMC],0),MATCH(I$9,MMWR_RATING_STATE_ROLLUP_PMC[#Headers],0)),"ERROR"))</f>
        <v>70.569246435799997</v>
      </c>
      <c r="J42" s="42"/>
      <c r="K42" s="42"/>
      <c r="L42" s="42"/>
      <c r="M42" s="42"/>
      <c r="N42" s="28"/>
    </row>
    <row r="43" spans="1:14" x14ac:dyDescent="0.2">
      <c r="A43" s="25"/>
      <c r="B43" s="8" t="str">
        <f>VLOOKUP($B$15,DISTRICT_STATES[],11,0)</f>
        <v>North Carolina</v>
      </c>
      <c r="C43" s="155">
        <f>IF($B43=" ","",IFERROR(INDEX(MMWR_RATING_STATE_ROLLUP_PMC[],MATCH($B43,MMWR_RATING_STATE_ROLLUP_PMC[MMWR_RATING_STATE_ROLLUP_PMC],0),MATCH(C$9,MMWR_RATING_STATE_ROLLUP_PMC[#Headers],0)),"ERROR"))</f>
        <v>686</v>
      </c>
      <c r="D43" s="156">
        <f>IF($B43=" ","",IFERROR(INDEX(MMWR_RATING_STATE_ROLLUP_PMC[],MATCH($B43,MMWR_RATING_STATE_ROLLUP_PMC[MMWR_RATING_STATE_ROLLUP_PMC],0),MATCH(D$9,MMWR_RATING_STATE_ROLLUP_PMC[#Headers],0)),"ERROR"))</f>
        <v>68.903790087499999</v>
      </c>
      <c r="E43" s="157">
        <f>IF($B43=" ","",IFERROR(INDEX(MMWR_RATING_STATE_ROLLUP_PMC[],MATCH($B43,MMWR_RATING_STATE_ROLLUP_PMC[MMWR_RATING_STATE_ROLLUP_PMC],0),MATCH(E$9,MMWR_RATING_STATE_ROLLUP_PMC[#Headers],0))/$C43,"ERROR"))</f>
        <v>0.12244897959183673</v>
      </c>
      <c r="F43" s="155">
        <f>IF($B43=" ","",IFERROR(INDEX(MMWR_RATING_STATE_ROLLUP_PMC[],MATCH($B43,MMWR_RATING_STATE_ROLLUP_PMC[MMWR_RATING_STATE_ROLLUP_PMC],0),MATCH(F$9,MMWR_RATING_STATE_ROLLUP_PMC[#Headers],0)),"ERROR"))</f>
        <v>292</v>
      </c>
      <c r="G43" s="155">
        <f>IF($B43=" ","",IFERROR(INDEX(MMWR_RATING_STATE_ROLLUP_PMC[],MATCH($B43,MMWR_RATING_STATE_ROLLUP_PMC[MMWR_RATING_STATE_ROLLUP_PMC],0),MATCH(G$9,MMWR_RATING_STATE_ROLLUP_PMC[#Headers],0)),"ERROR"))</f>
        <v>5288</v>
      </c>
      <c r="H43" s="156">
        <f>IF($B43=" ","",IFERROR(INDEX(MMWR_RATING_STATE_ROLLUP_PMC[],MATCH($B43,MMWR_RATING_STATE_ROLLUP_PMC[MMWR_RATING_STATE_ROLLUP_PMC],0),MATCH(H$9,MMWR_RATING_STATE_ROLLUP_PMC[#Headers],0)),"ERROR"))</f>
        <v>70.205479452099993</v>
      </c>
      <c r="I43" s="156">
        <f>IF($B43=" ","",IFERROR(INDEX(MMWR_RATING_STATE_ROLLUP_PMC[],MATCH($B43,MMWR_RATING_STATE_ROLLUP_PMC[MMWR_RATING_STATE_ROLLUP_PMC],0),MATCH(I$9,MMWR_RATING_STATE_ROLLUP_PMC[#Headers],0)),"ERROR"))</f>
        <v>75.873108925899999</v>
      </c>
      <c r="J43" s="42"/>
      <c r="K43" s="42"/>
      <c r="L43" s="42"/>
      <c r="M43" s="42"/>
      <c r="N43" s="28"/>
    </row>
    <row r="44" spans="1:14" x14ac:dyDescent="0.2">
      <c r="A44" s="25"/>
      <c r="B44" s="8" t="str">
        <f>VLOOKUP($B$15,DISTRICT_STATES[],12,0)</f>
        <v>Pennsylvania</v>
      </c>
      <c r="C44" s="155">
        <f>IF($B44=" ","",IFERROR(INDEX(MMWR_RATING_STATE_ROLLUP_PMC[],MATCH($B44,MMWR_RATING_STATE_ROLLUP_PMC[MMWR_RATING_STATE_ROLLUP_PMC],0),MATCH(C$9,MMWR_RATING_STATE_ROLLUP_PMC[#Headers],0)),"ERROR"))</f>
        <v>813</v>
      </c>
      <c r="D44" s="156">
        <f>IF($B44=" ","",IFERROR(INDEX(MMWR_RATING_STATE_ROLLUP_PMC[],MATCH($B44,MMWR_RATING_STATE_ROLLUP_PMC[MMWR_RATING_STATE_ROLLUP_PMC],0),MATCH(D$9,MMWR_RATING_STATE_ROLLUP_PMC[#Headers],0)),"ERROR"))</f>
        <v>64.633456334599998</v>
      </c>
      <c r="E44" s="157">
        <f>IF($B44=" ","",IFERROR(INDEX(MMWR_RATING_STATE_ROLLUP_PMC[],MATCH($B44,MMWR_RATING_STATE_ROLLUP_PMC[MMWR_RATING_STATE_ROLLUP_PMC],0),MATCH(E$9,MMWR_RATING_STATE_ROLLUP_PMC[#Headers],0))/$C44,"ERROR"))</f>
        <v>9.5940959409594101E-2</v>
      </c>
      <c r="F44" s="155">
        <f>IF($B44=" ","",IFERROR(INDEX(MMWR_RATING_STATE_ROLLUP_PMC[],MATCH($B44,MMWR_RATING_STATE_ROLLUP_PMC[MMWR_RATING_STATE_ROLLUP_PMC],0),MATCH(F$9,MMWR_RATING_STATE_ROLLUP_PMC[#Headers],0)),"ERROR"))</f>
        <v>350</v>
      </c>
      <c r="G44" s="155">
        <f>IF($B44=" ","",IFERROR(INDEX(MMWR_RATING_STATE_ROLLUP_PMC[],MATCH($B44,MMWR_RATING_STATE_ROLLUP_PMC[MMWR_RATING_STATE_ROLLUP_PMC],0),MATCH(G$9,MMWR_RATING_STATE_ROLLUP_PMC[#Headers],0)),"ERROR"))</f>
        <v>5871</v>
      </c>
      <c r="H44" s="156">
        <f>IF($B44=" ","",IFERROR(INDEX(MMWR_RATING_STATE_ROLLUP_PMC[],MATCH($B44,MMWR_RATING_STATE_ROLLUP_PMC[MMWR_RATING_STATE_ROLLUP_PMC],0),MATCH(H$9,MMWR_RATING_STATE_ROLLUP_PMC[#Headers],0)),"ERROR"))</f>
        <v>72.739999999999995</v>
      </c>
      <c r="I44" s="156">
        <f>IF($B44=" ","",IFERROR(INDEX(MMWR_RATING_STATE_ROLLUP_PMC[],MATCH($B44,MMWR_RATING_STATE_ROLLUP_PMC[MMWR_RATING_STATE_ROLLUP_PMC],0),MATCH(I$9,MMWR_RATING_STATE_ROLLUP_PMC[#Headers],0)),"ERROR"))</f>
        <v>68.983137455299996</v>
      </c>
      <c r="J44" s="42"/>
      <c r="K44" s="42"/>
      <c r="L44" s="42"/>
      <c r="M44" s="42"/>
      <c r="N44" s="28"/>
    </row>
    <row r="45" spans="1:14" x14ac:dyDescent="0.2">
      <c r="A45" s="25"/>
      <c r="B45" s="8" t="str">
        <f>VLOOKUP($B$15,DISTRICT_STATES[],13,0)</f>
        <v>Rhode Island</v>
      </c>
      <c r="C45" s="155">
        <f>IF($B45=" ","",IFERROR(INDEX(MMWR_RATING_STATE_ROLLUP_PMC[],MATCH($B45,MMWR_RATING_STATE_ROLLUP_PMC[MMWR_RATING_STATE_ROLLUP_PMC],0),MATCH(C$9,MMWR_RATING_STATE_ROLLUP_PMC[#Headers],0)),"ERROR"))</f>
        <v>75</v>
      </c>
      <c r="D45" s="156">
        <f>IF($B45=" ","",IFERROR(INDEX(MMWR_RATING_STATE_ROLLUP_PMC[],MATCH($B45,MMWR_RATING_STATE_ROLLUP_PMC[MMWR_RATING_STATE_ROLLUP_PMC],0),MATCH(D$9,MMWR_RATING_STATE_ROLLUP_PMC[#Headers],0)),"ERROR"))</f>
        <v>67.106666666699994</v>
      </c>
      <c r="E45" s="157">
        <f>IF($B45=" ","",IFERROR(INDEX(MMWR_RATING_STATE_ROLLUP_PMC[],MATCH($B45,MMWR_RATING_STATE_ROLLUP_PMC[MMWR_RATING_STATE_ROLLUP_PMC],0),MATCH(E$9,MMWR_RATING_STATE_ROLLUP_PMC[#Headers],0))/$C45,"ERROR"))</f>
        <v>0.08</v>
      </c>
      <c r="F45" s="155">
        <f>IF($B45=" ","",IFERROR(INDEX(MMWR_RATING_STATE_ROLLUP_PMC[],MATCH($B45,MMWR_RATING_STATE_ROLLUP_PMC[MMWR_RATING_STATE_ROLLUP_PMC],0),MATCH(F$9,MMWR_RATING_STATE_ROLLUP_PMC[#Headers],0)),"ERROR"))</f>
        <v>23</v>
      </c>
      <c r="G45" s="155">
        <f>IF($B45=" ","",IFERROR(INDEX(MMWR_RATING_STATE_ROLLUP_PMC[],MATCH($B45,MMWR_RATING_STATE_ROLLUP_PMC[MMWR_RATING_STATE_ROLLUP_PMC],0),MATCH(G$9,MMWR_RATING_STATE_ROLLUP_PMC[#Headers],0)),"ERROR"))</f>
        <v>363</v>
      </c>
      <c r="H45" s="156">
        <f>IF($B45=" ","",IFERROR(INDEX(MMWR_RATING_STATE_ROLLUP_PMC[],MATCH($B45,MMWR_RATING_STATE_ROLLUP_PMC[MMWR_RATING_STATE_ROLLUP_PMC],0),MATCH(H$9,MMWR_RATING_STATE_ROLLUP_PMC[#Headers],0)),"ERROR"))</f>
        <v>70.956521739099998</v>
      </c>
      <c r="I45" s="156">
        <f>IF($B45=" ","",IFERROR(INDEX(MMWR_RATING_STATE_ROLLUP_PMC[],MATCH($B45,MMWR_RATING_STATE_ROLLUP_PMC[MMWR_RATING_STATE_ROLLUP_PMC],0),MATCH(I$9,MMWR_RATING_STATE_ROLLUP_PMC[#Headers],0)),"ERROR"))</f>
        <v>68.6639118457</v>
      </c>
      <c r="J45" s="42"/>
      <c r="K45" s="42"/>
      <c r="L45" s="42"/>
      <c r="M45" s="42"/>
      <c r="N45" s="28"/>
    </row>
    <row r="46" spans="1:14" x14ac:dyDescent="0.2">
      <c r="A46" s="25"/>
      <c r="B46" s="8" t="str">
        <f>VLOOKUP($B$15,DISTRICT_STATES[],14,0)</f>
        <v>Vermont</v>
      </c>
      <c r="C46" s="155">
        <f>IF($B46=" ","",IFERROR(INDEX(MMWR_RATING_STATE_ROLLUP_PMC[],MATCH($B46,MMWR_RATING_STATE_ROLLUP_PMC[MMWR_RATING_STATE_ROLLUP_PMC],0),MATCH(C$9,MMWR_RATING_STATE_ROLLUP_PMC[#Headers],0)),"ERROR"))</f>
        <v>16</v>
      </c>
      <c r="D46" s="156">
        <f>IF($B46=" ","",IFERROR(INDEX(MMWR_RATING_STATE_ROLLUP_PMC[],MATCH($B46,MMWR_RATING_STATE_ROLLUP_PMC[MMWR_RATING_STATE_ROLLUP_PMC],0),MATCH(D$9,MMWR_RATING_STATE_ROLLUP_PMC[#Headers],0)),"ERROR"))</f>
        <v>74.1875</v>
      </c>
      <c r="E46" s="157">
        <f>IF($B46=" ","",IFERROR(INDEX(MMWR_RATING_STATE_ROLLUP_PMC[],MATCH($B46,MMWR_RATING_STATE_ROLLUP_PMC[MMWR_RATING_STATE_ROLLUP_PMC],0),MATCH(E$9,MMWR_RATING_STATE_ROLLUP_PMC[#Headers],0))/$C46,"ERROR"))</f>
        <v>0.1875</v>
      </c>
      <c r="F46" s="155">
        <f>IF($B46=" ","",IFERROR(INDEX(MMWR_RATING_STATE_ROLLUP_PMC[],MATCH($B46,MMWR_RATING_STATE_ROLLUP_PMC[MMWR_RATING_STATE_ROLLUP_PMC],0),MATCH(F$9,MMWR_RATING_STATE_ROLLUP_PMC[#Headers],0)),"ERROR"))</f>
        <v>6</v>
      </c>
      <c r="G46" s="155">
        <f>IF($B46=" ","",IFERROR(INDEX(MMWR_RATING_STATE_ROLLUP_PMC[],MATCH($B46,MMWR_RATING_STATE_ROLLUP_PMC[MMWR_RATING_STATE_ROLLUP_PMC],0),MATCH(G$9,MMWR_RATING_STATE_ROLLUP_PMC[#Headers],0)),"ERROR"))</f>
        <v>131</v>
      </c>
      <c r="H46" s="156">
        <f>IF($B46=" ","",IFERROR(INDEX(MMWR_RATING_STATE_ROLLUP_PMC[],MATCH($B46,MMWR_RATING_STATE_ROLLUP_PMC[MMWR_RATING_STATE_ROLLUP_PMC],0),MATCH(H$9,MMWR_RATING_STATE_ROLLUP_PMC[#Headers],0)),"ERROR"))</f>
        <v>98.166666666699996</v>
      </c>
      <c r="I46" s="156">
        <f>IF($B46=" ","",IFERROR(INDEX(MMWR_RATING_STATE_ROLLUP_PMC[],MATCH($B46,MMWR_RATING_STATE_ROLLUP_PMC[MMWR_RATING_STATE_ROLLUP_PMC],0),MATCH(I$9,MMWR_RATING_STATE_ROLLUP_PMC[#Headers],0)),"ERROR"))</f>
        <v>85.618320610699996</v>
      </c>
      <c r="J46" s="42"/>
      <c r="K46" s="42"/>
      <c r="L46" s="42"/>
      <c r="M46" s="42"/>
      <c r="N46" s="28"/>
    </row>
    <row r="47" spans="1:14" x14ac:dyDescent="0.2">
      <c r="A47" s="25"/>
      <c r="B47" s="8" t="str">
        <f>VLOOKUP($B$15,DISTRICT_STATES[],15,0)</f>
        <v>Virginia</v>
      </c>
      <c r="C47" s="155">
        <f>IF($B47=" ","",IFERROR(INDEX(MMWR_RATING_STATE_ROLLUP_PMC[],MATCH($B47,MMWR_RATING_STATE_ROLLUP_PMC[MMWR_RATING_STATE_ROLLUP_PMC],0),MATCH(C$9,MMWR_RATING_STATE_ROLLUP_PMC[#Headers],0)),"ERROR"))</f>
        <v>500</v>
      </c>
      <c r="D47" s="156">
        <f>IF($B47=" ","",IFERROR(INDEX(MMWR_RATING_STATE_ROLLUP_PMC[],MATCH($B47,MMWR_RATING_STATE_ROLLUP_PMC[MMWR_RATING_STATE_ROLLUP_PMC],0),MATCH(D$9,MMWR_RATING_STATE_ROLLUP_PMC[#Headers],0)),"ERROR"))</f>
        <v>73.66</v>
      </c>
      <c r="E47" s="157">
        <f>IF($B47=" ","",IFERROR(INDEX(MMWR_RATING_STATE_ROLLUP_PMC[],MATCH($B47,MMWR_RATING_STATE_ROLLUP_PMC[MMWR_RATING_STATE_ROLLUP_PMC],0),MATCH(E$9,MMWR_RATING_STATE_ROLLUP_PMC[#Headers],0))/$C47,"ERROR"))</f>
        <v>0.13200000000000001</v>
      </c>
      <c r="F47" s="155">
        <f>IF($B47=" ","",IFERROR(INDEX(MMWR_RATING_STATE_ROLLUP_PMC[],MATCH($B47,MMWR_RATING_STATE_ROLLUP_PMC[MMWR_RATING_STATE_ROLLUP_PMC],0),MATCH(F$9,MMWR_RATING_STATE_ROLLUP_PMC[#Headers],0)),"ERROR"))</f>
        <v>192</v>
      </c>
      <c r="G47" s="155">
        <f>IF($B47=" ","",IFERROR(INDEX(MMWR_RATING_STATE_ROLLUP_PMC[],MATCH($B47,MMWR_RATING_STATE_ROLLUP_PMC[MMWR_RATING_STATE_ROLLUP_PMC],0),MATCH(G$9,MMWR_RATING_STATE_ROLLUP_PMC[#Headers],0)),"ERROR"))</f>
        <v>3279</v>
      </c>
      <c r="H47" s="156">
        <f>IF($B47=" ","",IFERROR(INDEX(MMWR_RATING_STATE_ROLLUP_PMC[],MATCH($B47,MMWR_RATING_STATE_ROLLUP_PMC[MMWR_RATING_STATE_ROLLUP_PMC],0),MATCH(H$9,MMWR_RATING_STATE_ROLLUP_PMC[#Headers],0)),"ERROR"))</f>
        <v>67.546875</v>
      </c>
      <c r="I47" s="156">
        <f>IF($B47=" ","",IFERROR(INDEX(MMWR_RATING_STATE_ROLLUP_PMC[],MATCH($B47,MMWR_RATING_STATE_ROLLUP_PMC[MMWR_RATING_STATE_ROLLUP_PMC],0),MATCH(I$9,MMWR_RATING_STATE_ROLLUP_PMC[#Headers],0)),"ERROR"))</f>
        <v>80.266849649299999</v>
      </c>
      <c r="J47" s="42"/>
      <c r="K47" s="42"/>
      <c r="L47" s="42"/>
      <c r="M47" s="42"/>
      <c r="N47" s="28"/>
    </row>
    <row r="48" spans="1:14" x14ac:dyDescent="0.2">
      <c r="A48" s="25"/>
      <c r="B48" s="8" t="str">
        <f>VLOOKUP($B$15,DISTRICT_STATES[],16,0)</f>
        <v>West Virginia</v>
      </c>
      <c r="C48" s="155">
        <f>IF($B48=" ","",IFERROR(INDEX(MMWR_RATING_STATE_ROLLUP_PMC[],MATCH($B48,MMWR_RATING_STATE_ROLLUP_PMC[MMWR_RATING_STATE_ROLLUP_PMC],0),MATCH(C$9,MMWR_RATING_STATE_ROLLUP_PMC[#Headers],0)),"ERROR"))</f>
        <v>149</v>
      </c>
      <c r="D48" s="156">
        <f>IF($B48=" ","",IFERROR(INDEX(MMWR_RATING_STATE_ROLLUP_PMC[],MATCH($B48,MMWR_RATING_STATE_ROLLUP_PMC[MMWR_RATING_STATE_ROLLUP_PMC],0),MATCH(D$9,MMWR_RATING_STATE_ROLLUP_PMC[#Headers],0)),"ERROR"))</f>
        <v>68.375838926200004</v>
      </c>
      <c r="E48" s="157">
        <f>IF($B48=" ","",IFERROR(INDEX(MMWR_RATING_STATE_ROLLUP_PMC[],MATCH($B48,MMWR_RATING_STATE_ROLLUP_PMC[MMWR_RATING_STATE_ROLLUP_PMC],0),MATCH(E$9,MMWR_RATING_STATE_ROLLUP_PMC[#Headers],0))/$C48,"ERROR"))</f>
        <v>0.10738255033557047</v>
      </c>
      <c r="F48" s="155">
        <f>IF($B48=" ","",IFERROR(INDEX(MMWR_RATING_STATE_ROLLUP_PMC[],MATCH($B48,MMWR_RATING_STATE_ROLLUP_PMC[MMWR_RATING_STATE_ROLLUP_PMC],0),MATCH(F$9,MMWR_RATING_STATE_ROLLUP_PMC[#Headers],0)),"ERROR"))</f>
        <v>61</v>
      </c>
      <c r="G48" s="155">
        <f>IF($B48=" ","",IFERROR(INDEX(MMWR_RATING_STATE_ROLLUP_PMC[],MATCH($B48,MMWR_RATING_STATE_ROLLUP_PMC[MMWR_RATING_STATE_ROLLUP_PMC],0),MATCH(G$9,MMWR_RATING_STATE_ROLLUP_PMC[#Headers],0)),"ERROR"))</f>
        <v>958</v>
      </c>
      <c r="H48" s="156">
        <f>IF($B48=" ","",IFERROR(INDEX(MMWR_RATING_STATE_ROLLUP_PMC[],MATCH($B48,MMWR_RATING_STATE_ROLLUP_PMC[MMWR_RATING_STATE_ROLLUP_PMC],0),MATCH(H$9,MMWR_RATING_STATE_ROLLUP_PMC[#Headers],0)),"ERROR"))</f>
        <v>83.655737704900005</v>
      </c>
      <c r="I48" s="156">
        <f>IF($B48=" ","",IFERROR(INDEX(MMWR_RATING_STATE_ROLLUP_PMC[],MATCH($B48,MMWR_RATING_STATE_ROLLUP_PMC[MMWR_RATING_STATE_ROLLUP_PMC],0),MATCH(I$9,MMWR_RATING_STATE_ROLLUP_PMC[#Headers],0)),"ERROR"))</f>
        <v>77.829853862199997</v>
      </c>
      <c r="J48" s="42"/>
      <c r="K48" s="42"/>
      <c r="L48" s="42"/>
      <c r="M48" s="42"/>
      <c r="N48" s="28"/>
    </row>
    <row r="49" spans="1:14" x14ac:dyDescent="0.2">
      <c r="A49" s="25"/>
      <c r="B49" s="377" t="s">
        <v>1048</v>
      </c>
      <c r="C49" s="378"/>
      <c r="D49" s="378"/>
      <c r="E49" s="378"/>
      <c r="F49" s="378"/>
      <c r="G49" s="378"/>
      <c r="H49" s="378"/>
      <c r="I49" s="378"/>
      <c r="J49" s="378"/>
      <c r="K49" s="378"/>
      <c r="L49" s="378"/>
      <c r="M49" s="387"/>
      <c r="N49" s="28"/>
    </row>
    <row r="50" spans="1:14" x14ac:dyDescent="0.2">
      <c r="A50" s="25"/>
      <c r="B50" s="41" t="s">
        <v>1047</v>
      </c>
      <c r="C50" s="155">
        <f>IF($B50=" ","",IFERROR(INDEX(MMWR_RATING_STATE_ROLLUP_QST[],MATCH($B50,MMWR_RATING_STATE_ROLLUP_QST[MMWR_RATING_STATE_ROLLUP_QST],0),MATCH(C$9,MMWR_RATING_STATE_ROLLUP_QST[#Headers],0)),"ERROR"))</f>
        <v>8986</v>
      </c>
      <c r="D50" s="156">
        <f>IF($B50=" ","",IFERROR(INDEX(MMWR_RATING_STATE_ROLLUP_QST[],MATCH($B50,MMWR_RATING_STATE_ROLLUP_QST[MMWR_RATING_STATE_ROLLUP_QST],0),MATCH(D$9,MMWR_RATING_STATE_ROLLUP_QST[#Headers],0)),"ERROR"))</f>
        <v>68.709325617600001</v>
      </c>
      <c r="E50" s="157">
        <f>IF($B50=" ","",IFERROR(INDEX(MMWR_RATING_STATE_ROLLUP_QST[],MATCH($B50,MMWR_RATING_STATE_ROLLUP_QST[MMWR_RATING_STATE_ROLLUP_QST],0),MATCH(E$9,MMWR_RATING_STATE_ROLLUP_QST[#Headers],0))/$C50,"ERROR"))</f>
        <v>0.11740485199198754</v>
      </c>
      <c r="F50" s="155">
        <f>IF($B50=" ","",IFERROR(INDEX(MMWR_RATING_STATE_ROLLUP_QST[],MATCH($B50,MMWR_RATING_STATE_ROLLUP_QST[MMWR_RATING_STATE_ROLLUP_QST],0),MATCH(F$9,MMWR_RATING_STATE_ROLLUP_QST[#Headers],0)),"ERROR"))</f>
        <v>956</v>
      </c>
      <c r="G50" s="155">
        <f>IF($B50=" ","",IFERROR(INDEX(MMWR_RATING_STATE_ROLLUP_QST[],MATCH($B50,MMWR_RATING_STATE_ROLLUP_QST[MMWR_RATING_STATE_ROLLUP_QST],0),MATCH(G$9,MMWR_RATING_STATE_ROLLUP_QST[#Headers],0)),"ERROR"))</f>
        <v>24692</v>
      </c>
      <c r="H50" s="156">
        <f>IF($B50=" ","",IFERROR(INDEX(MMWR_RATING_STATE_ROLLUP_QST[],MATCH($B50,MMWR_RATING_STATE_ROLLUP_QST[MMWR_RATING_STATE_ROLLUP_QST],0),MATCH(H$9,MMWR_RATING_STATE_ROLLUP_QST[#Headers],0)),"ERROR"))</f>
        <v>127.3953974895</v>
      </c>
      <c r="I50" s="156">
        <f>IF($B50=" ","",IFERROR(INDEX(MMWR_RATING_STATE_ROLLUP_QST[],MATCH($B50,MMWR_RATING_STATE_ROLLUP_QST[MMWR_RATING_STATE_ROLLUP_QST],0),MATCH(I$9,MMWR_RATING_STATE_ROLLUP_QST[#Headers],0)),"ERROR"))</f>
        <v>132.8043495869</v>
      </c>
      <c r="J50" s="42"/>
      <c r="K50" s="42"/>
      <c r="L50" s="42"/>
      <c r="M50" s="42"/>
      <c r="N50" s="28"/>
    </row>
    <row r="51" spans="1:14" x14ac:dyDescent="0.2">
      <c r="A51" s="25"/>
      <c r="B51" s="250" t="str">
        <f>INDEX(DISTRICT_STATES[],MATCH($B$5,DISTRICT_RO[District],0),1)</f>
        <v>North Atlantic</v>
      </c>
      <c r="C51" s="155">
        <f>IF($B51=" ","",IFERROR(INDEX(MMWR_RATING_STATE_ROLLUP_QST[],MATCH($B51,MMWR_RATING_STATE_ROLLUP_QST[MMWR_RATING_STATE_ROLLUP_QST],0),MATCH(C$9,MMWR_RATING_STATE_ROLLUP_QST[#Headers],0)),"ERROR"))</f>
        <v>2169</v>
      </c>
      <c r="D51" s="156">
        <f>IF($B51=" ","",IFERROR(INDEX(MMWR_RATING_STATE_ROLLUP_QST[],MATCH($B51,MMWR_RATING_STATE_ROLLUP_QST[MMWR_RATING_STATE_ROLLUP_QST],0),MATCH(D$9,MMWR_RATING_STATE_ROLLUP_QST[#Headers],0)),"ERROR"))</f>
        <v>70.042415859800002</v>
      </c>
      <c r="E51" s="157">
        <f>IF($B51=" ","",IFERROR(INDEX(MMWR_RATING_STATE_ROLLUP_QST[],MATCH($B51,MMWR_RATING_STATE_ROLLUP_QST[MMWR_RATING_STATE_ROLLUP_QST],0),MATCH(E$9,MMWR_RATING_STATE_ROLLUP_QST[#Headers],0))/$C51,"ERROR"))</f>
        <v>0.11756569847856155</v>
      </c>
      <c r="F51" s="155">
        <f>IF($B51=" ","",IFERROR(INDEX(MMWR_RATING_STATE_ROLLUP_QST[],MATCH($B51,MMWR_RATING_STATE_ROLLUP_QST[MMWR_RATING_STATE_ROLLUP_QST],0),MATCH(F$9,MMWR_RATING_STATE_ROLLUP_QST[#Headers],0)),"ERROR"))</f>
        <v>193</v>
      </c>
      <c r="G51" s="155">
        <f>IF($B51=" ","",IFERROR(INDEX(MMWR_RATING_STATE_ROLLUP_QST[],MATCH($B51,MMWR_RATING_STATE_ROLLUP_QST[MMWR_RATING_STATE_ROLLUP_QST],0),MATCH(G$9,MMWR_RATING_STATE_ROLLUP_QST[#Headers],0)),"ERROR"))</f>
        <v>5267</v>
      </c>
      <c r="H51" s="156">
        <f>IF($B51=" ","",IFERROR(INDEX(MMWR_RATING_STATE_ROLLUP_QST[],MATCH($B51,MMWR_RATING_STATE_ROLLUP_QST[MMWR_RATING_STATE_ROLLUP_QST],0),MATCH(H$9,MMWR_RATING_STATE_ROLLUP_QST[#Headers],0)),"ERROR"))</f>
        <v>144.26424870470001</v>
      </c>
      <c r="I51" s="156">
        <f>IF($B51=" ","",IFERROR(INDEX(MMWR_RATING_STATE_ROLLUP_QST[],MATCH($B51,MMWR_RATING_STATE_ROLLUP_QST[MMWR_RATING_STATE_ROLLUP_QST],0),MATCH(I$9,MMWR_RATING_STATE_ROLLUP_QST[#Headers],0)),"ERROR"))</f>
        <v>139.9506360357</v>
      </c>
      <c r="J51" s="42"/>
      <c r="K51" s="42"/>
      <c r="L51" s="42"/>
      <c r="M51" s="42"/>
      <c r="N51" s="28"/>
    </row>
    <row r="52" spans="1:14" x14ac:dyDescent="0.2">
      <c r="A52" s="25"/>
      <c r="B52" s="8" t="str">
        <f>VLOOKUP($B$15,DISTRICT_STATES[],2,0)</f>
        <v>Connecticut</v>
      </c>
      <c r="C52" s="155">
        <f>IF($B52=" ","",IFERROR(INDEX(MMWR_RATING_STATE_ROLLUP_QST[],MATCH($B52,MMWR_RATING_STATE_ROLLUP_QST[MMWR_RATING_STATE_ROLLUP_QST],0),MATCH(C$9,MMWR_RATING_STATE_ROLLUP_QST[#Headers],0)),"ERROR"))</f>
        <v>51</v>
      </c>
      <c r="D52" s="156">
        <f>IF($B52=" ","",IFERROR(INDEX(MMWR_RATING_STATE_ROLLUP_QST[],MATCH($B52,MMWR_RATING_STATE_ROLLUP_QST[MMWR_RATING_STATE_ROLLUP_QST],0),MATCH(D$9,MMWR_RATING_STATE_ROLLUP_QST[#Headers],0)),"ERROR"))</f>
        <v>59.588235294100002</v>
      </c>
      <c r="E52" s="157">
        <f>IF($B52=" ","",IFERROR(INDEX(MMWR_RATING_STATE_ROLLUP_QST[],MATCH($B52,MMWR_RATING_STATE_ROLLUP_QST[MMWR_RATING_STATE_ROLLUP_QST],0),MATCH(E$9,MMWR_RATING_STATE_ROLLUP_QST[#Headers],0))/$C52,"ERROR"))</f>
        <v>3.9215686274509803E-2</v>
      </c>
      <c r="F52" s="155">
        <f>IF($B52=" ","",IFERROR(INDEX(MMWR_RATING_STATE_ROLLUP_QST[],MATCH($B52,MMWR_RATING_STATE_ROLLUP_QST[MMWR_RATING_STATE_ROLLUP_QST],0),MATCH(F$9,MMWR_RATING_STATE_ROLLUP_QST[#Headers],0)),"ERROR"))</f>
        <v>2</v>
      </c>
      <c r="G52" s="155">
        <f>IF($B52=" ","",IFERROR(INDEX(MMWR_RATING_STATE_ROLLUP_QST[],MATCH($B52,MMWR_RATING_STATE_ROLLUP_QST[MMWR_RATING_STATE_ROLLUP_QST],0),MATCH(G$9,MMWR_RATING_STATE_ROLLUP_QST[#Headers],0)),"ERROR"))</f>
        <v>142</v>
      </c>
      <c r="H52" s="156">
        <f>IF($B52=" ","",IFERROR(INDEX(MMWR_RATING_STATE_ROLLUP_QST[],MATCH($B52,MMWR_RATING_STATE_ROLLUP_QST[MMWR_RATING_STATE_ROLLUP_QST],0),MATCH(H$9,MMWR_RATING_STATE_ROLLUP_QST[#Headers],0)),"ERROR"))</f>
        <v>93</v>
      </c>
      <c r="I52" s="156">
        <f>IF($B52=" ","",IFERROR(INDEX(MMWR_RATING_STATE_ROLLUP_QST[],MATCH($B52,MMWR_RATING_STATE_ROLLUP_QST[MMWR_RATING_STATE_ROLLUP_QST],0),MATCH(I$9,MMWR_RATING_STATE_ROLLUP_QST[#Headers],0)),"ERROR"))</f>
        <v>136.84507042249999</v>
      </c>
      <c r="J52" s="42"/>
      <c r="K52" s="42"/>
      <c r="L52" s="42"/>
      <c r="M52" s="42"/>
      <c r="N52" s="28"/>
    </row>
    <row r="53" spans="1:14" x14ac:dyDescent="0.2">
      <c r="A53" s="25"/>
      <c r="B53" s="8" t="str">
        <f>VLOOKUP($B$15,DISTRICT_STATES[],3,0)</f>
        <v>Delaware</v>
      </c>
      <c r="C53" s="155">
        <f>IF($B53=" ","",IFERROR(INDEX(MMWR_RATING_STATE_ROLLUP_QST[],MATCH($B53,MMWR_RATING_STATE_ROLLUP_QST[MMWR_RATING_STATE_ROLLUP_QST],0),MATCH(C$9,MMWR_RATING_STATE_ROLLUP_QST[#Headers],0)),"ERROR"))</f>
        <v>20</v>
      </c>
      <c r="D53" s="156">
        <f>IF($B53=" ","",IFERROR(INDEX(MMWR_RATING_STATE_ROLLUP_QST[],MATCH($B53,MMWR_RATING_STATE_ROLLUP_QST[MMWR_RATING_STATE_ROLLUP_QST],0),MATCH(D$9,MMWR_RATING_STATE_ROLLUP_QST[#Headers],0)),"ERROR"))</f>
        <v>68</v>
      </c>
      <c r="E53" s="157">
        <f>IF($B53=" ","",IFERROR(INDEX(MMWR_RATING_STATE_ROLLUP_QST[],MATCH($B53,MMWR_RATING_STATE_ROLLUP_QST[MMWR_RATING_STATE_ROLLUP_QST],0),MATCH(E$9,MMWR_RATING_STATE_ROLLUP_QST[#Headers],0))/$C53,"ERROR"))</f>
        <v>0.15</v>
      </c>
      <c r="F53" s="155">
        <f>IF($B53=" ","",IFERROR(INDEX(MMWR_RATING_STATE_ROLLUP_QST[],MATCH($B53,MMWR_RATING_STATE_ROLLUP_QST[MMWR_RATING_STATE_ROLLUP_QST],0),MATCH(F$9,MMWR_RATING_STATE_ROLLUP_QST[#Headers],0)),"ERROR"))</f>
        <v>0</v>
      </c>
      <c r="G53" s="155">
        <f>IF($B53=" ","",IFERROR(INDEX(MMWR_RATING_STATE_ROLLUP_QST[],MATCH($B53,MMWR_RATING_STATE_ROLLUP_QST[MMWR_RATING_STATE_ROLLUP_QST],0),MATCH(G$9,MMWR_RATING_STATE_ROLLUP_QST[#Headers],0)),"ERROR"))</f>
        <v>44</v>
      </c>
      <c r="H53" s="156">
        <f>IF($B53=" ","",IFERROR(INDEX(MMWR_RATING_STATE_ROLLUP_QST[],MATCH($B53,MMWR_RATING_STATE_ROLLUP_QST[MMWR_RATING_STATE_ROLLUP_QST],0),MATCH(H$9,MMWR_RATING_STATE_ROLLUP_QST[#Headers],0)),"ERROR"))</f>
        <v>0</v>
      </c>
      <c r="I53" s="156">
        <f>IF($B53=" ","",IFERROR(INDEX(MMWR_RATING_STATE_ROLLUP_QST[],MATCH($B53,MMWR_RATING_STATE_ROLLUP_QST[MMWR_RATING_STATE_ROLLUP_QST],0),MATCH(I$9,MMWR_RATING_STATE_ROLLUP_QST[#Headers],0)),"ERROR"))</f>
        <v>118.9772727273</v>
      </c>
      <c r="J53" s="42"/>
      <c r="K53" s="42"/>
      <c r="L53" s="42"/>
      <c r="M53" s="42"/>
      <c r="N53" s="28"/>
    </row>
    <row r="54" spans="1:14" x14ac:dyDescent="0.2">
      <c r="A54" s="25"/>
      <c r="B54" s="8" t="str">
        <f>VLOOKUP($B$15,DISTRICT_STATES[],4,0)</f>
        <v>District of Columbia</v>
      </c>
      <c r="C54" s="155">
        <f>IF($B54=" ","",IFERROR(INDEX(MMWR_RATING_STATE_ROLLUP_QST[],MATCH($B54,MMWR_RATING_STATE_ROLLUP_QST[MMWR_RATING_STATE_ROLLUP_QST],0),MATCH(C$9,MMWR_RATING_STATE_ROLLUP_QST[#Headers],0)),"ERROR"))</f>
        <v>20</v>
      </c>
      <c r="D54" s="156">
        <f>IF($B54=" ","",IFERROR(INDEX(MMWR_RATING_STATE_ROLLUP_QST[],MATCH($B54,MMWR_RATING_STATE_ROLLUP_QST[MMWR_RATING_STATE_ROLLUP_QST],0),MATCH(D$9,MMWR_RATING_STATE_ROLLUP_QST[#Headers],0)),"ERROR"))</f>
        <v>63.8</v>
      </c>
      <c r="E54" s="157">
        <f>IF($B54=" ","",IFERROR(INDEX(MMWR_RATING_STATE_ROLLUP_QST[],MATCH($B54,MMWR_RATING_STATE_ROLLUP_QST[MMWR_RATING_STATE_ROLLUP_QST],0),MATCH(E$9,MMWR_RATING_STATE_ROLLUP_QST[#Headers],0))/$C54,"ERROR"))</f>
        <v>0.15</v>
      </c>
      <c r="F54" s="155">
        <f>IF($B54=" ","",IFERROR(INDEX(MMWR_RATING_STATE_ROLLUP_QST[],MATCH($B54,MMWR_RATING_STATE_ROLLUP_QST[MMWR_RATING_STATE_ROLLUP_QST],0),MATCH(F$9,MMWR_RATING_STATE_ROLLUP_QST[#Headers],0)),"ERROR"))</f>
        <v>2</v>
      </c>
      <c r="G54" s="155">
        <f>IF($B54=" ","",IFERROR(INDEX(MMWR_RATING_STATE_ROLLUP_QST[],MATCH($B54,MMWR_RATING_STATE_ROLLUP_QST[MMWR_RATING_STATE_ROLLUP_QST],0),MATCH(G$9,MMWR_RATING_STATE_ROLLUP_QST[#Headers],0)),"ERROR"))</f>
        <v>44</v>
      </c>
      <c r="H54" s="156">
        <f>IF($B54=" ","",IFERROR(INDEX(MMWR_RATING_STATE_ROLLUP_QST[],MATCH($B54,MMWR_RATING_STATE_ROLLUP_QST[MMWR_RATING_STATE_ROLLUP_QST],0),MATCH(H$9,MMWR_RATING_STATE_ROLLUP_QST[#Headers],0)),"ERROR"))</f>
        <v>145</v>
      </c>
      <c r="I54" s="156">
        <f>IF($B54=" ","",IFERROR(INDEX(MMWR_RATING_STATE_ROLLUP_QST[],MATCH($B54,MMWR_RATING_STATE_ROLLUP_QST[MMWR_RATING_STATE_ROLLUP_QST],0),MATCH(I$9,MMWR_RATING_STATE_ROLLUP_QST[#Headers],0)),"ERROR"))</f>
        <v>142.95454545449999</v>
      </c>
      <c r="J54" s="42"/>
      <c r="K54" s="42"/>
      <c r="L54" s="42"/>
      <c r="M54" s="42"/>
      <c r="N54" s="28"/>
    </row>
    <row r="55" spans="1:14" x14ac:dyDescent="0.2">
      <c r="A55" s="25"/>
      <c r="B55" s="8" t="str">
        <f>VLOOKUP($B$15,DISTRICT_STATES[],5,0)</f>
        <v>Maine</v>
      </c>
      <c r="C55" s="155">
        <f>IF($B55=" ","",IFERROR(INDEX(MMWR_RATING_STATE_ROLLUP_QST[],MATCH($B55,MMWR_RATING_STATE_ROLLUP_QST[MMWR_RATING_STATE_ROLLUP_QST],0),MATCH(C$9,MMWR_RATING_STATE_ROLLUP_QST[#Headers],0)),"ERROR"))</f>
        <v>18</v>
      </c>
      <c r="D55" s="156">
        <f>IF($B55=" ","",IFERROR(INDEX(MMWR_RATING_STATE_ROLLUP_QST[],MATCH($B55,MMWR_RATING_STATE_ROLLUP_QST[MMWR_RATING_STATE_ROLLUP_QST],0),MATCH(D$9,MMWR_RATING_STATE_ROLLUP_QST[#Headers],0)),"ERROR"))</f>
        <v>64.611111111100001</v>
      </c>
      <c r="E55" s="157">
        <f>IF($B55=" ","",IFERROR(INDEX(MMWR_RATING_STATE_ROLLUP_QST[],MATCH($B55,MMWR_RATING_STATE_ROLLUP_QST[MMWR_RATING_STATE_ROLLUP_QST],0),MATCH(E$9,MMWR_RATING_STATE_ROLLUP_QST[#Headers],0))/$C55,"ERROR"))</f>
        <v>0.1111111111111111</v>
      </c>
      <c r="F55" s="155">
        <f>IF($B55=" ","",IFERROR(INDEX(MMWR_RATING_STATE_ROLLUP_QST[],MATCH($B55,MMWR_RATING_STATE_ROLLUP_QST[MMWR_RATING_STATE_ROLLUP_QST],0),MATCH(F$9,MMWR_RATING_STATE_ROLLUP_QST[#Headers],0)),"ERROR"))</f>
        <v>2</v>
      </c>
      <c r="G55" s="155">
        <f>IF($B55=" ","",IFERROR(INDEX(MMWR_RATING_STATE_ROLLUP_QST[],MATCH($B55,MMWR_RATING_STATE_ROLLUP_QST[MMWR_RATING_STATE_ROLLUP_QST],0),MATCH(G$9,MMWR_RATING_STATE_ROLLUP_QST[#Headers],0)),"ERROR"))</f>
        <v>68</v>
      </c>
      <c r="H55" s="156">
        <f>IF($B55=" ","",IFERROR(INDEX(MMWR_RATING_STATE_ROLLUP_QST[],MATCH($B55,MMWR_RATING_STATE_ROLLUP_QST[MMWR_RATING_STATE_ROLLUP_QST],0),MATCH(H$9,MMWR_RATING_STATE_ROLLUP_QST[#Headers],0)),"ERROR"))</f>
        <v>124.5</v>
      </c>
      <c r="I55" s="156">
        <f>IF($B55=" ","",IFERROR(INDEX(MMWR_RATING_STATE_ROLLUP_QST[],MATCH($B55,MMWR_RATING_STATE_ROLLUP_QST[MMWR_RATING_STATE_ROLLUP_QST],0),MATCH(I$9,MMWR_RATING_STATE_ROLLUP_QST[#Headers],0)),"ERROR"))</f>
        <v>127.9411764706</v>
      </c>
      <c r="J55" s="42"/>
      <c r="K55" s="42"/>
      <c r="L55" s="42"/>
      <c r="M55" s="42"/>
      <c r="N55" s="28"/>
    </row>
    <row r="56" spans="1:14" x14ac:dyDescent="0.2">
      <c r="A56" s="25"/>
      <c r="B56" s="8" t="str">
        <f>VLOOKUP($B$15,DISTRICT_STATES[],6,0)</f>
        <v>Maryland</v>
      </c>
      <c r="C56" s="155">
        <f>IF($B56=" ","",IFERROR(INDEX(MMWR_RATING_STATE_ROLLUP_QST[],MATCH($B56,MMWR_RATING_STATE_ROLLUP_QST[MMWR_RATING_STATE_ROLLUP_QST],0),MATCH(C$9,MMWR_RATING_STATE_ROLLUP_QST[#Headers],0)),"ERROR"))</f>
        <v>223</v>
      </c>
      <c r="D56" s="156">
        <f>IF($B56=" ","",IFERROR(INDEX(MMWR_RATING_STATE_ROLLUP_QST[],MATCH($B56,MMWR_RATING_STATE_ROLLUP_QST[MMWR_RATING_STATE_ROLLUP_QST],0),MATCH(D$9,MMWR_RATING_STATE_ROLLUP_QST[#Headers],0)),"ERROR"))</f>
        <v>68.430493273500005</v>
      </c>
      <c r="E56" s="157">
        <f>IF($B56=" ","",IFERROR(INDEX(MMWR_RATING_STATE_ROLLUP_QST[],MATCH($B56,MMWR_RATING_STATE_ROLLUP_QST[MMWR_RATING_STATE_ROLLUP_QST],0),MATCH(E$9,MMWR_RATING_STATE_ROLLUP_QST[#Headers],0))/$C56,"ERROR"))</f>
        <v>8.520179372197309E-2</v>
      </c>
      <c r="F56" s="155">
        <f>IF($B56=" ","",IFERROR(INDEX(MMWR_RATING_STATE_ROLLUP_QST[],MATCH($B56,MMWR_RATING_STATE_ROLLUP_QST[MMWR_RATING_STATE_ROLLUP_QST],0),MATCH(F$9,MMWR_RATING_STATE_ROLLUP_QST[#Headers],0)),"ERROR"))</f>
        <v>26</v>
      </c>
      <c r="G56" s="155">
        <f>IF($B56=" ","",IFERROR(INDEX(MMWR_RATING_STATE_ROLLUP_QST[],MATCH($B56,MMWR_RATING_STATE_ROLLUP_QST[MMWR_RATING_STATE_ROLLUP_QST],0),MATCH(G$9,MMWR_RATING_STATE_ROLLUP_QST[#Headers],0)),"ERROR"))</f>
        <v>553</v>
      </c>
      <c r="H56" s="156">
        <f>IF($B56=" ","",IFERROR(INDEX(MMWR_RATING_STATE_ROLLUP_QST[],MATCH($B56,MMWR_RATING_STATE_ROLLUP_QST[MMWR_RATING_STATE_ROLLUP_QST],0),MATCH(H$9,MMWR_RATING_STATE_ROLLUP_QST[#Headers],0)),"ERROR"))</f>
        <v>145.57692307689999</v>
      </c>
      <c r="I56" s="156">
        <f>IF($B56=" ","",IFERROR(INDEX(MMWR_RATING_STATE_ROLLUP_QST[],MATCH($B56,MMWR_RATING_STATE_ROLLUP_QST[MMWR_RATING_STATE_ROLLUP_QST],0),MATCH(I$9,MMWR_RATING_STATE_ROLLUP_QST[#Headers],0)),"ERROR"))</f>
        <v>140.79927667269999</v>
      </c>
      <c r="J56" s="42"/>
      <c r="K56" s="42"/>
      <c r="L56" s="42"/>
      <c r="M56" s="42"/>
      <c r="N56" s="28"/>
    </row>
    <row r="57" spans="1:14" x14ac:dyDescent="0.2">
      <c r="A57" s="25"/>
      <c r="B57" s="8" t="str">
        <f>VLOOKUP($B$15,DISTRICT_STATES[],7,0)</f>
        <v>Massachusetts</v>
      </c>
      <c r="C57" s="155">
        <f>IF($B57=" ","",IFERROR(INDEX(MMWR_RATING_STATE_ROLLUP_QST[],MATCH($B57,MMWR_RATING_STATE_ROLLUP_QST[MMWR_RATING_STATE_ROLLUP_QST],0),MATCH(C$9,MMWR_RATING_STATE_ROLLUP_QST[#Headers],0)),"ERROR"))</f>
        <v>98</v>
      </c>
      <c r="D57" s="156">
        <f>IF($B57=" ","",IFERROR(INDEX(MMWR_RATING_STATE_ROLLUP_QST[],MATCH($B57,MMWR_RATING_STATE_ROLLUP_QST[MMWR_RATING_STATE_ROLLUP_QST],0),MATCH(D$9,MMWR_RATING_STATE_ROLLUP_QST[#Headers],0)),"ERROR"))</f>
        <v>66.724489795899999</v>
      </c>
      <c r="E57" s="157">
        <f>IF($B57=" ","",IFERROR(INDEX(MMWR_RATING_STATE_ROLLUP_QST[],MATCH($B57,MMWR_RATING_STATE_ROLLUP_QST[MMWR_RATING_STATE_ROLLUP_QST],0),MATCH(E$9,MMWR_RATING_STATE_ROLLUP_QST[#Headers],0))/$C57,"ERROR"))</f>
        <v>8.1632653061224483E-2</v>
      </c>
      <c r="F57" s="155">
        <f>IF($B57=" ","",IFERROR(INDEX(MMWR_RATING_STATE_ROLLUP_QST[],MATCH($B57,MMWR_RATING_STATE_ROLLUP_QST[MMWR_RATING_STATE_ROLLUP_QST],0),MATCH(F$9,MMWR_RATING_STATE_ROLLUP_QST[#Headers],0)),"ERROR"))</f>
        <v>6</v>
      </c>
      <c r="G57" s="155">
        <f>IF($B57=" ","",IFERROR(INDEX(MMWR_RATING_STATE_ROLLUP_QST[],MATCH($B57,MMWR_RATING_STATE_ROLLUP_QST[MMWR_RATING_STATE_ROLLUP_QST],0),MATCH(G$9,MMWR_RATING_STATE_ROLLUP_QST[#Headers],0)),"ERROR"))</f>
        <v>216</v>
      </c>
      <c r="H57" s="156">
        <f>IF($B57=" ","",IFERROR(INDEX(MMWR_RATING_STATE_ROLLUP_QST[],MATCH($B57,MMWR_RATING_STATE_ROLLUP_QST[MMWR_RATING_STATE_ROLLUP_QST],0),MATCH(H$9,MMWR_RATING_STATE_ROLLUP_QST[#Headers],0)),"ERROR"))</f>
        <v>133.5</v>
      </c>
      <c r="I57" s="156">
        <f>IF($B57=" ","",IFERROR(INDEX(MMWR_RATING_STATE_ROLLUP_QST[],MATCH($B57,MMWR_RATING_STATE_ROLLUP_QST[MMWR_RATING_STATE_ROLLUP_QST],0),MATCH(I$9,MMWR_RATING_STATE_ROLLUP_QST[#Headers],0)),"ERROR"))</f>
        <v>129.9675925926</v>
      </c>
      <c r="J57" s="42"/>
      <c r="K57" s="42"/>
      <c r="L57" s="42"/>
      <c r="M57" s="42"/>
      <c r="N57" s="28"/>
    </row>
    <row r="58" spans="1:14" x14ac:dyDescent="0.2">
      <c r="A58" s="25"/>
      <c r="B58" s="8" t="str">
        <f>VLOOKUP($B$15,DISTRICT_STATES[],8,0)</f>
        <v>New Hampshire</v>
      </c>
      <c r="C58" s="155">
        <f>IF($B58=" ","",IFERROR(INDEX(MMWR_RATING_STATE_ROLLUP_QST[],MATCH($B58,MMWR_RATING_STATE_ROLLUP_QST[MMWR_RATING_STATE_ROLLUP_QST],0),MATCH(C$9,MMWR_RATING_STATE_ROLLUP_QST[#Headers],0)),"ERROR"))</f>
        <v>15</v>
      </c>
      <c r="D58" s="156">
        <f>IF($B58=" ","",IFERROR(INDEX(MMWR_RATING_STATE_ROLLUP_QST[],MATCH($B58,MMWR_RATING_STATE_ROLLUP_QST[MMWR_RATING_STATE_ROLLUP_QST],0),MATCH(D$9,MMWR_RATING_STATE_ROLLUP_QST[#Headers],0)),"ERROR"))</f>
        <v>53.266666666699997</v>
      </c>
      <c r="E58" s="157">
        <f>IF($B58=" ","",IFERROR(INDEX(MMWR_RATING_STATE_ROLLUP_QST[],MATCH($B58,MMWR_RATING_STATE_ROLLUP_QST[MMWR_RATING_STATE_ROLLUP_QST],0),MATCH(E$9,MMWR_RATING_STATE_ROLLUP_QST[#Headers],0))/$C58,"ERROR"))</f>
        <v>6.6666666666666666E-2</v>
      </c>
      <c r="F58" s="155">
        <f>IF($B58=" ","",IFERROR(INDEX(MMWR_RATING_STATE_ROLLUP_QST[],MATCH($B58,MMWR_RATING_STATE_ROLLUP_QST[MMWR_RATING_STATE_ROLLUP_QST],0),MATCH(F$9,MMWR_RATING_STATE_ROLLUP_QST[#Headers],0)),"ERROR"))</f>
        <v>1</v>
      </c>
      <c r="G58" s="155">
        <f>IF($B58=" ","",IFERROR(INDEX(MMWR_RATING_STATE_ROLLUP_QST[],MATCH($B58,MMWR_RATING_STATE_ROLLUP_QST[MMWR_RATING_STATE_ROLLUP_QST],0),MATCH(G$9,MMWR_RATING_STATE_ROLLUP_QST[#Headers],0)),"ERROR"))</f>
        <v>64</v>
      </c>
      <c r="H58" s="156">
        <f>IF($B58=" ","",IFERROR(INDEX(MMWR_RATING_STATE_ROLLUP_QST[],MATCH($B58,MMWR_RATING_STATE_ROLLUP_QST[MMWR_RATING_STATE_ROLLUP_QST],0),MATCH(H$9,MMWR_RATING_STATE_ROLLUP_QST[#Headers],0)),"ERROR"))</f>
        <v>139</v>
      </c>
      <c r="I58" s="156">
        <f>IF($B58=" ","",IFERROR(INDEX(MMWR_RATING_STATE_ROLLUP_QST[],MATCH($B58,MMWR_RATING_STATE_ROLLUP_QST[MMWR_RATING_STATE_ROLLUP_QST],0),MATCH(I$9,MMWR_RATING_STATE_ROLLUP_QST[#Headers],0)),"ERROR"))</f>
        <v>121.015625</v>
      </c>
      <c r="J58" s="42"/>
      <c r="K58" s="42"/>
      <c r="L58" s="42"/>
      <c r="M58" s="42"/>
      <c r="N58" s="28"/>
    </row>
    <row r="59" spans="1:14" x14ac:dyDescent="0.2">
      <c r="A59" s="25"/>
      <c r="B59" s="8" t="str">
        <f>VLOOKUP($B$15,DISTRICT_STATES[],9,0)</f>
        <v>New Jersey</v>
      </c>
      <c r="C59" s="155">
        <f>IF($B59=" ","",IFERROR(INDEX(MMWR_RATING_STATE_ROLLUP_QST[],MATCH($B59,MMWR_RATING_STATE_ROLLUP_QST[MMWR_RATING_STATE_ROLLUP_QST],0),MATCH(C$9,MMWR_RATING_STATE_ROLLUP_QST[#Headers],0)),"ERROR"))</f>
        <v>93</v>
      </c>
      <c r="D59" s="156">
        <f>IF($B59=" ","",IFERROR(INDEX(MMWR_RATING_STATE_ROLLUP_QST[],MATCH($B59,MMWR_RATING_STATE_ROLLUP_QST[MMWR_RATING_STATE_ROLLUP_QST],0),MATCH(D$9,MMWR_RATING_STATE_ROLLUP_QST[#Headers],0)),"ERROR"))</f>
        <v>64.118279569899997</v>
      </c>
      <c r="E59" s="157">
        <f>IF($B59=" ","",IFERROR(INDEX(MMWR_RATING_STATE_ROLLUP_QST[],MATCH($B59,MMWR_RATING_STATE_ROLLUP_QST[MMWR_RATING_STATE_ROLLUP_QST],0),MATCH(E$9,MMWR_RATING_STATE_ROLLUP_QST[#Headers],0))/$C59,"ERROR"))</f>
        <v>0.10752688172043011</v>
      </c>
      <c r="F59" s="155">
        <f>IF($B59=" ","",IFERROR(INDEX(MMWR_RATING_STATE_ROLLUP_QST[],MATCH($B59,MMWR_RATING_STATE_ROLLUP_QST[MMWR_RATING_STATE_ROLLUP_QST],0),MATCH(F$9,MMWR_RATING_STATE_ROLLUP_QST[#Headers],0)),"ERROR"))</f>
        <v>9</v>
      </c>
      <c r="G59" s="155">
        <f>IF($B59=" ","",IFERROR(INDEX(MMWR_RATING_STATE_ROLLUP_QST[],MATCH($B59,MMWR_RATING_STATE_ROLLUP_QST[MMWR_RATING_STATE_ROLLUP_QST],0),MATCH(G$9,MMWR_RATING_STATE_ROLLUP_QST[#Headers],0)),"ERROR"))</f>
        <v>227</v>
      </c>
      <c r="H59" s="156">
        <f>IF($B59=" ","",IFERROR(INDEX(MMWR_RATING_STATE_ROLLUP_QST[],MATCH($B59,MMWR_RATING_STATE_ROLLUP_QST[MMWR_RATING_STATE_ROLLUP_QST],0),MATCH(H$9,MMWR_RATING_STATE_ROLLUP_QST[#Headers],0)),"ERROR"))</f>
        <v>119.7777777778</v>
      </c>
      <c r="I59" s="156">
        <f>IF($B59=" ","",IFERROR(INDEX(MMWR_RATING_STATE_ROLLUP_QST[],MATCH($B59,MMWR_RATING_STATE_ROLLUP_QST[MMWR_RATING_STATE_ROLLUP_QST],0),MATCH(I$9,MMWR_RATING_STATE_ROLLUP_QST[#Headers],0)),"ERROR"))</f>
        <v>134.3303964758</v>
      </c>
      <c r="J59" s="42"/>
      <c r="K59" s="42"/>
      <c r="L59" s="42"/>
      <c r="M59" s="42"/>
      <c r="N59" s="28"/>
    </row>
    <row r="60" spans="1:14" x14ac:dyDescent="0.2">
      <c r="A60" s="25"/>
      <c r="B60" s="8" t="str">
        <f>VLOOKUP($B$15,DISTRICT_STATES[],10,0)</f>
        <v>New York</v>
      </c>
      <c r="C60" s="155">
        <f>IF($B60=" ","",IFERROR(INDEX(MMWR_RATING_STATE_ROLLUP_QST[],MATCH($B60,MMWR_RATING_STATE_ROLLUP_QST[MMWR_RATING_STATE_ROLLUP_QST],0),MATCH(C$9,MMWR_RATING_STATE_ROLLUP_QST[#Headers],0)),"ERROR"))</f>
        <v>234</v>
      </c>
      <c r="D60" s="156">
        <f>IF($B60=" ","",IFERROR(INDEX(MMWR_RATING_STATE_ROLLUP_QST[],MATCH($B60,MMWR_RATING_STATE_ROLLUP_QST[MMWR_RATING_STATE_ROLLUP_QST],0),MATCH(D$9,MMWR_RATING_STATE_ROLLUP_QST[#Headers],0)),"ERROR"))</f>
        <v>62.880341880300001</v>
      </c>
      <c r="E60" s="157">
        <f>IF($B60=" ","",IFERROR(INDEX(MMWR_RATING_STATE_ROLLUP_QST[],MATCH($B60,MMWR_RATING_STATE_ROLLUP_QST[MMWR_RATING_STATE_ROLLUP_QST],0),MATCH(E$9,MMWR_RATING_STATE_ROLLUP_QST[#Headers],0))/$C60,"ERROR"))</f>
        <v>0.10683760683760683</v>
      </c>
      <c r="F60" s="155">
        <f>IF($B60=" ","",IFERROR(INDEX(MMWR_RATING_STATE_ROLLUP_QST[],MATCH($B60,MMWR_RATING_STATE_ROLLUP_QST[MMWR_RATING_STATE_ROLLUP_QST],0),MATCH(F$9,MMWR_RATING_STATE_ROLLUP_QST[#Headers],0)),"ERROR"))</f>
        <v>22</v>
      </c>
      <c r="G60" s="155">
        <f>IF($B60=" ","",IFERROR(INDEX(MMWR_RATING_STATE_ROLLUP_QST[],MATCH($B60,MMWR_RATING_STATE_ROLLUP_QST[MMWR_RATING_STATE_ROLLUP_QST],0),MATCH(G$9,MMWR_RATING_STATE_ROLLUP_QST[#Headers],0)),"ERROR"))</f>
        <v>554</v>
      </c>
      <c r="H60" s="156">
        <f>IF($B60=" ","",IFERROR(INDEX(MMWR_RATING_STATE_ROLLUP_QST[],MATCH($B60,MMWR_RATING_STATE_ROLLUP_QST[MMWR_RATING_STATE_ROLLUP_QST],0),MATCH(H$9,MMWR_RATING_STATE_ROLLUP_QST[#Headers],0)),"ERROR"))</f>
        <v>135.2272727273</v>
      </c>
      <c r="I60" s="156">
        <f>IF($B60=" ","",IFERROR(INDEX(MMWR_RATING_STATE_ROLLUP_QST[],MATCH($B60,MMWR_RATING_STATE_ROLLUP_QST[MMWR_RATING_STATE_ROLLUP_QST],0),MATCH(I$9,MMWR_RATING_STATE_ROLLUP_QST[#Headers],0)),"ERROR"))</f>
        <v>134.4259927798</v>
      </c>
      <c r="J60" s="42"/>
      <c r="K60" s="42"/>
      <c r="L60" s="42"/>
      <c r="M60" s="42"/>
      <c r="N60" s="28"/>
    </row>
    <row r="61" spans="1:14" x14ac:dyDescent="0.2">
      <c r="A61" s="25"/>
      <c r="B61" s="8" t="str">
        <f>VLOOKUP($B$15,DISTRICT_STATES[],11,0)</f>
        <v>North Carolina</v>
      </c>
      <c r="C61" s="155">
        <f>IF($B61=" ","",IFERROR(INDEX(MMWR_RATING_STATE_ROLLUP_QST[],MATCH($B61,MMWR_RATING_STATE_ROLLUP_QST[MMWR_RATING_STATE_ROLLUP_QST],0),MATCH(C$9,MMWR_RATING_STATE_ROLLUP_QST[#Headers],0)),"ERROR"))</f>
        <v>581</v>
      </c>
      <c r="D61" s="156">
        <f>IF($B61=" ","",IFERROR(INDEX(MMWR_RATING_STATE_ROLLUP_QST[],MATCH($B61,MMWR_RATING_STATE_ROLLUP_QST[MMWR_RATING_STATE_ROLLUP_QST],0),MATCH(D$9,MMWR_RATING_STATE_ROLLUP_QST[#Headers],0)),"ERROR"))</f>
        <v>70.103270223799996</v>
      </c>
      <c r="E61" s="157">
        <f>IF($B61=" ","",IFERROR(INDEX(MMWR_RATING_STATE_ROLLUP_QST[],MATCH($B61,MMWR_RATING_STATE_ROLLUP_QST[MMWR_RATING_STATE_ROLLUP_QST],0),MATCH(E$9,MMWR_RATING_STATE_ROLLUP_QST[#Headers],0))/$C61,"ERROR"))</f>
        <v>0.11015490533562823</v>
      </c>
      <c r="F61" s="155">
        <f>IF($B61=" ","",IFERROR(INDEX(MMWR_RATING_STATE_ROLLUP_QST[],MATCH($B61,MMWR_RATING_STATE_ROLLUP_QST[MMWR_RATING_STATE_ROLLUP_QST],0),MATCH(F$9,MMWR_RATING_STATE_ROLLUP_QST[#Headers],0)),"ERROR"))</f>
        <v>47</v>
      </c>
      <c r="G61" s="155">
        <f>IF($B61=" ","",IFERROR(INDEX(MMWR_RATING_STATE_ROLLUP_QST[],MATCH($B61,MMWR_RATING_STATE_ROLLUP_QST[MMWR_RATING_STATE_ROLLUP_QST],0),MATCH(G$9,MMWR_RATING_STATE_ROLLUP_QST[#Headers],0)),"ERROR"))</f>
        <v>1276</v>
      </c>
      <c r="H61" s="156">
        <f>IF($B61=" ","",IFERROR(INDEX(MMWR_RATING_STATE_ROLLUP_QST[],MATCH($B61,MMWR_RATING_STATE_ROLLUP_QST[MMWR_RATING_STATE_ROLLUP_QST],0),MATCH(H$9,MMWR_RATING_STATE_ROLLUP_QST[#Headers],0)),"ERROR"))</f>
        <v>148.97872340430001</v>
      </c>
      <c r="I61" s="156">
        <f>IF($B61=" ","",IFERROR(INDEX(MMWR_RATING_STATE_ROLLUP_QST[],MATCH($B61,MMWR_RATING_STATE_ROLLUP_QST[MMWR_RATING_STATE_ROLLUP_QST],0),MATCH(I$9,MMWR_RATING_STATE_ROLLUP_QST[#Headers],0)),"ERROR"))</f>
        <v>142.11442006269999</v>
      </c>
      <c r="J61" s="42"/>
      <c r="K61" s="42"/>
      <c r="L61" s="42"/>
      <c r="M61" s="42"/>
      <c r="N61" s="28"/>
    </row>
    <row r="62" spans="1:14" x14ac:dyDescent="0.2">
      <c r="A62" s="25"/>
      <c r="B62" s="8" t="str">
        <f>VLOOKUP($B$15,DISTRICT_STATES[],12,0)</f>
        <v>Pennsylvania</v>
      </c>
      <c r="C62" s="155">
        <f>IF($B62=" ","",IFERROR(INDEX(MMWR_RATING_STATE_ROLLUP_QST[],MATCH($B62,MMWR_RATING_STATE_ROLLUP_QST[MMWR_RATING_STATE_ROLLUP_QST],0),MATCH(C$9,MMWR_RATING_STATE_ROLLUP_QST[#Headers],0)),"ERROR"))</f>
        <v>188</v>
      </c>
      <c r="D62" s="156">
        <f>IF($B62=" ","",IFERROR(INDEX(MMWR_RATING_STATE_ROLLUP_QST[],MATCH($B62,MMWR_RATING_STATE_ROLLUP_QST[MMWR_RATING_STATE_ROLLUP_QST],0),MATCH(D$9,MMWR_RATING_STATE_ROLLUP_QST[#Headers],0)),"ERROR"))</f>
        <v>66.856382978699997</v>
      </c>
      <c r="E62" s="157">
        <f>IF($B62=" ","",IFERROR(INDEX(MMWR_RATING_STATE_ROLLUP_QST[],MATCH($B62,MMWR_RATING_STATE_ROLLUP_QST[MMWR_RATING_STATE_ROLLUP_QST],0),MATCH(E$9,MMWR_RATING_STATE_ROLLUP_QST[#Headers],0))/$C62,"ERROR"))</f>
        <v>9.0425531914893623E-2</v>
      </c>
      <c r="F62" s="155">
        <f>IF($B62=" ","",IFERROR(INDEX(MMWR_RATING_STATE_ROLLUP_QST[],MATCH($B62,MMWR_RATING_STATE_ROLLUP_QST[MMWR_RATING_STATE_ROLLUP_QST],0),MATCH(F$9,MMWR_RATING_STATE_ROLLUP_QST[#Headers],0)),"ERROR"))</f>
        <v>20</v>
      </c>
      <c r="G62" s="155">
        <f>IF($B62=" ","",IFERROR(INDEX(MMWR_RATING_STATE_ROLLUP_QST[],MATCH($B62,MMWR_RATING_STATE_ROLLUP_QST[MMWR_RATING_STATE_ROLLUP_QST],0),MATCH(G$9,MMWR_RATING_STATE_ROLLUP_QST[#Headers],0)),"ERROR"))</f>
        <v>493</v>
      </c>
      <c r="H62" s="156">
        <f>IF($B62=" ","",IFERROR(INDEX(MMWR_RATING_STATE_ROLLUP_QST[],MATCH($B62,MMWR_RATING_STATE_ROLLUP_QST[MMWR_RATING_STATE_ROLLUP_QST],0),MATCH(H$9,MMWR_RATING_STATE_ROLLUP_QST[#Headers],0)),"ERROR"))</f>
        <v>137.6</v>
      </c>
      <c r="I62" s="156">
        <f>IF($B62=" ","",IFERROR(INDEX(MMWR_RATING_STATE_ROLLUP_QST[],MATCH($B62,MMWR_RATING_STATE_ROLLUP_QST[MMWR_RATING_STATE_ROLLUP_QST],0),MATCH(I$9,MMWR_RATING_STATE_ROLLUP_QST[#Headers],0)),"ERROR"))</f>
        <v>132.0892494929</v>
      </c>
      <c r="J62" s="42"/>
      <c r="K62" s="42"/>
      <c r="L62" s="42"/>
      <c r="M62" s="42"/>
      <c r="N62" s="28"/>
    </row>
    <row r="63" spans="1:14" x14ac:dyDescent="0.2">
      <c r="A63" s="25"/>
      <c r="B63" s="8" t="str">
        <f>VLOOKUP($B$15,DISTRICT_STATES[],13,0)</f>
        <v>Rhode Island</v>
      </c>
      <c r="C63" s="155">
        <f>IF($B63=" ","",IFERROR(INDEX(MMWR_RATING_STATE_ROLLUP_QST[],MATCH($B63,MMWR_RATING_STATE_ROLLUP_QST[MMWR_RATING_STATE_ROLLUP_QST],0),MATCH(C$9,MMWR_RATING_STATE_ROLLUP_QST[#Headers],0)),"ERROR"))</f>
        <v>14</v>
      </c>
      <c r="D63" s="156">
        <f>IF($B63=" ","",IFERROR(INDEX(MMWR_RATING_STATE_ROLLUP_QST[],MATCH($B63,MMWR_RATING_STATE_ROLLUP_QST[MMWR_RATING_STATE_ROLLUP_QST],0),MATCH(D$9,MMWR_RATING_STATE_ROLLUP_QST[#Headers],0)),"ERROR"))</f>
        <v>57.714285714299997</v>
      </c>
      <c r="E63" s="157">
        <f>IF($B63=" ","",IFERROR(INDEX(MMWR_RATING_STATE_ROLLUP_QST[],MATCH($B63,MMWR_RATING_STATE_ROLLUP_QST[MMWR_RATING_STATE_ROLLUP_QST],0),MATCH(E$9,MMWR_RATING_STATE_ROLLUP_QST[#Headers],0))/$C63,"ERROR"))</f>
        <v>0</v>
      </c>
      <c r="F63" s="155">
        <f>IF($B63=" ","",IFERROR(INDEX(MMWR_RATING_STATE_ROLLUP_QST[],MATCH($B63,MMWR_RATING_STATE_ROLLUP_QST[MMWR_RATING_STATE_ROLLUP_QST],0),MATCH(F$9,MMWR_RATING_STATE_ROLLUP_QST[#Headers],0)),"ERROR"))</f>
        <v>1</v>
      </c>
      <c r="G63" s="155">
        <f>IF($B63=" ","",IFERROR(INDEX(MMWR_RATING_STATE_ROLLUP_QST[],MATCH($B63,MMWR_RATING_STATE_ROLLUP_QST[MMWR_RATING_STATE_ROLLUP_QST],0),MATCH(G$9,MMWR_RATING_STATE_ROLLUP_QST[#Headers],0)),"ERROR"))</f>
        <v>30</v>
      </c>
      <c r="H63" s="156">
        <f>IF($B63=" ","",IFERROR(INDEX(MMWR_RATING_STATE_ROLLUP_QST[],MATCH($B63,MMWR_RATING_STATE_ROLLUP_QST[MMWR_RATING_STATE_ROLLUP_QST],0),MATCH(H$9,MMWR_RATING_STATE_ROLLUP_QST[#Headers],0)),"ERROR"))</f>
        <v>95</v>
      </c>
      <c r="I63" s="156">
        <f>IF($B63=" ","",IFERROR(INDEX(MMWR_RATING_STATE_ROLLUP_QST[],MATCH($B63,MMWR_RATING_STATE_ROLLUP_QST[MMWR_RATING_STATE_ROLLUP_QST],0),MATCH(I$9,MMWR_RATING_STATE_ROLLUP_QST[#Headers],0)),"ERROR"))</f>
        <v>102.3</v>
      </c>
      <c r="J63" s="42"/>
      <c r="K63" s="42"/>
      <c r="L63" s="42"/>
      <c r="M63" s="42"/>
      <c r="N63" s="28"/>
    </row>
    <row r="64" spans="1:14" x14ac:dyDescent="0.2">
      <c r="A64" s="25"/>
      <c r="B64" s="8" t="str">
        <f>VLOOKUP($B$15,DISTRICT_STATES[],14,0)</f>
        <v>Vermont</v>
      </c>
      <c r="C64" s="155">
        <f>IF($B64=" ","",IFERROR(INDEX(MMWR_RATING_STATE_ROLLUP_QST[],MATCH($B64,MMWR_RATING_STATE_ROLLUP_QST[MMWR_RATING_STATE_ROLLUP_QST],0),MATCH(C$9,MMWR_RATING_STATE_ROLLUP_QST[#Headers],0)),"ERROR"))</f>
        <v>6</v>
      </c>
      <c r="D64" s="156">
        <f>IF($B64=" ","",IFERROR(INDEX(MMWR_RATING_STATE_ROLLUP_QST[],MATCH($B64,MMWR_RATING_STATE_ROLLUP_QST[MMWR_RATING_STATE_ROLLUP_QST],0),MATCH(D$9,MMWR_RATING_STATE_ROLLUP_QST[#Headers],0)),"ERROR"))</f>
        <v>46.166666666700003</v>
      </c>
      <c r="E64" s="157">
        <f>IF($B64=" ","",IFERROR(INDEX(MMWR_RATING_STATE_ROLLUP_QST[],MATCH($B64,MMWR_RATING_STATE_ROLLUP_QST[MMWR_RATING_STATE_ROLLUP_QST],0),MATCH(E$9,MMWR_RATING_STATE_ROLLUP_QST[#Headers],0))/$C64,"ERROR"))</f>
        <v>0</v>
      </c>
      <c r="F64" s="155">
        <f>IF($B64=" ","",IFERROR(INDEX(MMWR_RATING_STATE_ROLLUP_QST[],MATCH($B64,MMWR_RATING_STATE_ROLLUP_QST[MMWR_RATING_STATE_ROLLUP_QST],0),MATCH(F$9,MMWR_RATING_STATE_ROLLUP_QST[#Headers],0)),"ERROR"))</f>
        <v>0</v>
      </c>
      <c r="G64" s="155">
        <f>IF($B64=" ","",IFERROR(INDEX(MMWR_RATING_STATE_ROLLUP_QST[],MATCH($B64,MMWR_RATING_STATE_ROLLUP_QST[MMWR_RATING_STATE_ROLLUP_QST],0),MATCH(G$9,MMWR_RATING_STATE_ROLLUP_QST[#Headers],0)),"ERROR"))</f>
        <v>22</v>
      </c>
      <c r="H64" s="156">
        <f>IF($B64=" ","",IFERROR(INDEX(MMWR_RATING_STATE_ROLLUP_QST[],MATCH($B64,MMWR_RATING_STATE_ROLLUP_QST[MMWR_RATING_STATE_ROLLUP_QST],0),MATCH(H$9,MMWR_RATING_STATE_ROLLUP_QST[#Headers],0)),"ERROR"))</f>
        <v>0</v>
      </c>
      <c r="I64" s="156">
        <f>IF($B64=" ","",IFERROR(INDEX(MMWR_RATING_STATE_ROLLUP_QST[],MATCH($B64,MMWR_RATING_STATE_ROLLUP_QST[MMWR_RATING_STATE_ROLLUP_QST],0),MATCH(I$9,MMWR_RATING_STATE_ROLLUP_QST[#Headers],0)),"ERROR"))</f>
        <v>134.9090909091</v>
      </c>
      <c r="J64" s="42"/>
      <c r="K64" s="42"/>
      <c r="L64" s="42"/>
      <c r="M64" s="42"/>
      <c r="N64" s="28"/>
    </row>
    <row r="65" spans="1:14" x14ac:dyDescent="0.2">
      <c r="A65" s="25"/>
      <c r="B65" s="8" t="str">
        <f>VLOOKUP($B$15,DISTRICT_STATES[],15,0)</f>
        <v>Virginia</v>
      </c>
      <c r="C65" s="155">
        <f>IF($B65=" ","",IFERROR(INDEX(MMWR_RATING_STATE_ROLLUP_QST[],MATCH($B65,MMWR_RATING_STATE_ROLLUP_QST[MMWR_RATING_STATE_ROLLUP_QST],0),MATCH(C$9,MMWR_RATING_STATE_ROLLUP_QST[#Headers],0)),"ERROR"))</f>
        <v>587</v>
      </c>
      <c r="D65" s="156">
        <f>IF($B65=" ","",IFERROR(INDEX(MMWR_RATING_STATE_ROLLUP_QST[],MATCH($B65,MMWR_RATING_STATE_ROLLUP_QST[MMWR_RATING_STATE_ROLLUP_QST],0),MATCH(D$9,MMWR_RATING_STATE_ROLLUP_QST[#Headers],0)),"ERROR"))</f>
        <v>78.572402044300006</v>
      </c>
      <c r="E65" s="157">
        <f>IF($B65=" ","",IFERROR(INDEX(MMWR_RATING_STATE_ROLLUP_QST[],MATCH($B65,MMWR_RATING_STATE_ROLLUP_QST[MMWR_RATING_STATE_ROLLUP_QST],0),MATCH(E$9,MMWR_RATING_STATE_ROLLUP_QST[#Headers],0))/$C65,"ERROR"))</f>
        <v>0.16695059625212946</v>
      </c>
      <c r="F65" s="155">
        <f>IF($B65=" ","",IFERROR(INDEX(MMWR_RATING_STATE_ROLLUP_QST[],MATCH($B65,MMWR_RATING_STATE_ROLLUP_QST[MMWR_RATING_STATE_ROLLUP_QST],0),MATCH(F$9,MMWR_RATING_STATE_ROLLUP_QST[#Headers],0)),"ERROR"))</f>
        <v>53</v>
      </c>
      <c r="G65" s="155">
        <f>IF($B65=" ","",IFERROR(INDEX(MMWR_RATING_STATE_ROLLUP_QST[],MATCH($B65,MMWR_RATING_STATE_ROLLUP_QST[MMWR_RATING_STATE_ROLLUP_QST],0),MATCH(G$9,MMWR_RATING_STATE_ROLLUP_QST[#Headers],0)),"ERROR"))</f>
        <v>1469</v>
      </c>
      <c r="H65" s="156">
        <f>IF($B65=" ","",IFERROR(INDEX(MMWR_RATING_STATE_ROLLUP_QST[],MATCH($B65,MMWR_RATING_STATE_ROLLUP_QST[MMWR_RATING_STATE_ROLLUP_QST],0),MATCH(H$9,MMWR_RATING_STATE_ROLLUP_QST[#Headers],0)),"ERROR"))</f>
        <v>156.03773584909999</v>
      </c>
      <c r="I65" s="156">
        <f>IF($B65=" ","",IFERROR(INDEX(MMWR_RATING_STATE_ROLLUP_QST[],MATCH($B65,MMWR_RATING_STATE_ROLLUP_QST[MMWR_RATING_STATE_ROLLUP_QST],0),MATCH(I$9,MMWR_RATING_STATE_ROLLUP_QST[#Headers],0)),"ERROR"))</f>
        <v>148.47855684140001</v>
      </c>
      <c r="J65" s="42"/>
      <c r="K65" s="42"/>
      <c r="L65" s="42"/>
      <c r="M65" s="42"/>
      <c r="N65" s="28"/>
    </row>
    <row r="66" spans="1:14" x14ac:dyDescent="0.2">
      <c r="A66" s="25"/>
      <c r="B66" s="8" t="str">
        <f>VLOOKUP($B$15,DISTRICT_STATES[],16,0)</f>
        <v>West Virginia</v>
      </c>
      <c r="C66" s="155">
        <f>IF($B66=" ","",IFERROR(INDEX(MMWR_RATING_STATE_ROLLUP_QST[],MATCH($B66,MMWR_RATING_STATE_ROLLUP_QST[MMWR_RATING_STATE_ROLLUP_QST],0),MATCH(C$9,MMWR_RATING_STATE_ROLLUP_QST[#Headers],0)),"ERROR"))</f>
        <v>21</v>
      </c>
      <c r="D66" s="156">
        <f>IF($B66=" ","",IFERROR(INDEX(MMWR_RATING_STATE_ROLLUP_QST[],MATCH($B66,MMWR_RATING_STATE_ROLLUP_QST[MMWR_RATING_STATE_ROLLUP_QST],0),MATCH(D$9,MMWR_RATING_STATE_ROLLUP_QST[#Headers],0)),"ERROR"))</f>
        <v>62.047619047600001</v>
      </c>
      <c r="E66" s="157">
        <f>IF($B66=" ","",IFERROR(INDEX(MMWR_RATING_STATE_ROLLUP_QST[],MATCH($B66,MMWR_RATING_STATE_ROLLUP_QST[MMWR_RATING_STATE_ROLLUP_QST],0),MATCH(E$9,MMWR_RATING_STATE_ROLLUP_QST[#Headers],0))/$C66,"ERROR"))</f>
        <v>0.14285714285714285</v>
      </c>
      <c r="F66" s="155">
        <f>IF($B66=" ","",IFERROR(INDEX(MMWR_RATING_STATE_ROLLUP_QST[],MATCH($B66,MMWR_RATING_STATE_ROLLUP_QST[MMWR_RATING_STATE_ROLLUP_QST],0),MATCH(F$9,MMWR_RATING_STATE_ROLLUP_QST[#Headers],0)),"ERROR"))</f>
        <v>2</v>
      </c>
      <c r="G66" s="155">
        <f>IF($B66=" ","",IFERROR(INDEX(MMWR_RATING_STATE_ROLLUP_QST[],MATCH($B66,MMWR_RATING_STATE_ROLLUP_QST[MMWR_RATING_STATE_ROLLUP_QST],0),MATCH(G$9,MMWR_RATING_STATE_ROLLUP_QST[#Headers],0)),"ERROR"))</f>
        <v>65</v>
      </c>
      <c r="H66" s="156">
        <f>IF($B66=" ","",IFERROR(INDEX(MMWR_RATING_STATE_ROLLUP_QST[],MATCH($B66,MMWR_RATING_STATE_ROLLUP_QST[MMWR_RATING_STATE_ROLLUP_QST],0),MATCH(H$9,MMWR_RATING_STATE_ROLLUP_QST[#Headers],0)),"ERROR"))</f>
        <v>110.5</v>
      </c>
      <c r="I66" s="156">
        <f>IF($B66=" ","",IFERROR(INDEX(MMWR_RATING_STATE_ROLLUP_QST[],MATCH($B66,MMWR_RATING_STATE_ROLLUP_QST[MMWR_RATING_STATE_ROLLUP_QST],0),MATCH(I$9,MMWR_RATING_STATE_ROLLUP_QST[#Headers],0)),"ERROR"))</f>
        <v>126.2769230769</v>
      </c>
      <c r="J66" s="42"/>
      <c r="K66" s="42"/>
      <c r="L66" s="42"/>
      <c r="M66" s="42"/>
      <c r="N66" s="28"/>
    </row>
    <row r="67" spans="1:14" x14ac:dyDescent="0.2">
      <c r="A67" s="25"/>
      <c r="B67" s="377" t="s">
        <v>1049</v>
      </c>
      <c r="C67" s="378"/>
      <c r="D67" s="378"/>
      <c r="E67" s="378"/>
      <c r="F67" s="378"/>
      <c r="G67" s="378"/>
      <c r="H67" s="378"/>
      <c r="I67" s="378"/>
      <c r="J67" s="378"/>
      <c r="K67" s="378"/>
      <c r="L67" s="378"/>
      <c r="M67" s="387"/>
      <c r="N67" s="28"/>
    </row>
    <row r="68" spans="1:14" ht="25.5" x14ac:dyDescent="0.2">
      <c r="A68" s="25"/>
      <c r="B68" s="252" t="s">
        <v>1045</v>
      </c>
      <c r="C68" s="155">
        <f>IF($B68=" ","",IFERROR(INDEX(MMWR_RATING_STATE_ROLLUP_BDD[],MATCH($B68,MMWR_RATING_STATE_ROLLUP_BDD[MMWR_RATING_STATE_ROLLUP_BDD],0),MATCH(C$9,MMWR_RATING_STATE_ROLLUP_BDD[#Headers],0)),"ERROR"))</f>
        <v>10381</v>
      </c>
      <c r="D68" s="156">
        <f>IF($B68=" ","",IFERROR(INDEX(MMWR_RATING_STATE_ROLLUP_BDD[],MATCH($B68,MMWR_RATING_STATE_ROLLUP_BDD[MMWR_RATING_STATE_ROLLUP_BDD],0),MATCH(D$9,MMWR_RATING_STATE_ROLLUP_BDD[#Headers],0)),"ERROR"))</f>
        <v>67.965513919700001</v>
      </c>
      <c r="E68" s="157">
        <f>IF($B68=" ","",IFERROR(INDEX(MMWR_RATING_STATE_ROLLUP_BDD[],MATCH($B68,MMWR_RATING_STATE_ROLLUP_BDD[MMWR_RATING_STATE_ROLLUP_BDD],0),MATCH(E$9,MMWR_RATING_STATE_ROLLUP_BDD[#Headers],0))/$C68,"ERROR"))</f>
        <v>9.7196801849532805E-2</v>
      </c>
      <c r="F68" s="155">
        <f>IF($B68=" ","",IFERROR(INDEX(MMWR_RATING_STATE_ROLLUP_BDD[],MATCH($B68,MMWR_RATING_STATE_ROLLUP_BDD[MMWR_RATING_STATE_ROLLUP_BDD],0),MATCH(F$9,MMWR_RATING_STATE_ROLLUP_BDD[#Headers],0)),"ERROR"))</f>
        <v>893</v>
      </c>
      <c r="G68" s="155">
        <f>IF($B68=" ","",IFERROR(INDEX(MMWR_RATING_STATE_ROLLUP_BDD[],MATCH($B68,MMWR_RATING_STATE_ROLLUP_BDD[MMWR_RATING_STATE_ROLLUP_BDD],0),MATCH(G$9,MMWR_RATING_STATE_ROLLUP_BDD[#Headers],0)),"ERROR"))</f>
        <v>24509</v>
      </c>
      <c r="H68" s="156">
        <f>IF($B68=" ","",IFERROR(INDEX(MMWR_RATING_STATE_ROLLUP_BDD[],MATCH($B68,MMWR_RATING_STATE_ROLLUP_BDD[MMWR_RATING_STATE_ROLLUP_BDD],0),MATCH(H$9,MMWR_RATING_STATE_ROLLUP_BDD[#Headers],0)),"ERROR"))</f>
        <v>134.490481523</v>
      </c>
      <c r="I68" s="156">
        <f>IF($B68=" ","",IFERROR(INDEX(MMWR_RATING_STATE_ROLLUP_BDD[],MATCH($B68,MMWR_RATING_STATE_ROLLUP_BDD[MMWR_RATING_STATE_ROLLUP_BDD],0),MATCH(I$9,MMWR_RATING_STATE_ROLLUP_BDD[#Headers],0)),"ERROR"))</f>
        <v>150.25794606060001</v>
      </c>
      <c r="J68" s="42"/>
      <c r="K68" s="42"/>
      <c r="L68" s="42"/>
      <c r="M68" s="42"/>
      <c r="N68" s="28"/>
    </row>
    <row r="69" spans="1:14" x14ac:dyDescent="0.2">
      <c r="A69" s="25"/>
      <c r="B69" s="250" t="str">
        <f>INDEX(DISTRICT_STATES[],MATCH($B$5,DISTRICT_RO[District],0),1)</f>
        <v>North Atlantic</v>
      </c>
      <c r="C69" s="155">
        <f>IF($B69=" ","",IFERROR(INDEX(MMWR_RATING_STATE_ROLLUP_BDD[],MATCH($B69,MMWR_RATING_STATE_ROLLUP_BDD[MMWR_RATING_STATE_ROLLUP_BDD],0),MATCH(C$9,MMWR_RATING_STATE_ROLLUP_BDD[#Headers],0)),"ERROR"))</f>
        <v>3162</v>
      </c>
      <c r="D69" s="156">
        <f>IF($B69=" ","",IFERROR(INDEX(MMWR_RATING_STATE_ROLLUP_BDD[],MATCH($B69,MMWR_RATING_STATE_ROLLUP_BDD[MMWR_RATING_STATE_ROLLUP_BDD],0),MATCH(D$9,MMWR_RATING_STATE_ROLLUP_BDD[#Headers],0)),"ERROR"))</f>
        <v>67.268500948799996</v>
      </c>
      <c r="E69" s="157">
        <f>IF($B69=" ","",IFERROR(INDEX(MMWR_RATING_STATE_ROLLUP_BDD[],MATCH($B69,MMWR_RATING_STATE_ROLLUP_BDD[MMWR_RATING_STATE_ROLLUP_BDD],0),MATCH(E$9,MMWR_RATING_STATE_ROLLUP_BDD[#Headers],0))/$C69,"ERROR"))</f>
        <v>9.7406704617330808E-2</v>
      </c>
      <c r="F69" s="155">
        <f>IF($B69=" ","",IFERROR(INDEX(MMWR_RATING_STATE_ROLLUP_BDD[],MATCH($B69,MMWR_RATING_STATE_ROLLUP_BDD[MMWR_RATING_STATE_ROLLUP_BDD],0),MATCH(F$9,MMWR_RATING_STATE_ROLLUP_BDD[#Headers],0)),"ERROR"))</f>
        <v>212</v>
      </c>
      <c r="G69" s="155">
        <f>IF($B69=" ","",IFERROR(INDEX(MMWR_RATING_STATE_ROLLUP_BDD[],MATCH($B69,MMWR_RATING_STATE_ROLLUP_BDD[MMWR_RATING_STATE_ROLLUP_BDD],0),MATCH(G$9,MMWR_RATING_STATE_ROLLUP_BDD[#Headers],0)),"ERROR"))</f>
        <v>5484</v>
      </c>
      <c r="H69" s="156">
        <f>IF($B69=" ","",IFERROR(INDEX(MMWR_RATING_STATE_ROLLUP_BDD[],MATCH($B69,MMWR_RATING_STATE_ROLLUP_BDD[MMWR_RATING_STATE_ROLLUP_BDD],0),MATCH(H$9,MMWR_RATING_STATE_ROLLUP_BDD[#Headers],0)),"ERROR"))</f>
        <v>144.04716981129999</v>
      </c>
      <c r="I69" s="156">
        <f>IF($B69=" ","",IFERROR(INDEX(MMWR_RATING_STATE_ROLLUP_BDD[],MATCH($B69,MMWR_RATING_STATE_ROLLUP_BDD[MMWR_RATING_STATE_ROLLUP_BDD],0),MATCH(I$9,MMWR_RATING_STATE_ROLLUP_BDD[#Headers],0)),"ERROR"))</f>
        <v>139.61633843909999</v>
      </c>
      <c r="J69" s="42"/>
      <c r="K69" s="42"/>
      <c r="L69" s="42"/>
      <c r="M69" s="42"/>
      <c r="N69" s="28"/>
    </row>
    <row r="70" spans="1:14" x14ac:dyDescent="0.2">
      <c r="A70" s="25"/>
      <c r="B70" s="8" t="str">
        <f>VLOOKUP($B$15,DISTRICT_STATES[],2,0)</f>
        <v>Connecticut</v>
      </c>
      <c r="C70" s="155">
        <f>IF($B70=" ","",IFERROR(INDEX(MMWR_RATING_STATE_ROLLUP_BDD[],MATCH($B70,MMWR_RATING_STATE_ROLLUP_BDD[MMWR_RATING_STATE_ROLLUP_BDD],0),MATCH(C$9,MMWR_RATING_STATE_ROLLUP_BDD[#Headers],0)),"ERROR"))</f>
        <v>63</v>
      </c>
      <c r="D70" s="156">
        <f>IF($B70=" ","",IFERROR(INDEX(MMWR_RATING_STATE_ROLLUP_BDD[],MATCH($B70,MMWR_RATING_STATE_ROLLUP_BDD[MMWR_RATING_STATE_ROLLUP_BDD],0),MATCH(D$9,MMWR_RATING_STATE_ROLLUP_BDD[#Headers],0)),"ERROR"))</f>
        <v>59.285714285700003</v>
      </c>
      <c r="E70" s="157">
        <f>IF($B70=" ","",IFERROR(INDEX(MMWR_RATING_STATE_ROLLUP_BDD[],MATCH($B70,MMWR_RATING_STATE_ROLLUP_BDD[MMWR_RATING_STATE_ROLLUP_BDD],0),MATCH(E$9,MMWR_RATING_STATE_ROLLUP_BDD[#Headers],0))/$C70,"ERROR"))</f>
        <v>1.5873015873015872E-2</v>
      </c>
      <c r="F70" s="155">
        <f>IF($B70=" ","",IFERROR(INDEX(MMWR_RATING_STATE_ROLLUP_BDD[],MATCH($B70,MMWR_RATING_STATE_ROLLUP_BDD[MMWR_RATING_STATE_ROLLUP_BDD],0),MATCH(F$9,MMWR_RATING_STATE_ROLLUP_BDD[#Headers],0)),"ERROR"))</f>
        <v>2</v>
      </c>
      <c r="G70" s="155">
        <f>IF($B70=" ","",IFERROR(INDEX(MMWR_RATING_STATE_ROLLUP_BDD[],MATCH($B70,MMWR_RATING_STATE_ROLLUP_BDD[MMWR_RATING_STATE_ROLLUP_BDD],0),MATCH(G$9,MMWR_RATING_STATE_ROLLUP_BDD[#Headers],0)),"ERROR"))</f>
        <v>74</v>
      </c>
      <c r="H70" s="156">
        <f>IF($B70=" ","",IFERROR(INDEX(MMWR_RATING_STATE_ROLLUP_BDD[],MATCH($B70,MMWR_RATING_STATE_ROLLUP_BDD[MMWR_RATING_STATE_ROLLUP_BDD],0),MATCH(H$9,MMWR_RATING_STATE_ROLLUP_BDD[#Headers],0)),"ERROR"))</f>
        <v>156.5</v>
      </c>
      <c r="I70" s="156">
        <f>IF($B70=" ","",IFERROR(INDEX(MMWR_RATING_STATE_ROLLUP_BDD[],MATCH($B70,MMWR_RATING_STATE_ROLLUP_BDD[MMWR_RATING_STATE_ROLLUP_BDD],0),MATCH(I$9,MMWR_RATING_STATE_ROLLUP_BDD[#Headers],0)),"ERROR"))</f>
        <v>117.5</v>
      </c>
      <c r="J70" s="42"/>
      <c r="K70" s="42"/>
      <c r="L70" s="42"/>
      <c r="M70" s="42"/>
      <c r="N70" s="28"/>
    </row>
    <row r="71" spans="1:14" x14ac:dyDescent="0.2">
      <c r="A71" s="25"/>
      <c r="B71" s="8" t="str">
        <f>VLOOKUP($B$15,DISTRICT_STATES[],3,0)</f>
        <v>Delaware</v>
      </c>
      <c r="C71" s="155">
        <f>IF($B71=" ","",IFERROR(INDEX(MMWR_RATING_STATE_ROLLUP_BDD[],MATCH($B71,MMWR_RATING_STATE_ROLLUP_BDD[MMWR_RATING_STATE_ROLLUP_BDD],0),MATCH(C$9,MMWR_RATING_STATE_ROLLUP_BDD[#Headers],0)),"ERROR"))</f>
        <v>21</v>
      </c>
      <c r="D71" s="156">
        <f>IF($B71=" ","",IFERROR(INDEX(MMWR_RATING_STATE_ROLLUP_BDD[],MATCH($B71,MMWR_RATING_STATE_ROLLUP_BDD[MMWR_RATING_STATE_ROLLUP_BDD],0),MATCH(D$9,MMWR_RATING_STATE_ROLLUP_BDD[#Headers],0)),"ERROR"))</f>
        <v>77.142857142899999</v>
      </c>
      <c r="E71" s="157">
        <f>IF($B71=" ","",IFERROR(INDEX(MMWR_RATING_STATE_ROLLUP_BDD[],MATCH($B71,MMWR_RATING_STATE_ROLLUP_BDD[MMWR_RATING_STATE_ROLLUP_BDD],0),MATCH(E$9,MMWR_RATING_STATE_ROLLUP_BDD[#Headers],0))/$C71,"ERROR"))</f>
        <v>0.23809523809523808</v>
      </c>
      <c r="F71" s="155">
        <f>IF($B71=" ","",IFERROR(INDEX(MMWR_RATING_STATE_ROLLUP_BDD[],MATCH($B71,MMWR_RATING_STATE_ROLLUP_BDD[MMWR_RATING_STATE_ROLLUP_BDD],0),MATCH(F$9,MMWR_RATING_STATE_ROLLUP_BDD[#Headers],0)),"ERROR"))</f>
        <v>1</v>
      </c>
      <c r="G71" s="155">
        <f>IF($B71=" ","",IFERROR(INDEX(MMWR_RATING_STATE_ROLLUP_BDD[],MATCH($B71,MMWR_RATING_STATE_ROLLUP_BDD[MMWR_RATING_STATE_ROLLUP_BDD],0),MATCH(G$9,MMWR_RATING_STATE_ROLLUP_BDD[#Headers],0)),"ERROR"))</f>
        <v>38</v>
      </c>
      <c r="H71" s="156">
        <f>IF($B71=" ","",IFERROR(INDEX(MMWR_RATING_STATE_ROLLUP_BDD[],MATCH($B71,MMWR_RATING_STATE_ROLLUP_BDD[MMWR_RATING_STATE_ROLLUP_BDD],0),MATCH(H$9,MMWR_RATING_STATE_ROLLUP_BDD[#Headers],0)),"ERROR"))</f>
        <v>131</v>
      </c>
      <c r="I71" s="156">
        <f>IF($B71=" ","",IFERROR(INDEX(MMWR_RATING_STATE_ROLLUP_BDD[],MATCH($B71,MMWR_RATING_STATE_ROLLUP_BDD[MMWR_RATING_STATE_ROLLUP_BDD],0),MATCH(I$9,MMWR_RATING_STATE_ROLLUP_BDD[#Headers],0)),"ERROR"))</f>
        <v>121.7894736842</v>
      </c>
      <c r="J71" s="42"/>
      <c r="K71" s="42"/>
      <c r="L71" s="42"/>
      <c r="M71" s="42"/>
      <c r="N71" s="28"/>
    </row>
    <row r="72" spans="1:14" x14ac:dyDescent="0.2">
      <c r="A72" s="25"/>
      <c r="B72" s="8" t="str">
        <f>VLOOKUP($B$15,DISTRICT_STATES[],4,0)</f>
        <v>District of Columbia</v>
      </c>
      <c r="C72" s="155">
        <f>IF($B72=" ","",IFERROR(INDEX(MMWR_RATING_STATE_ROLLUP_BDD[],MATCH($B72,MMWR_RATING_STATE_ROLLUP_BDD[MMWR_RATING_STATE_ROLLUP_BDD],0),MATCH(C$9,MMWR_RATING_STATE_ROLLUP_BDD[#Headers],0)),"ERROR"))</f>
        <v>23</v>
      </c>
      <c r="D72" s="156">
        <f>IF($B72=" ","",IFERROR(INDEX(MMWR_RATING_STATE_ROLLUP_BDD[],MATCH($B72,MMWR_RATING_STATE_ROLLUP_BDD[MMWR_RATING_STATE_ROLLUP_BDD],0),MATCH(D$9,MMWR_RATING_STATE_ROLLUP_BDD[#Headers],0)),"ERROR"))</f>
        <v>52.304347826099999</v>
      </c>
      <c r="E72" s="157">
        <f>IF($B72=" ","",IFERROR(INDEX(MMWR_RATING_STATE_ROLLUP_BDD[],MATCH($B72,MMWR_RATING_STATE_ROLLUP_BDD[MMWR_RATING_STATE_ROLLUP_BDD],0),MATCH(E$9,MMWR_RATING_STATE_ROLLUP_BDD[#Headers],0))/$C72,"ERROR"))</f>
        <v>0</v>
      </c>
      <c r="F72" s="155">
        <f>IF($B72=" ","",IFERROR(INDEX(MMWR_RATING_STATE_ROLLUP_BDD[],MATCH($B72,MMWR_RATING_STATE_ROLLUP_BDD[MMWR_RATING_STATE_ROLLUP_BDD],0),MATCH(F$9,MMWR_RATING_STATE_ROLLUP_BDD[#Headers],0)),"ERROR"))</f>
        <v>4</v>
      </c>
      <c r="G72" s="155">
        <f>IF($B72=" ","",IFERROR(INDEX(MMWR_RATING_STATE_ROLLUP_BDD[],MATCH($B72,MMWR_RATING_STATE_ROLLUP_BDD[MMWR_RATING_STATE_ROLLUP_BDD],0),MATCH(G$9,MMWR_RATING_STATE_ROLLUP_BDD[#Headers],0)),"ERROR"))</f>
        <v>37</v>
      </c>
      <c r="H72" s="156">
        <f>IF($B72=" ","",IFERROR(INDEX(MMWR_RATING_STATE_ROLLUP_BDD[],MATCH($B72,MMWR_RATING_STATE_ROLLUP_BDD[MMWR_RATING_STATE_ROLLUP_BDD],0),MATCH(H$9,MMWR_RATING_STATE_ROLLUP_BDD[#Headers],0)),"ERROR"))</f>
        <v>113</v>
      </c>
      <c r="I72" s="156">
        <f>IF($B72=" ","",IFERROR(INDEX(MMWR_RATING_STATE_ROLLUP_BDD[],MATCH($B72,MMWR_RATING_STATE_ROLLUP_BDD[MMWR_RATING_STATE_ROLLUP_BDD],0),MATCH(I$9,MMWR_RATING_STATE_ROLLUP_BDD[#Headers],0)),"ERROR"))</f>
        <v>122.4864864865</v>
      </c>
      <c r="J72" s="42"/>
      <c r="K72" s="42"/>
      <c r="L72" s="42"/>
      <c r="M72" s="42"/>
      <c r="N72" s="28"/>
    </row>
    <row r="73" spans="1:14" x14ac:dyDescent="0.2">
      <c r="A73" s="25"/>
      <c r="B73" s="8" t="str">
        <f>VLOOKUP($B$15,DISTRICT_STATES[],5,0)</f>
        <v>Maine</v>
      </c>
      <c r="C73" s="155">
        <f>IF($B73=" ","",IFERROR(INDEX(MMWR_RATING_STATE_ROLLUP_BDD[],MATCH($B73,MMWR_RATING_STATE_ROLLUP_BDD[MMWR_RATING_STATE_ROLLUP_BDD],0),MATCH(C$9,MMWR_RATING_STATE_ROLLUP_BDD[#Headers],0)),"ERROR"))</f>
        <v>20</v>
      </c>
      <c r="D73" s="156">
        <f>IF($B73=" ","",IFERROR(INDEX(MMWR_RATING_STATE_ROLLUP_BDD[],MATCH($B73,MMWR_RATING_STATE_ROLLUP_BDD[MMWR_RATING_STATE_ROLLUP_BDD],0),MATCH(D$9,MMWR_RATING_STATE_ROLLUP_BDD[#Headers],0)),"ERROR"))</f>
        <v>73.150000000000006</v>
      </c>
      <c r="E73" s="157">
        <f>IF($B73=" ","",IFERROR(INDEX(MMWR_RATING_STATE_ROLLUP_BDD[],MATCH($B73,MMWR_RATING_STATE_ROLLUP_BDD[MMWR_RATING_STATE_ROLLUP_BDD],0),MATCH(E$9,MMWR_RATING_STATE_ROLLUP_BDD[#Headers],0))/$C73,"ERROR"))</f>
        <v>0.15</v>
      </c>
      <c r="F73" s="155">
        <f>IF($B73=" ","",IFERROR(INDEX(MMWR_RATING_STATE_ROLLUP_BDD[],MATCH($B73,MMWR_RATING_STATE_ROLLUP_BDD[MMWR_RATING_STATE_ROLLUP_BDD],0),MATCH(F$9,MMWR_RATING_STATE_ROLLUP_BDD[#Headers],0)),"ERROR"))</f>
        <v>1</v>
      </c>
      <c r="G73" s="155">
        <f>IF($B73=" ","",IFERROR(INDEX(MMWR_RATING_STATE_ROLLUP_BDD[],MATCH($B73,MMWR_RATING_STATE_ROLLUP_BDD[MMWR_RATING_STATE_ROLLUP_BDD],0),MATCH(G$9,MMWR_RATING_STATE_ROLLUP_BDD[#Headers],0)),"ERROR"))</f>
        <v>35</v>
      </c>
      <c r="H73" s="156">
        <f>IF($B73=" ","",IFERROR(INDEX(MMWR_RATING_STATE_ROLLUP_BDD[],MATCH($B73,MMWR_RATING_STATE_ROLLUP_BDD[MMWR_RATING_STATE_ROLLUP_BDD],0),MATCH(H$9,MMWR_RATING_STATE_ROLLUP_BDD[#Headers],0)),"ERROR"))</f>
        <v>41</v>
      </c>
      <c r="I73" s="156">
        <f>IF($B73=" ","",IFERROR(INDEX(MMWR_RATING_STATE_ROLLUP_BDD[],MATCH($B73,MMWR_RATING_STATE_ROLLUP_BDD[MMWR_RATING_STATE_ROLLUP_BDD],0),MATCH(I$9,MMWR_RATING_STATE_ROLLUP_BDD[#Headers],0)),"ERROR"))</f>
        <v>114.57142857140001</v>
      </c>
      <c r="J73" s="42"/>
      <c r="K73" s="42"/>
      <c r="L73" s="42"/>
      <c r="M73" s="42"/>
      <c r="N73" s="28"/>
    </row>
    <row r="74" spans="1:14" x14ac:dyDescent="0.2">
      <c r="A74" s="25"/>
      <c r="B74" s="8" t="str">
        <f>VLOOKUP($B$15,DISTRICT_STATES[],6,0)</f>
        <v>Maryland</v>
      </c>
      <c r="C74" s="155">
        <f>IF($B74=" ","",IFERROR(INDEX(MMWR_RATING_STATE_ROLLUP_BDD[],MATCH($B74,MMWR_RATING_STATE_ROLLUP_BDD[MMWR_RATING_STATE_ROLLUP_BDD],0),MATCH(C$9,MMWR_RATING_STATE_ROLLUP_BDD[#Headers],0)),"ERROR"))</f>
        <v>295</v>
      </c>
      <c r="D74" s="156">
        <f>IF($B74=" ","",IFERROR(INDEX(MMWR_RATING_STATE_ROLLUP_BDD[],MATCH($B74,MMWR_RATING_STATE_ROLLUP_BDD[MMWR_RATING_STATE_ROLLUP_BDD],0),MATCH(D$9,MMWR_RATING_STATE_ROLLUP_BDD[#Headers],0)),"ERROR"))</f>
        <v>72.467796610199997</v>
      </c>
      <c r="E74" s="157">
        <f>IF($B74=" ","",IFERROR(INDEX(MMWR_RATING_STATE_ROLLUP_BDD[],MATCH($B74,MMWR_RATING_STATE_ROLLUP_BDD[MMWR_RATING_STATE_ROLLUP_BDD],0),MATCH(E$9,MMWR_RATING_STATE_ROLLUP_BDD[#Headers],0))/$C74,"ERROR"))</f>
        <v>0.10169491525423729</v>
      </c>
      <c r="F74" s="155">
        <f>IF($B74=" ","",IFERROR(INDEX(MMWR_RATING_STATE_ROLLUP_BDD[],MATCH($B74,MMWR_RATING_STATE_ROLLUP_BDD[MMWR_RATING_STATE_ROLLUP_BDD],0),MATCH(F$9,MMWR_RATING_STATE_ROLLUP_BDD[#Headers],0)),"ERROR"))</f>
        <v>24</v>
      </c>
      <c r="G74" s="155">
        <f>IF($B74=" ","",IFERROR(INDEX(MMWR_RATING_STATE_ROLLUP_BDD[],MATCH($B74,MMWR_RATING_STATE_ROLLUP_BDD[MMWR_RATING_STATE_ROLLUP_BDD],0),MATCH(G$9,MMWR_RATING_STATE_ROLLUP_BDD[#Headers],0)),"ERROR"))</f>
        <v>619</v>
      </c>
      <c r="H74" s="156">
        <f>IF($B74=" ","",IFERROR(INDEX(MMWR_RATING_STATE_ROLLUP_BDD[],MATCH($B74,MMWR_RATING_STATE_ROLLUP_BDD[MMWR_RATING_STATE_ROLLUP_BDD],0),MATCH(H$9,MMWR_RATING_STATE_ROLLUP_BDD[#Headers],0)),"ERROR"))</f>
        <v>142.2916666667</v>
      </c>
      <c r="I74" s="156">
        <f>IF($B74=" ","",IFERROR(INDEX(MMWR_RATING_STATE_ROLLUP_BDD[],MATCH($B74,MMWR_RATING_STATE_ROLLUP_BDD[MMWR_RATING_STATE_ROLLUP_BDD],0),MATCH(I$9,MMWR_RATING_STATE_ROLLUP_BDD[#Headers],0)),"ERROR"))</f>
        <v>150.563812601</v>
      </c>
      <c r="J74" s="42"/>
      <c r="K74" s="42"/>
      <c r="L74" s="42"/>
      <c r="M74" s="42"/>
      <c r="N74" s="28"/>
    </row>
    <row r="75" spans="1:14" x14ac:dyDescent="0.2">
      <c r="A75" s="25"/>
      <c r="B75" s="8" t="str">
        <f>VLOOKUP($B$15,DISTRICT_STATES[],7,0)</f>
        <v>Massachusetts</v>
      </c>
      <c r="C75" s="155">
        <f>IF($B75=" ","",IFERROR(INDEX(MMWR_RATING_STATE_ROLLUP_BDD[],MATCH($B75,MMWR_RATING_STATE_ROLLUP_BDD[MMWR_RATING_STATE_ROLLUP_BDD],0),MATCH(C$9,MMWR_RATING_STATE_ROLLUP_BDD[#Headers],0)),"ERROR"))</f>
        <v>48</v>
      </c>
      <c r="D75" s="156">
        <f>IF($B75=" ","",IFERROR(INDEX(MMWR_RATING_STATE_ROLLUP_BDD[],MATCH($B75,MMWR_RATING_STATE_ROLLUP_BDD[MMWR_RATING_STATE_ROLLUP_BDD],0),MATCH(D$9,MMWR_RATING_STATE_ROLLUP_BDD[#Headers],0)),"ERROR"))</f>
        <v>67.333333333300004</v>
      </c>
      <c r="E75" s="157">
        <f>IF($B75=" ","",IFERROR(INDEX(MMWR_RATING_STATE_ROLLUP_BDD[],MATCH($B75,MMWR_RATING_STATE_ROLLUP_BDD[MMWR_RATING_STATE_ROLLUP_BDD],0),MATCH(E$9,MMWR_RATING_STATE_ROLLUP_BDD[#Headers],0))/$C75,"ERROR"))</f>
        <v>0.14583333333333334</v>
      </c>
      <c r="F75" s="155">
        <f>IF($B75=" ","",IFERROR(INDEX(MMWR_RATING_STATE_ROLLUP_BDD[],MATCH($B75,MMWR_RATING_STATE_ROLLUP_BDD[MMWR_RATING_STATE_ROLLUP_BDD],0),MATCH(F$9,MMWR_RATING_STATE_ROLLUP_BDD[#Headers],0)),"ERROR"))</f>
        <v>1</v>
      </c>
      <c r="G75" s="155">
        <f>IF($B75=" ","",IFERROR(INDEX(MMWR_RATING_STATE_ROLLUP_BDD[],MATCH($B75,MMWR_RATING_STATE_ROLLUP_BDD[MMWR_RATING_STATE_ROLLUP_BDD],0),MATCH(G$9,MMWR_RATING_STATE_ROLLUP_BDD[#Headers],0)),"ERROR"))</f>
        <v>122</v>
      </c>
      <c r="H75" s="156">
        <f>IF($B75=" ","",IFERROR(INDEX(MMWR_RATING_STATE_ROLLUP_BDD[],MATCH($B75,MMWR_RATING_STATE_ROLLUP_BDD[MMWR_RATING_STATE_ROLLUP_BDD],0),MATCH(H$9,MMWR_RATING_STATE_ROLLUP_BDD[#Headers],0)),"ERROR"))</f>
        <v>107</v>
      </c>
      <c r="I75" s="156">
        <f>IF($B75=" ","",IFERROR(INDEX(MMWR_RATING_STATE_ROLLUP_BDD[],MATCH($B75,MMWR_RATING_STATE_ROLLUP_BDD[MMWR_RATING_STATE_ROLLUP_BDD],0),MATCH(I$9,MMWR_RATING_STATE_ROLLUP_BDD[#Headers],0)),"ERROR"))</f>
        <v>155.20491803280001</v>
      </c>
      <c r="J75" s="42"/>
      <c r="K75" s="42"/>
      <c r="L75" s="42"/>
      <c r="M75" s="42"/>
      <c r="N75" s="28"/>
    </row>
    <row r="76" spans="1:14" x14ac:dyDescent="0.2">
      <c r="A76" s="25"/>
      <c r="B76" s="8" t="str">
        <f>VLOOKUP($B$15,DISTRICT_STATES[],8,0)</f>
        <v>New Hampshire</v>
      </c>
      <c r="C76" s="155">
        <f>IF($B76=" ","",IFERROR(INDEX(MMWR_RATING_STATE_ROLLUP_BDD[],MATCH($B76,MMWR_RATING_STATE_ROLLUP_BDD[MMWR_RATING_STATE_ROLLUP_BDD],0),MATCH(C$9,MMWR_RATING_STATE_ROLLUP_BDD[#Headers],0)),"ERROR"))</f>
        <v>17</v>
      </c>
      <c r="D76" s="156">
        <f>IF($B76=" ","",IFERROR(INDEX(MMWR_RATING_STATE_ROLLUP_BDD[],MATCH($B76,MMWR_RATING_STATE_ROLLUP_BDD[MMWR_RATING_STATE_ROLLUP_BDD],0),MATCH(D$9,MMWR_RATING_STATE_ROLLUP_BDD[#Headers],0)),"ERROR"))</f>
        <v>88.941176470599999</v>
      </c>
      <c r="E76" s="157">
        <f>IF($B76=" ","",IFERROR(INDEX(MMWR_RATING_STATE_ROLLUP_BDD[],MATCH($B76,MMWR_RATING_STATE_ROLLUP_BDD[MMWR_RATING_STATE_ROLLUP_BDD],0),MATCH(E$9,MMWR_RATING_STATE_ROLLUP_BDD[#Headers],0))/$C76,"ERROR"))</f>
        <v>0.17647058823529413</v>
      </c>
      <c r="F76" s="155">
        <f>IF($B76=" ","",IFERROR(INDEX(MMWR_RATING_STATE_ROLLUP_BDD[],MATCH($B76,MMWR_RATING_STATE_ROLLUP_BDD[MMWR_RATING_STATE_ROLLUP_BDD],0),MATCH(F$9,MMWR_RATING_STATE_ROLLUP_BDD[#Headers],0)),"ERROR"))</f>
        <v>2</v>
      </c>
      <c r="G76" s="155">
        <f>IF($B76=" ","",IFERROR(INDEX(MMWR_RATING_STATE_ROLLUP_BDD[],MATCH($B76,MMWR_RATING_STATE_ROLLUP_BDD[MMWR_RATING_STATE_ROLLUP_BDD],0),MATCH(G$9,MMWR_RATING_STATE_ROLLUP_BDD[#Headers],0)),"ERROR"))</f>
        <v>31</v>
      </c>
      <c r="H76" s="156">
        <f>IF($B76=" ","",IFERROR(INDEX(MMWR_RATING_STATE_ROLLUP_BDD[],MATCH($B76,MMWR_RATING_STATE_ROLLUP_BDD[MMWR_RATING_STATE_ROLLUP_BDD],0),MATCH(H$9,MMWR_RATING_STATE_ROLLUP_BDD[#Headers],0)),"ERROR"))</f>
        <v>128</v>
      </c>
      <c r="I76" s="156">
        <f>IF($B76=" ","",IFERROR(INDEX(MMWR_RATING_STATE_ROLLUP_BDD[],MATCH($B76,MMWR_RATING_STATE_ROLLUP_BDD[MMWR_RATING_STATE_ROLLUP_BDD],0),MATCH(I$9,MMWR_RATING_STATE_ROLLUP_BDD[#Headers],0)),"ERROR"))</f>
        <v>149.935483871</v>
      </c>
      <c r="J76" s="42"/>
      <c r="K76" s="42"/>
      <c r="L76" s="42"/>
      <c r="M76" s="42"/>
      <c r="N76" s="28"/>
    </row>
    <row r="77" spans="1:14" x14ac:dyDescent="0.2">
      <c r="A77" s="25"/>
      <c r="B77" s="8" t="str">
        <f>VLOOKUP($B$15,DISTRICT_STATES[],9,0)</f>
        <v>New Jersey</v>
      </c>
      <c r="C77" s="155">
        <f>IF($B77=" ","",IFERROR(INDEX(MMWR_RATING_STATE_ROLLUP_BDD[],MATCH($B77,MMWR_RATING_STATE_ROLLUP_BDD[MMWR_RATING_STATE_ROLLUP_BDD],0),MATCH(C$9,MMWR_RATING_STATE_ROLLUP_BDD[#Headers],0)),"ERROR"))</f>
        <v>69</v>
      </c>
      <c r="D77" s="156">
        <f>IF($B77=" ","",IFERROR(INDEX(MMWR_RATING_STATE_ROLLUP_BDD[],MATCH($B77,MMWR_RATING_STATE_ROLLUP_BDD[MMWR_RATING_STATE_ROLLUP_BDD],0),MATCH(D$9,MMWR_RATING_STATE_ROLLUP_BDD[#Headers],0)),"ERROR"))</f>
        <v>70.782608695700006</v>
      </c>
      <c r="E77" s="157">
        <f>IF($B77=" ","",IFERROR(INDEX(MMWR_RATING_STATE_ROLLUP_BDD[],MATCH($B77,MMWR_RATING_STATE_ROLLUP_BDD[MMWR_RATING_STATE_ROLLUP_BDD],0),MATCH(E$9,MMWR_RATING_STATE_ROLLUP_BDD[#Headers],0))/$C77,"ERROR"))</f>
        <v>0.14492753623188406</v>
      </c>
      <c r="F77" s="155">
        <f>IF($B77=" ","",IFERROR(INDEX(MMWR_RATING_STATE_ROLLUP_BDD[],MATCH($B77,MMWR_RATING_STATE_ROLLUP_BDD[MMWR_RATING_STATE_ROLLUP_BDD],0),MATCH(F$9,MMWR_RATING_STATE_ROLLUP_BDD[#Headers],0)),"ERROR"))</f>
        <v>7</v>
      </c>
      <c r="G77" s="155">
        <f>IF($B77=" ","",IFERROR(INDEX(MMWR_RATING_STATE_ROLLUP_BDD[],MATCH($B77,MMWR_RATING_STATE_ROLLUP_BDD[MMWR_RATING_STATE_ROLLUP_BDD],0),MATCH(G$9,MMWR_RATING_STATE_ROLLUP_BDD[#Headers],0)),"ERROR"))</f>
        <v>182</v>
      </c>
      <c r="H77" s="156">
        <f>IF($B77=" ","",IFERROR(INDEX(MMWR_RATING_STATE_ROLLUP_BDD[],MATCH($B77,MMWR_RATING_STATE_ROLLUP_BDD[MMWR_RATING_STATE_ROLLUP_BDD],0),MATCH(H$9,MMWR_RATING_STATE_ROLLUP_BDD[#Headers],0)),"ERROR"))</f>
        <v>129.28571428570001</v>
      </c>
      <c r="I77" s="156">
        <f>IF($B77=" ","",IFERROR(INDEX(MMWR_RATING_STATE_ROLLUP_BDD[],MATCH($B77,MMWR_RATING_STATE_ROLLUP_BDD[MMWR_RATING_STATE_ROLLUP_BDD],0),MATCH(I$9,MMWR_RATING_STATE_ROLLUP_BDD[#Headers],0)),"ERROR"))</f>
        <v>140.01098901099999</v>
      </c>
      <c r="J77" s="42"/>
      <c r="K77" s="42"/>
      <c r="L77" s="42"/>
      <c r="M77" s="42"/>
      <c r="N77" s="28"/>
    </row>
    <row r="78" spans="1:14" x14ac:dyDescent="0.2">
      <c r="A78" s="25"/>
      <c r="B78" s="8" t="str">
        <f>VLOOKUP($B$15,DISTRICT_STATES[],10,0)</f>
        <v>New York</v>
      </c>
      <c r="C78" s="155">
        <f>IF($B78=" ","",IFERROR(INDEX(MMWR_RATING_STATE_ROLLUP_BDD[],MATCH($B78,MMWR_RATING_STATE_ROLLUP_BDD[MMWR_RATING_STATE_ROLLUP_BDD],0),MATCH(C$9,MMWR_RATING_STATE_ROLLUP_BDD[#Headers],0)),"ERROR"))</f>
        <v>161</v>
      </c>
      <c r="D78" s="156">
        <f>IF($B78=" ","",IFERROR(INDEX(MMWR_RATING_STATE_ROLLUP_BDD[],MATCH($B78,MMWR_RATING_STATE_ROLLUP_BDD[MMWR_RATING_STATE_ROLLUP_BDD],0),MATCH(D$9,MMWR_RATING_STATE_ROLLUP_BDD[#Headers],0)),"ERROR"))</f>
        <v>70.701863353999997</v>
      </c>
      <c r="E78" s="157">
        <f>IF($B78=" ","",IFERROR(INDEX(MMWR_RATING_STATE_ROLLUP_BDD[],MATCH($B78,MMWR_RATING_STATE_ROLLUP_BDD[MMWR_RATING_STATE_ROLLUP_BDD],0),MATCH(E$9,MMWR_RATING_STATE_ROLLUP_BDD[#Headers],0))/$C78,"ERROR"))</f>
        <v>0.11801242236024845</v>
      </c>
      <c r="F78" s="155">
        <f>IF($B78=" ","",IFERROR(INDEX(MMWR_RATING_STATE_ROLLUP_BDD[],MATCH($B78,MMWR_RATING_STATE_ROLLUP_BDD[MMWR_RATING_STATE_ROLLUP_BDD],0),MATCH(F$9,MMWR_RATING_STATE_ROLLUP_BDD[#Headers],0)),"ERROR"))</f>
        <v>17</v>
      </c>
      <c r="G78" s="155">
        <f>IF($B78=" ","",IFERROR(INDEX(MMWR_RATING_STATE_ROLLUP_BDD[],MATCH($B78,MMWR_RATING_STATE_ROLLUP_BDD[MMWR_RATING_STATE_ROLLUP_BDD],0),MATCH(G$9,MMWR_RATING_STATE_ROLLUP_BDD[#Headers],0)),"ERROR"))</f>
        <v>436</v>
      </c>
      <c r="H78" s="156">
        <f>IF($B78=" ","",IFERROR(INDEX(MMWR_RATING_STATE_ROLLUP_BDD[],MATCH($B78,MMWR_RATING_STATE_ROLLUP_BDD[MMWR_RATING_STATE_ROLLUP_BDD],0),MATCH(H$9,MMWR_RATING_STATE_ROLLUP_BDD[#Headers],0)),"ERROR"))</f>
        <v>143.8823529412</v>
      </c>
      <c r="I78" s="156">
        <f>IF($B78=" ","",IFERROR(INDEX(MMWR_RATING_STATE_ROLLUP_BDD[],MATCH($B78,MMWR_RATING_STATE_ROLLUP_BDD[MMWR_RATING_STATE_ROLLUP_BDD],0),MATCH(I$9,MMWR_RATING_STATE_ROLLUP_BDD[#Headers],0)),"ERROR"))</f>
        <v>147.8004587156</v>
      </c>
      <c r="J78" s="42"/>
      <c r="K78" s="42"/>
      <c r="L78" s="42"/>
      <c r="M78" s="42"/>
      <c r="N78" s="28"/>
    </row>
    <row r="79" spans="1:14" x14ac:dyDescent="0.2">
      <c r="A79" s="25"/>
      <c r="B79" s="8" t="str">
        <f>VLOOKUP($B$15,DISTRICT_STATES[],11,0)</f>
        <v>North Carolina</v>
      </c>
      <c r="C79" s="155">
        <f>IF($B79=" ","",IFERROR(INDEX(MMWR_RATING_STATE_ROLLUP_BDD[],MATCH($B79,MMWR_RATING_STATE_ROLLUP_BDD[MMWR_RATING_STATE_ROLLUP_BDD],0),MATCH(C$9,MMWR_RATING_STATE_ROLLUP_BDD[#Headers],0)),"ERROR"))</f>
        <v>1228</v>
      </c>
      <c r="D79" s="156">
        <f>IF($B79=" ","",IFERROR(INDEX(MMWR_RATING_STATE_ROLLUP_BDD[],MATCH($B79,MMWR_RATING_STATE_ROLLUP_BDD[MMWR_RATING_STATE_ROLLUP_BDD],0),MATCH(D$9,MMWR_RATING_STATE_ROLLUP_BDD[#Headers],0)),"ERROR"))</f>
        <v>63.791530944599998</v>
      </c>
      <c r="E79" s="157">
        <f>IF($B79=" ","",IFERROR(INDEX(MMWR_RATING_STATE_ROLLUP_BDD[],MATCH($B79,MMWR_RATING_STATE_ROLLUP_BDD[MMWR_RATING_STATE_ROLLUP_BDD],0),MATCH(E$9,MMWR_RATING_STATE_ROLLUP_BDD[#Headers],0))/$C79,"ERROR"))</f>
        <v>8.7133550488599346E-2</v>
      </c>
      <c r="F79" s="155">
        <f>IF($B79=" ","",IFERROR(INDEX(MMWR_RATING_STATE_ROLLUP_BDD[],MATCH($B79,MMWR_RATING_STATE_ROLLUP_BDD[MMWR_RATING_STATE_ROLLUP_BDD],0),MATCH(F$9,MMWR_RATING_STATE_ROLLUP_BDD[#Headers],0)),"ERROR"))</f>
        <v>64</v>
      </c>
      <c r="G79" s="155">
        <f>IF($B79=" ","",IFERROR(INDEX(MMWR_RATING_STATE_ROLLUP_BDD[],MATCH($B79,MMWR_RATING_STATE_ROLLUP_BDD[MMWR_RATING_STATE_ROLLUP_BDD],0),MATCH(G$9,MMWR_RATING_STATE_ROLLUP_BDD[#Headers],0)),"ERROR"))</f>
        <v>1738</v>
      </c>
      <c r="H79" s="156">
        <f>IF($B79=" ","",IFERROR(INDEX(MMWR_RATING_STATE_ROLLUP_BDD[],MATCH($B79,MMWR_RATING_STATE_ROLLUP_BDD[MMWR_RATING_STATE_ROLLUP_BDD],0),MATCH(H$9,MMWR_RATING_STATE_ROLLUP_BDD[#Headers],0)),"ERROR"))</f>
        <v>149.078125</v>
      </c>
      <c r="I79" s="156">
        <f>IF($B79=" ","",IFERROR(INDEX(MMWR_RATING_STATE_ROLLUP_BDD[],MATCH($B79,MMWR_RATING_STATE_ROLLUP_BDD[MMWR_RATING_STATE_ROLLUP_BDD],0),MATCH(I$9,MMWR_RATING_STATE_ROLLUP_BDD[#Headers],0)),"ERROR"))</f>
        <v>129.40161104719999</v>
      </c>
      <c r="J79" s="42"/>
      <c r="K79" s="42"/>
      <c r="L79" s="42"/>
      <c r="M79" s="42"/>
      <c r="N79" s="28"/>
    </row>
    <row r="80" spans="1:14" x14ac:dyDescent="0.2">
      <c r="A80" s="25"/>
      <c r="B80" s="8" t="str">
        <f>VLOOKUP($B$15,DISTRICT_STATES[],12,0)</f>
        <v>Pennsylvania</v>
      </c>
      <c r="C80" s="155">
        <f>IF($B80=" ","",IFERROR(INDEX(MMWR_RATING_STATE_ROLLUP_BDD[],MATCH($B80,MMWR_RATING_STATE_ROLLUP_BDD[MMWR_RATING_STATE_ROLLUP_BDD],0),MATCH(C$9,MMWR_RATING_STATE_ROLLUP_BDD[#Headers],0)),"ERROR"))</f>
        <v>116</v>
      </c>
      <c r="D80" s="156">
        <f>IF($B80=" ","",IFERROR(INDEX(MMWR_RATING_STATE_ROLLUP_BDD[],MATCH($B80,MMWR_RATING_STATE_ROLLUP_BDD[MMWR_RATING_STATE_ROLLUP_BDD],0),MATCH(D$9,MMWR_RATING_STATE_ROLLUP_BDD[#Headers],0)),"ERROR"))</f>
        <v>66.870689655199996</v>
      </c>
      <c r="E80" s="157">
        <f>IF($B80=" ","",IFERROR(INDEX(MMWR_RATING_STATE_ROLLUP_BDD[],MATCH($B80,MMWR_RATING_STATE_ROLLUP_BDD[MMWR_RATING_STATE_ROLLUP_BDD],0),MATCH(E$9,MMWR_RATING_STATE_ROLLUP_BDD[#Headers],0))/$C80,"ERROR"))</f>
        <v>6.8965517241379309E-2</v>
      </c>
      <c r="F80" s="155">
        <f>IF($B80=" ","",IFERROR(INDEX(MMWR_RATING_STATE_ROLLUP_BDD[],MATCH($B80,MMWR_RATING_STATE_ROLLUP_BDD[MMWR_RATING_STATE_ROLLUP_BDD],0),MATCH(F$9,MMWR_RATING_STATE_ROLLUP_BDD[#Headers],0)),"ERROR"))</f>
        <v>9</v>
      </c>
      <c r="G80" s="155">
        <f>IF($B80=" ","",IFERROR(INDEX(MMWR_RATING_STATE_ROLLUP_BDD[],MATCH($B80,MMWR_RATING_STATE_ROLLUP_BDD[MMWR_RATING_STATE_ROLLUP_BDD],0),MATCH(G$9,MMWR_RATING_STATE_ROLLUP_BDD[#Headers],0)),"ERROR"))</f>
        <v>335</v>
      </c>
      <c r="H80" s="156">
        <f>IF($B80=" ","",IFERROR(INDEX(MMWR_RATING_STATE_ROLLUP_BDD[],MATCH($B80,MMWR_RATING_STATE_ROLLUP_BDD[MMWR_RATING_STATE_ROLLUP_BDD],0),MATCH(H$9,MMWR_RATING_STATE_ROLLUP_BDD[#Headers],0)),"ERROR"))</f>
        <v>148.2222222222</v>
      </c>
      <c r="I80" s="156">
        <f>IF($B80=" ","",IFERROR(INDEX(MMWR_RATING_STATE_ROLLUP_BDD[],MATCH($B80,MMWR_RATING_STATE_ROLLUP_BDD[MMWR_RATING_STATE_ROLLUP_BDD],0),MATCH(I$9,MMWR_RATING_STATE_ROLLUP_BDD[#Headers],0)),"ERROR"))</f>
        <v>153.14626865669999</v>
      </c>
      <c r="J80" s="42"/>
      <c r="K80" s="42"/>
      <c r="L80" s="42"/>
      <c r="M80" s="42"/>
      <c r="N80" s="28"/>
    </row>
    <row r="81" spans="1:14" x14ac:dyDescent="0.2">
      <c r="A81" s="25"/>
      <c r="B81" s="8" t="str">
        <f>VLOOKUP($B$15,DISTRICT_STATES[],13,0)</f>
        <v>Rhode Island</v>
      </c>
      <c r="C81" s="155">
        <f>IF($B81=" ","",IFERROR(INDEX(MMWR_RATING_STATE_ROLLUP_BDD[],MATCH($B81,MMWR_RATING_STATE_ROLLUP_BDD[MMWR_RATING_STATE_ROLLUP_BDD],0),MATCH(C$9,MMWR_RATING_STATE_ROLLUP_BDD[#Headers],0)),"ERROR"))</f>
        <v>7</v>
      </c>
      <c r="D81" s="156">
        <f>IF($B81=" ","",IFERROR(INDEX(MMWR_RATING_STATE_ROLLUP_BDD[],MATCH($B81,MMWR_RATING_STATE_ROLLUP_BDD[MMWR_RATING_STATE_ROLLUP_BDD],0),MATCH(D$9,MMWR_RATING_STATE_ROLLUP_BDD[#Headers],0)),"ERROR"))</f>
        <v>50.285714285700003</v>
      </c>
      <c r="E81" s="157">
        <f>IF($B81=" ","",IFERROR(INDEX(MMWR_RATING_STATE_ROLLUP_BDD[],MATCH($B81,MMWR_RATING_STATE_ROLLUP_BDD[MMWR_RATING_STATE_ROLLUP_BDD],0),MATCH(E$9,MMWR_RATING_STATE_ROLLUP_BDD[#Headers],0))/$C81,"ERROR"))</f>
        <v>0</v>
      </c>
      <c r="F81" s="155">
        <f>IF($B81=" ","",IFERROR(INDEX(MMWR_RATING_STATE_ROLLUP_BDD[],MATCH($B81,MMWR_RATING_STATE_ROLLUP_BDD[MMWR_RATING_STATE_ROLLUP_BDD],0),MATCH(F$9,MMWR_RATING_STATE_ROLLUP_BDD[#Headers],0)),"ERROR"))</f>
        <v>2</v>
      </c>
      <c r="G81" s="155">
        <f>IF($B81=" ","",IFERROR(INDEX(MMWR_RATING_STATE_ROLLUP_BDD[],MATCH($B81,MMWR_RATING_STATE_ROLLUP_BDD[MMWR_RATING_STATE_ROLLUP_BDD],0),MATCH(G$9,MMWR_RATING_STATE_ROLLUP_BDD[#Headers],0)),"ERROR"))</f>
        <v>16</v>
      </c>
      <c r="H81" s="156">
        <f>IF($B81=" ","",IFERROR(INDEX(MMWR_RATING_STATE_ROLLUP_BDD[],MATCH($B81,MMWR_RATING_STATE_ROLLUP_BDD[MMWR_RATING_STATE_ROLLUP_BDD],0),MATCH(H$9,MMWR_RATING_STATE_ROLLUP_BDD[#Headers],0)),"ERROR"))</f>
        <v>63</v>
      </c>
      <c r="I81" s="156">
        <f>IF($B81=" ","",IFERROR(INDEX(MMWR_RATING_STATE_ROLLUP_BDD[],MATCH($B81,MMWR_RATING_STATE_ROLLUP_BDD[MMWR_RATING_STATE_ROLLUP_BDD],0),MATCH(I$9,MMWR_RATING_STATE_ROLLUP_BDD[#Headers],0)),"ERROR"))</f>
        <v>126.625</v>
      </c>
      <c r="J81" s="42"/>
      <c r="K81" s="42"/>
      <c r="L81" s="42"/>
      <c r="M81" s="42"/>
      <c r="N81" s="28"/>
    </row>
    <row r="82" spans="1:14" x14ac:dyDescent="0.2">
      <c r="A82" s="25"/>
      <c r="B82" s="8" t="str">
        <f>VLOOKUP($B$15,DISTRICT_STATES[],14,0)</f>
        <v>Vermont</v>
      </c>
      <c r="C82" s="155">
        <f>IF($B82=" ","",IFERROR(INDEX(MMWR_RATING_STATE_ROLLUP_BDD[],MATCH($B82,MMWR_RATING_STATE_ROLLUP_BDD[MMWR_RATING_STATE_ROLLUP_BDD],0),MATCH(C$9,MMWR_RATING_STATE_ROLLUP_BDD[#Headers],0)),"ERROR"))</f>
        <v>6</v>
      </c>
      <c r="D82" s="156">
        <f>IF($B82=" ","",IFERROR(INDEX(MMWR_RATING_STATE_ROLLUP_BDD[],MATCH($B82,MMWR_RATING_STATE_ROLLUP_BDD[MMWR_RATING_STATE_ROLLUP_BDD],0),MATCH(D$9,MMWR_RATING_STATE_ROLLUP_BDD[#Headers],0)),"ERROR"))</f>
        <v>76</v>
      </c>
      <c r="E82" s="157">
        <f>IF($B82=" ","",IFERROR(INDEX(MMWR_RATING_STATE_ROLLUP_BDD[],MATCH($B82,MMWR_RATING_STATE_ROLLUP_BDD[MMWR_RATING_STATE_ROLLUP_BDD],0),MATCH(E$9,MMWR_RATING_STATE_ROLLUP_BDD[#Headers],0))/$C82,"ERROR"))</f>
        <v>0.16666666666666666</v>
      </c>
      <c r="F82" s="155">
        <f>IF($B82=" ","",IFERROR(INDEX(MMWR_RATING_STATE_ROLLUP_BDD[],MATCH($B82,MMWR_RATING_STATE_ROLLUP_BDD[MMWR_RATING_STATE_ROLLUP_BDD],0),MATCH(F$9,MMWR_RATING_STATE_ROLLUP_BDD[#Headers],0)),"ERROR"))</f>
        <v>1</v>
      </c>
      <c r="G82" s="155">
        <f>IF($B82=" ","",IFERROR(INDEX(MMWR_RATING_STATE_ROLLUP_BDD[],MATCH($B82,MMWR_RATING_STATE_ROLLUP_BDD[MMWR_RATING_STATE_ROLLUP_BDD],0),MATCH(G$9,MMWR_RATING_STATE_ROLLUP_BDD[#Headers],0)),"ERROR"))</f>
        <v>17</v>
      </c>
      <c r="H82" s="156">
        <f>IF($B82=" ","",IFERROR(INDEX(MMWR_RATING_STATE_ROLLUP_BDD[],MATCH($B82,MMWR_RATING_STATE_ROLLUP_BDD[MMWR_RATING_STATE_ROLLUP_BDD],0),MATCH(H$9,MMWR_RATING_STATE_ROLLUP_BDD[#Headers],0)),"ERROR"))</f>
        <v>16</v>
      </c>
      <c r="I82" s="156">
        <f>IF($B82=" ","",IFERROR(INDEX(MMWR_RATING_STATE_ROLLUP_BDD[],MATCH($B82,MMWR_RATING_STATE_ROLLUP_BDD[MMWR_RATING_STATE_ROLLUP_BDD],0),MATCH(I$9,MMWR_RATING_STATE_ROLLUP_BDD[#Headers],0)),"ERROR"))</f>
        <v>145.8823529412</v>
      </c>
      <c r="J82" s="42"/>
      <c r="K82" s="42"/>
      <c r="L82" s="42"/>
      <c r="M82" s="42"/>
      <c r="N82" s="28"/>
    </row>
    <row r="83" spans="1:14" x14ac:dyDescent="0.2">
      <c r="A83" s="25"/>
      <c r="B83" s="8" t="str">
        <f>VLOOKUP($B$15,DISTRICT_STATES[],15,0)</f>
        <v>Virginia</v>
      </c>
      <c r="C83" s="155">
        <f>IF($B83=" ","",IFERROR(INDEX(MMWR_RATING_STATE_ROLLUP_BDD[],MATCH($B83,MMWR_RATING_STATE_ROLLUP_BDD[MMWR_RATING_STATE_ROLLUP_BDD],0),MATCH(C$9,MMWR_RATING_STATE_ROLLUP_BDD[#Headers],0)),"ERROR"))</f>
        <v>1059</v>
      </c>
      <c r="D83" s="156">
        <f>IF($B83=" ","",IFERROR(INDEX(MMWR_RATING_STATE_ROLLUP_BDD[],MATCH($B83,MMWR_RATING_STATE_ROLLUP_BDD[MMWR_RATING_STATE_ROLLUP_BDD],0),MATCH(D$9,MMWR_RATING_STATE_ROLLUP_BDD[#Headers],0)),"ERROR"))</f>
        <v>69</v>
      </c>
      <c r="E83" s="157">
        <f>IF($B83=" ","",IFERROR(INDEX(MMWR_RATING_STATE_ROLLUP_BDD[],MATCH($B83,MMWR_RATING_STATE_ROLLUP_BDD[MMWR_RATING_STATE_ROLLUP_BDD],0),MATCH(E$9,MMWR_RATING_STATE_ROLLUP_BDD[#Headers],0))/$C83,"ERROR"))</f>
        <v>0.10576015108593012</v>
      </c>
      <c r="F83" s="155">
        <f>IF($B83=" ","",IFERROR(INDEX(MMWR_RATING_STATE_ROLLUP_BDD[],MATCH($B83,MMWR_RATING_STATE_ROLLUP_BDD[MMWR_RATING_STATE_ROLLUP_BDD],0),MATCH(F$9,MMWR_RATING_STATE_ROLLUP_BDD[#Headers],0)),"ERROR"))</f>
        <v>74</v>
      </c>
      <c r="G83" s="155">
        <f>IF($B83=" ","",IFERROR(INDEX(MMWR_RATING_STATE_ROLLUP_BDD[],MATCH($B83,MMWR_RATING_STATE_ROLLUP_BDD[MMWR_RATING_STATE_ROLLUP_BDD],0),MATCH(G$9,MMWR_RATING_STATE_ROLLUP_BDD[#Headers],0)),"ERROR"))</f>
        <v>1743</v>
      </c>
      <c r="H83" s="156">
        <f>IF($B83=" ","",IFERROR(INDEX(MMWR_RATING_STATE_ROLLUP_BDD[],MATCH($B83,MMWR_RATING_STATE_ROLLUP_BDD[MMWR_RATING_STATE_ROLLUP_BDD],0),MATCH(H$9,MMWR_RATING_STATE_ROLLUP_BDD[#Headers],0)),"ERROR"))</f>
        <v>150.17567567570001</v>
      </c>
      <c r="I83" s="156">
        <f>IF($B83=" ","",IFERROR(INDEX(MMWR_RATING_STATE_ROLLUP_BDD[],MATCH($B83,MMWR_RATING_STATE_ROLLUP_BDD[MMWR_RATING_STATE_ROLLUP_BDD],0),MATCH(I$9,MMWR_RATING_STATE_ROLLUP_BDD[#Headers],0)),"ERROR"))</f>
        <v>141.64257028110001</v>
      </c>
      <c r="J83" s="42"/>
      <c r="K83" s="42"/>
      <c r="L83" s="42"/>
      <c r="M83" s="42"/>
      <c r="N83" s="28"/>
    </row>
    <row r="84" spans="1:14" x14ac:dyDescent="0.2">
      <c r="A84" s="25"/>
      <c r="B84" s="251" t="str">
        <f>VLOOKUP($B$15,DISTRICT_STATES[],16,0)</f>
        <v>West Virginia</v>
      </c>
      <c r="C84" s="155">
        <f>IF($B84=" ","",IFERROR(INDEX(MMWR_RATING_STATE_ROLLUP_BDD[],MATCH($B84,MMWR_RATING_STATE_ROLLUP_BDD[MMWR_RATING_STATE_ROLLUP_BDD],0),MATCH(C$9,MMWR_RATING_STATE_ROLLUP_BDD[#Headers],0)),"ERROR"))</f>
        <v>29</v>
      </c>
      <c r="D84" s="156">
        <f>IF($B84=" ","",IFERROR(INDEX(MMWR_RATING_STATE_ROLLUP_BDD[],MATCH($B84,MMWR_RATING_STATE_ROLLUP_BDD[MMWR_RATING_STATE_ROLLUP_BDD],0),MATCH(D$9,MMWR_RATING_STATE_ROLLUP_BDD[#Headers],0)),"ERROR"))</f>
        <v>80.034482758600006</v>
      </c>
      <c r="E84" s="157">
        <f>IF($B84=" ","",IFERROR(INDEX(MMWR_RATING_STATE_ROLLUP_BDD[],MATCH($B84,MMWR_RATING_STATE_ROLLUP_BDD[MMWR_RATING_STATE_ROLLUP_BDD],0),MATCH(E$9,MMWR_RATING_STATE_ROLLUP_BDD[#Headers],0))/$C84,"ERROR"))</f>
        <v>6.8965517241379309E-2</v>
      </c>
      <c r="F84" s="155">
        <f>IF($B84=" ","",IFERROR(INDEX(MMWR_RATING_STATE_ROLLUP_BDD[],MATCH($B84,MMWR_RATING_STATE_ROLLUP_BDD[MMWR_RATING_STATE_ROLLUP_BDD],0),MATCH(F$9,MMWR_RATING_STATE_ROLLUP_BDD[#Headers],0)),"ERROR"))</f>
        <v>3</v>
      </c>
      <c r="G84" s="155">
        <f>IF($B84=" ","",IFERROR(INDEX(MMWR_RATING_STATE_ROLLUP_BDD[],MATCH($B84,MMWR_RATING_STATE_ROLLUP_BDD[MMWR_RATING_STATE_ROLLUP_BDD],0),MATCH(G$9,MMWR_RATING_STATE_ROLLUP_BDD[#Headers],0)),"ERROR"))</f>
        <v>61</v>
      </c>
      <c r="H84" s="156">
        <f>IF($B84=" ","",IFERROR(INDEX(MMWR_RATING_STATE_ROLLUP_BDD[],MATCH($B84,MMWR_RATING_STATE_ROLLUP_BDD[MMWR_RATING_STATE_ROLLUP_BDD],0),MATCH(H$9,MMWR_RATING_STATE_ROLLUP_BDD[#Headers],0)),"ERROR"))</f>
        <v>114</v>
      </c>
      <c r="I84" s="156">
        <f>IF($B84=" ","",IFERROR(INDEX(MMWR_RATING_STATE_ROLLUP_BDD[],MATCH($B84,MMWR_RATING_STATE_ROLLUP_BDD[MMWR_RATING_STATE_ROLLUP_BDD],0),MATCH(I$9,MMWR_RATING_STATE_ROLLUP_BDD[#Headers],0)),"ERROR"))</f>
        <v>155.62295081970001</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5" t="s">
        <v>303</v>
      </c>
      <c r="C2" s="416"/>
      <c r="D2" s="416"/>
      <c r="E2" s="416"/>
      <c r="F2" s="416"/>
      <c r="G2" s="416"/>
      <c r="H2" s="416"/>
      <c r="I2" s="416"/>
      <c r="J2" s="416"/>
      <c r="K2" s="416"/>
      <c r="L2" s="416"/>
      <c r="M2" s="416"/>
      <c r="N2" s="416"/>
      <c r="O2" s="416"/>
      <c r="P2" s="416"/>
      <c r="Q2" s="416"/>
      <c r="R2" s="416"/>
      <c r="S2" s="416"/>
      <c r="T2" s="416"/>
      <c r="U2" s="417"/>
      <c r="V2" s="25"/>
    </row>
    <row r="3" spans="1:22" s="1" customFormat="1" ht="63" customHeight="1" thickBot="1" x14ac:dyDescent="0.25">
      <c r="A3" s="25"/>
      <c r="B3" s="424" t="s">
        <v>318</v>
      </c>
      <c r="C3" s="425"/>
      <c r="D3" s="425"/>
      <c r="E3" s="425"/>
      <c r="F3" s="425"/>
      <c r="G3" s="425"/>
      <c r="H3" s="425"/>
      <c r="I3" s="425"/>
      <c r="J3" s="425"/>
      <c r="K3" s="425"/>
      <c r="L3" s="425"/>
      <c r="M3" s="425"/>
      <c r="N3" s="425"/>
      <c r="O3" s="425"/>
      <c r="P3" s="425"/>
      <c r="Q3" s="425"/>
      <c r="R3" s="425"/>
      <c r="S3" s="425"/>
      <c r="T3" s="425"/>
      <c r="U3" s="426"/>
      <c r="V3" s="25"/>
    </row>
    <row r="4" spans="1:22" s="1" customFormat="1" ht="32.25" customHeight="1" thickBot="1" x14ac:dyDescent="0.25">
      <c r="A4" s="25"/>
      <c r="B4" s="421" t="str">
        <f>Transformation!B4</f>
        <v>As of: September 19, 2015</v>
      </c>
      <c r="C4" s="422"/>
      <c r="D4" s="422"/>
      <c r="E4" s="422"/>
      <c r="F4" s="422"/>
      <c r="G4" s="422"/>
      <c r="H4" s="422"/>
      <c r="I4" s="422"/>
      <c r="J4" s="422"/>
      <c r="K4" s="422"/>
      <c r="L4" s="422"/>
      <c r="M4" s="422"/>
      <c r="N4" s="422"/>
      <c r="O4" s="422"/>
      <c r="P4" s="422"/>
      <c r="Q4" s="422"/>
      <c r="R4" s="422"/>
      <c r="S4" s="422"/>
      <c r="T4" s="422"/>
      <c r="U4" s="423"/>
      <c r="V4" s="25"/>
    </row>
    <row r="5" spans="1:22" s="1" customFormat="1" ht="27" customHeight="1" thickBot="1" x14ac:dyDescent="0.45">
      <c r="A5" s="25"/>
      <c r="B5" s="428" t="s">
        <v>245</v>
      </c>
      <c r="C5" s="429"/>
      <c r="D5" s="429"/>
      <c r="E5" s="429"/>
      <c r="F5" s="429"/>
      <c r="G5" s="429"/>
      <c r="H5" s="430"/>
      <c r="I5" s="55"/>
      <c r="J5" s="428" t="s">
        <v>242</v>
      </c>
      <c r="K5" s="429"/>
      <c r="L5" s="429"/>
      <c r="M5" s="429"/>
      <c r="N5" s="430"/>
      <c r="O5" s="56"/>
      <c r="P5" s="431" t="s">
        <v>11</v>
      </c>
      <c r="Q5" s="432"/>
      <c r="R5" s="432"/>
      <c r="S5" s="432"/>
      <c r="T5" s="432"/>
      <c r="U5" s="433"/>
      <c r="V5" s="25"/>
    </row>
    <row r="6" spans="1:22" s="1" customFormat="1" ht="65.25" customHeight="1" thickBot="1" x14ac:dyDescent="0.25">
      <c r="A6" s="25"/>
      <c r="B6" s="418" t="s">
        <v>286</v>
      </c>
      <c r="C6" s="419"/>
      <c r="D6" s="419"/>
      <c r="E6" s="420"/>
      <c r="F6" s="57" t="s">
        <v>12</v>
      </c>
      <c r="G6" s="58" t="s">
        <v>3</v>
      </c>
      <c r="H6" s="59" t="s">
        <v>4</v>
      </c>
      <c r="I6" s="25"/>
      <c r="J6" s="407" t="s">
        <v>286</v>
      </c>
      <c r="K6" s="408"/>
      <c r="L6" s="60" t="s">
        <v>12</v>
      </c>
      <c r="M6" s="61" t="s">
        <v>3</v>
      </c>
      <c r="N6" s="62" t="s">
        <v>4</v>
      </c>
      <c r="O6" s="63"/>
      <c r="P6" s="434" t="s">
        <v>286</v>
      </c>
      <c r="Q6" s="435"/>
      <c r="R6" s="64" t="s">
        <v>496</v>
      </c>
      <c r="S6" s="436" t="s">
        <v>286</v>
      </c>
      <c r="T6" s="437"/>
      <c r="U6" s="65" t="s">
        <v>140</v>
      </c>
      <c r="V6" s="25"/>
    </row>
    <row r="7" spans="1:22" s="1" customFormat="1" ht="32.25" customHeight="1" thickBot="1" x14ac:dyDescent="0.25">
      <c r="A7" s="25"/>
      <c r="B7" s="401" t="s">
        <v>305</v>
      </c>
      <c r="C7" s="402"/>
      <c r="D7" s="402"/>
      <c r="E7" s="402"/>
      <c r="F7" s="168">
        <f>SUM(F8:F10)</f>
        <v>127133</v>
      </c>
      <c r="G7" s="169">
        <f>SUM(G8:G10)</f>
        <v>36627</v>
      </c>
      <c r="H7" s="170">
        <f t="shared" ref="H7:H44" si="0">IF(G7="--", 0, G7/F7)</f>
        <v>0.2880998639220344</v>
      </c>
      <c r="I7" s="25"/>
      <c r="J7" s="401" t="s">
        <v>271</v>
      </c>
      <c r="K7" s="402"/>
      <c r="L7" s="169">
        <f>SUM(L8:L10)</f>
        <v>26397</v>
      </c>
      <c r="M7" s="169">
        <f>SUM(M8:M10)</f>
        <v>3990</v>
      </c>
      <c r="N7" s="180">
        <f>IF(M7="--", 0, M7/L7)</f>
        <v>0.15115354017501989</v>
      </c>
      <c r="O7" s="66"/>
      <c r="P7" s="401" t="s">
        <v>974</v>
      </c>
      <c r="Q7" s="402"/>
      <c r="R7" s="181">
        <f>R8+R9+R10+R11+R12</f>
        <v>316611</v>
      </c>
      <c r="S7" s="401"/>
      <c r="T7" s="402"/>
      <c r="U7" s="67"/>
      <c r="V7" s="25"/>
    </row>
    <row r="8" spans="1:22" s="1" customFormat="1" ht="51" customHeight="1" x14ac:dyDescent="0.2">
      <c r="A8" s="25"/>
      <c r="B8" s="285" t="s">
        <v>255</v>
      </c>
      <c r="C8" s="286"/>
      <c r="D8" s="286"/>
      <c r="E8" s="427"/>
      <c r="F8" s="171">
        <f>IFERROR(VLOOKUP(MID(B8,4,3),MMWR_TRAD_AGG_NATIONAL[],2,0),"--")</f>
        <v>368</v>
      </c>
      <c r="G8" s="172">
        <f>IFERROR(VLOOKUP(MID(B8,4,3),MMWR_TRAD_AGG_NATIONAL[],3,0),"--")</f>
        <v>228</v>
      </c>
      <c r="H8" s="173">
        <f t="shared" si="0"/>
        <v>0.61956521739130432</v>
      </c>
      <c r="I8" s="25"/>
      <c r="J8" s="403" t="s">
        <v>273</v>
      </c>
      <c r="K8" s="404"/>
      <c r="L8" s="171">
        <f>IFERROR(VLOOKUP(MID(J8,4,3),MMWR_TRAD_AGG_NATIONAL[],2,0),"--")</f>
        <v>6028</v>
      </c>
      <c r="M8" s="172">
        <f>IFERROR(VLOOKUP(MID(J8,4,3),MMWR_TRAD_AGG_NATIONAL[],3,0),"--")</f>
        <v>255</v>
      </c>
      <c r="N8" s="173">
        <f>IF(M8="--", 0, M8/L8)</f>
        <v>4.2302587923025881E-2</v>
      </c>
      <c r="O8" s="68" t="s">
        <v>317</v>
      </c>
      <c r="P8" s="438" t="s">
        <v>246</v>
      </c>
      <c r="Q8" s="439"/>
      <c r="R8" s="182">
        <f>VLOOKUP(P8,MMWR_APP_NATIONAL[],2,0)</f>
        <v>223934</v>
      </c>
      <c r="S8" s="406" t="s">
        <v>235</v>
      </c>
      <c r="T8" s="405"/>
      <c r="U8" s="183">
        <f>VLOOKUP(P8,MMWR_APP_NATIONAL[],3,0)</f>
        <v>395.95849223430002</v>
      </c>
      <c r="V8" s="25"/>
    </row>
    <row r="9" spans="1:22" s="1" customFormat="1" ht="45" customHeight="1" x14ac:dyDescent="0.2">
      <c r="A9" s="25"/>
      <c r="B9" s="285" t="s">
        <v>253</v>
      </c>
      <c r="C9" s="286"/>
      <c r="D9" s="286"/>
      <c r="E9" s="427"/>
      <c r="F9" s="171">
        <f>IFERROR(VLOOKUP(MID(B9,4,3),MMWR_TRAD_AGG_NATIONAL[],2,0),"--")</f>
        <v>40702</v>
      </c>
      <c r="G9" s="172">
        <f>IFERROR(VLOOKUP(MID(B9,4,3),MMWR_TRAD_AGG_NATIONAL[],3,0),"--")</f>
        <v>12608</v>
      </c>
      <c r="H9" s="173">
        <f t="shared" si="0"/>
        <v>0.30976364797798633</v>
      </c>
      <c r="I9" s="68" t="s">
        <v>317</v>
      </c>
      <c r="J9" s="285" t="s">
        <v>272</v>
      </c>
      <c r="K9" s="286"/>
      <c r="L9" s="171">
        <f>IFERROR(VLOOKUP(MID(J9,4,3),MMWR_TRAD_AGG_NATIONAL[],2,0),"--")</f>
        <v>6261</v>
      </c>
      <c r="M9" s="172">
        <f>IFERROR(VLOOKUP(MID(J9,4,3),MMWR_TRAD_AGG_NATIONAL[],3,0),"--")</f>
        <v>224</v>
      </c>
      <c r="N9" s="173">
        <f>IF(M9="--", 0, M9/L9)</f>
        <v>3.5777032422935631E-2</v>
      </c>
      <c r="O9" s="68" t="s">
        <v>317</v>
      </c>
      <c r="P9" s="449" t="s">
        <v>247</v>
      </c>
      <c r="Q9" s="450"/>
      <c r="R9" s="184">
        <f>VLOOKUP(P9,MMWR_APP_NATIONAL[],2,0)</f>
        <v>55833</v>
      </c>
      <c r="S9" s="451" t="s">
        <v>236</v>
      </c>
      <c r="T9" s="396"/>
      <c r="U9" s="185">
        <f>VLOOKUP(P9,MMWR_APP_NATIONAL[],3,0)</f>
        <v>617.44765640390006</v>
      </c>
      <c r="V9" s="25"/>
    </row>
    <row r="10" spans="1:22" s="1" customFormat="1" ht="63" customHeight="1" thickBot="1" x14ac:dyDescent="0.25">
      <c r="A10" s="25"/>
      <c r="B10" s="285" t="s">
        <v>254</v>
      </c>
      <c r="C10" s="286"/>
      <c r="D10" s="286"/>
      <c r="E10" s="427"/>
      <c r="F10" s="171">
        <f>IFERROR(VLOOKUP(MID(B10,4,3),MMWR_TRAD_AGG_NATIONAL[],2,0),"--")</f>
        <v>86063</v>
      </c>
      <c r="G10" s="172">
        <f>IFERROR(VLOOKUP(MID(B10,4,3),MMWR_TRAD_AGG_NATIONAL[],3,0),"--")</f>
        <v>23791</v>
      </c>
      <c r="H10" s="173">
        <f t="shared" si="0"/>
        <v>0.27643702868828651</v>
      </c>
      <c r="I10" s="68" t="s">
        <v>317</v>
      </c>
      <c r="J10" s="287" t="s">
        <v>274</v>
      </c>
      <c r="K10" s="288"/>
      <c r="L10" s="171">
        <f>IFERROR(VLOOKUP(MID(J10,4,3),MMWR_TRAD_AGG_NATIONAL[],2,0),"--")</f>
        <v>14108</v>
      </c>
      <c r="M10" s="172">
        <f>IFERROR(VLOOKUP(MID(J10,4,3),MMWR_TRAD_AGG_NATIONAL[],3,0),"--")</f>
        <v>3511</v>
      </c>
      <c r="N10" s="173">
        <f>IF(M10="--", 0, M10/L10)</f>
        <v>0.24886589169265666</v>
      </c>
      <c r="O10" s="69"/>
      <c r="P10" s="449" t="s">
        <v>248</v>
      </c>
      <c r="Q10" s="450"/>
      <c r="R10" s="184">
        <f>VLOOKUP(P10,MMWR_APP_NATIONAL[],2,0)</f>
        <v>23890</v>
      </c>
      <c r="S10" s="451" t="s">
        <v>237</v>
      </c>
      <c r="T10" s="396"/>
      <c r="U10" s="185">
        <f>VLOOKUP(P10,MMWR_APP_NATIONAL[],3,0)</f>
        <v>521.28221012979998</v>
      </c>
      <c r="V10" s="25"/>
    </row>
    <row r="11" spans="1:22" s="1" customFormat="1" ht="45" customHeight="1" thickBot="1" x14ac:dyDescent="0.25">
      <c r="A11" s="25"/>
      <c r="B11" s="401" t="s">
        <v>306</v>
      </c>
      <c r="C11" s="402"/>
      <c r="D11" s="402"/>
      <c r="E11" s="402"/>
      <c r="F11" s="168">
        <f>SUM(F12:F13)</f>
        <v>7039</v>
      </c>
      <c r="G11" s="169">
        <f>SUM(G12:G13)</f>
        <v>1267</v>
      </c>
      <c r="H11" s="170">
        <f t="shared" si="0"/>
        <v>0.17999715868731353</v>
      </c>
      <c r="I11" s="25"/>
      <c r="J11" s="401" t="s">
        <v>243</v>
      </c>
      <c r="K11" s="402"/>
      <c r="L11" s="168">
        <f>SUM(L12:L17)</f>
        <v>28527</v>
      </c>
      <c r="M11" s="168">
        <f>SUM(M12:M17)</f>
        <v>6556</v>
      </c>
      <c r="N11" s="161">
        <f>IF(M11="--", 0, M11/L11)</f>
        <v>0.22981736600413644</v>
      </c>
      <c r="O11" s="69"/>
      <c r="P11" s="449" t="s">
        <v>975</v>
      </c>
      <c r="Q11" s="450"/>
      <c r="R11" s="184">
        <f>VLOOKUP(P11,MMWR_APP_NATIONAL[],2,0)</f>
        <v>12522</v>
      </c>
      <c r="S11" s="451" t="s">
        <v>238</v>
      </c>
      <c r="T11" s="396"/>
      <c r="U11" s="185">
        <f>VLOOKUP(P11,MMWR_APP_NATIONAL[],3,0)</f>
        <v>186.90153330140001</v>
      </c>
      <c r="V11" s="25"/>
    </row>
    <row r="12" spans="1:22" s="1" customFormat="1" ht="46.5" customHeight="1" thickBot="1" x14ac:dyDescent="0.25">
      <c r="A12" s="25"/>
      <c r="B12" s="397" t="s">
        <v>276</v>
      </c>
      <c r="C12" s="398"/>
      <c r="D12" s="398"/>
      <c r="E12" s="399"/>
      <c r="F12" s="171">
        <f>IFERROR(VLOOKUP(MID(B12,4,3),MMWR_TRAD_AGG_NATIONAL[],2,0),"--")</f>
        <v>6654</v>
      </c>
      <c r="G12" s="172">
        <f>IFERROR(VLOOKUP(MID(B12,4,3),MMWR_TRAD_AGG_NATIONAL[],3,0),"--")</f>
        <v>996</v>
      </c>
      <c r="H12" s="173">
        <f t="shared" si="0"/>
        <v>0.14968440036068531</v>
      </c>
      <c r="I12" s="68" t="s">
        <v>317</v>
      </c>
      <c r="J12" s="287" t="s">
        <v>266</v>
      </c>
      <c r="K12" s="396"/>
      <c r="L12" s="171">
        <f>IFERROR(VLOOKUP(MID(J12,4,3)&amp;"p",MMWR_TRAD_AGG_NATIONAL[],2,0),"--")</f>
        <v>988</v>
      </c>
      <c r="M12" s="172">
        <f>IFERROR(VLOOKUP(MID(J12,4,3)&amp;"p",MMWR_TRAD_AGG_NATIONAL[],3,0),"--")</f>
        <v>115</v>
      </c>
      <c r="N12" s="173">
        <f t="shared" ref="N12:N17" si="1">IF(L12="--", 0,M12/L12)</f>
        <v>0.11639676113360324</v>
      </c>
      <c r="O12" s="69"/>
      <c r="P12" s="449" t="s">
        <v>956</v>
      </c>
      <c r="Q12" s="450"/>
      <c r="R12" s="184">
        <f>VLOOKUP(P12,MMWR_APP_NATIONAL[],2,0)</f>
        <v>432</v>
      </c>
      <c r="S12" s="452" t="s">
        <v>973</v>
      </c>
      <c r="T12" s="400"/>
      <c r="U12" s="185">
        <f>VLOOKUP(P12,MMWR_APP_NATIONAL[],3,0)</f>
        <v>441.3912037037</v>
      </c>
      <c r="V12" s="25"/>
    </row>
    <row r="13" spans="1:22" s="1" customFormat="1" ht="49.5" customHeight="1" thickBot="1" x14ac:dyDescent="0.25">
      <c r="A13" s="25"/>
      <c r="B13" s="397" t="s">
        <v>256</v>
      </c>
      <c r="C13" s="398"/>
      <c r="D13" s="398"/>
      <c r="E13" s="399"/>
      <c r="F13" s="171">
        <f>IFERROR(VLOOKUP(MID(B13,4,3),MMWR_TRAD_AGG_NATIONAL[],2,0),"--")</f>
        <v>385</v>
      </c>
      <c r="G13" s="172">
        <f>IFERROR(VLOOKUP(MID(B13,4,3),MMWR_TRAD_AGG_NATIONAL[],3,0),"--")</f>
        <v>271</v>
      </c>
      <c r="H13" s="173">
        <f t="shared" si="0"/>
        <v>0.70389610389610391</v>
      </c>
      <c r="I13" s="25"/>
      <c r="J13" s="287" t="s">
        <v>275</v>
      </c>
      <c r="K13" s="396"/>
      <c r="L13" s="171">
        <f>IFERROR(VLOOKUP(MID(J13,4,3),MMWR_TRAD_AGG_NATIONAL[],2,0),"--")</f>
        <v>3257</v>
      </c>
      <c r="M13" s="172">
        <f>IFERROR(VLOOKUP(MID(J13,4,3),MMWR_TRAD_AGG_NATIONAL[],3,0),"--")</f>
        <v>824</v>
      </c>
      <c r="N13" s="173">
        <f t="shared" si="1"/>
        <v>0.25299355234878723</v>
      </c>
      <c r="O13" s="69"/>
      <c r="P13" s="401" t="s">
        <v>985</v>
      </c>
      <c r="Q13" s="402"/>
      <c r="R13" s="445"/>
      <c r="S13" s="446">
        <f>VLOOKUP(P13,MMWR_APP_NATIONAL[],2,0)</f>
        <v>21009</v>
      </c>
      <c r="T13" s="447"/>
      <c r="U13" s="448"/>
      <c r="V13" s="25"/>
    </row>
    <row r="14" spans="1:22" s="1" customFormat="1" ht="45" customHeight="1" thickBot="1" x14ac:dyDescent="0.25">
      <c r="A14" s="25"/>
      <c r="B14" s="401" t="s">
        <v>1</v>
      </c>
      <c r="C14" s="402"/>
      <c r="D14" s="402"/>
      <c r="E14" s="402"/>
      <c r="F14" s="168">
        <f>SUM(F15:F21)</f>
        <v>207944</v>
      </c>
      <c r="G14" s="169">
        <f>SUM(G15:G21)</f>
        <v>42626</v>
      </c>
      <c r="H14" s="170">
        <f t="shared" si="0"/>
        <v>0.20498788135267187</v>
      </c>
      <c r="I14" s="25"/>
      <c r="J14" s="287" t="s">
        <v>277</v>
      </c>
      <c r="K14" s="396"/>
      <c r="L14" s="171">
        <f>IFERROR(VLOOKUP(MID(J14,4,3),MMWR_TRAD_AGG_NATIONAL[],2,0),"--")</f>
        <v>10899</v>
      </c>
      <c r="M14" s="172">
        <f>IFERROR(VLOOKUP(MID(J14,4,3),MMWR_TRAD_AGG_NATIONAL[],3,0),"--")</f>
        <v>2722</v>
      </c>
      <c r="N14" s="173">
        <f t="shared" si="1"/>
        <v>0.24974768327369484</v>
      </c>
      <c r="O14" s="69"/>
      <c r="P14" s="21"/>
      <c r="Q14" s="21"/>
      <c r="R14" s="21"/>
      <c r="S14" s="28"/>
      <c r="T14" s="28"/>
      <c r="U14" s="70"/>
      <c r="V14" s="25"/>
    </row>
    <row r="15" spans="1:22" s="1" customFormat="1" ht="44.25" customHeight="1" thickBot="1" x14ac:dyDescent="0.25">
      <c r="A15" s="25"/>
      <c r="B15" s="285" t="s">
        <v>257</v>
      </c>
      <c r="C15" s="286"/>
      <c r="D15" s="286"/>
      <c r="E15" s="427"/>
      <c r="F15" s="171">
        <f>IFERROR(VLOOKUP(MID(B15,4,3),MMWR_TRAD_AGG_NATIONAL[],2,0),"--")</f>
        <v>207544</v>
      </c>
      <c r="G15" s="172">
        <f>IFERROR(VLOOKUP(MID(B15,4,3),MMWR_TRAD_AGG_NATIONAL[],3,0),"--")</f>
        <v>42471</v>
      </c>
      <c r="H15" s="173">
        <f t="shared" si="0"/>
        <v>0.20463612535173265</v>
      </c>
      <c r="I15" s="68" t="s">
        <v>317</v>
      </c>
      <c r="J15" s="287" t="s">
        <v>278</v>
      </c>
      <c r="K15" s="396"/>
      <c r="L15" s="171">
        <f>IFERROR(VLOOKUP(MID(J15,4,3),MMWR_TRAD_AGG_NATIONAL[],2,0),"--")</f>
        <v>1</v>
      </c>
      <c r="M15" s="172">
        <f>IFERROR(VLOOKUP(MID(J15,4,3),MMWR_TRAD_AGG_NATIONAL[],3,0),"--")</f>
        <v>1</v>
      </c>
      <c r="N15" s="173">
        <f t="shared" si="1"/>
        <v>1</v>
      </c>
      <c r="O15" s="69"/>
      <c r="P15" s="25"/>
      <c r="Q15" s="25"/>
      <c r="R15" s="25"/>
      <c r="S15" s="25"/>
      <c r="T15" s="28"/>
      <c r="U15" s="71"/>
      <c r="V15" s="25"/>
    </row>
    <row r="16" spans="1:22" s="1" customFormat="1" ht="57.75" customHeight="1" thickBot="1" x14ac:dyDescent="0.25">
      <c r="A16" s="25"/>
      <c r="B16" s="287" t="s">
        <v>258</v>
      </c>
      <c r="C16" s="288"/>
      <c r="D16" s="288"/>
      <c r="E16" s="396"/>
      <c r="F16" s="171">
        <f>IFERROR(VLOOKUP(MID(B16,4,3),MMWR_TRAD_AGG_NATIONAL[],2,0),"--")</f>
        <v>223</v>
      </c>
      <c r="G16" s="172">
        <f>IFERROR(VLOOKUP(MID(B16,4,3),MMWR_TRAD_AGG_NATIONAL[],3,0),"--")</f>
        <v>30</v>
      </c>
      <c r="H16" s="173">
        <f t="shared" si="0"/>
        <v>0.13452914798206278</v>
      </c>
      <c r="I16" s="68" t="s">
        <v>317</v>
      </c>
      <c r="J16" s="287" t="s">
        <v>279</v>
      </c>
      <c r="K16" s="396"/>
      <c r="L16" s="171">
        <f>IFERROR(VLOOKUP(MID(J16,4,3),MMWR_TRAD_AGG_NATIONAL[],2,0),"--")</f>
        <v>3232</v>
      </c>
      <c r="M16" s="172">
        <f>IFERROR(VLOOKUP(MID(J16,4,3),MMWR_TRAD_AGG_NATIONAL[],3,0),"--")</f>
        <v>901</v>
      </c>
      <c r="N16" s="173">
        <f t="shared" si="1"/>
        <v>0.27877475247524752</v>
      </c>
      <c r="O16" s="69"/>
      <c r="P16" s="431" t="s">
        <v>957</v>
      </c>
      <c r="Q16" s="432"/>
      <c r="R16" s="432"/>
      <c r="S16" s="433"/>
      <c r="T16" s="28"/>
      <c r="U16" s="71"/>
      <c r="V16" s="25"/>
    </row>
    <row r="17" spans="1:22" s="1" customFormat="1" ht="31.5" customHeight="1" thickBot="1" x14ac:dyDescent="0.25">
      <c r="A17" s="25"/>
      <c r="B17" s="287" t="s">
        <v>259</v>
      </c>
      <c r="C17" s="288"/>
      <c r="D17" s="288"/>
      <c r="E17" s="396"/>
      <c r="F17" s="171">
        <f>IFERROR(VLOOKUP(MID(B17,4,3),MMWR_TRAD_AGG_NATIONAL[],2,0),"--")</f>
        <v>149</v>
      </c>
      <c r="G17" s="172">
        <f>IFERROR(VLOOKUP(MID(B17,4,3),MMWR_TRAD_AGG_NATIONAL[],3,0),"--")</f>
        <v>117</v>
      </c>
      <c r="H17" s="173">
        <f t="shared" si="0"/>
        <v>0.78523489932885904</v>
      </c>
      <c r="I17" s="25"/>
      <c r="J17" s="287" t="s">
        <v>280</v>
      </c>
      <c r="K17" s="396"/>
      <c r="L17" s="171">
        <f>IFERROR(VLOOKUP(MID(J17,4,3),MMWR_TRAD_AGG_NATIONAL[],2,0),"--")</f>
        <v>10150</v>
      </c>
      <c r="M17" s="172">
        <f>IFERROR(VLOOKUP(MID(J17,4,3),MMWR_TRAD_AGG_NATIONAL[],3,0),"--")</f>
        <v>1993</v>
      </c>
      <c r="N17" s="173">
        <f t="shared" si="1"/>
        <v>0.19635467980295568</v>
      </c>
      <c r="O17" s="72"/>
      <c r="P17" s="440" t="s">
        <v>251</v>
      </c>
      <c r="Q17" s="441"/>
      <c r="R17" s="441"/>
      <c r="S17" s="186">
        <f>IFERROR(VLOOKUP("160",MMWR_TRAD_AGG_NATIONAL[],2,0),"--")</f>
        <v>20685</v>
      </c>
      <c r="T17" s="28"/>
      <c r="U17" s="71"/>
      <c r="V17" s="25"/>
    </row>
    <row r="18" spans="1:22" s="1" customFormat="1" ht="32.25" customHeight="1" thickBot="1" x14ac:dyDescent="0.25">
      <c r="A18" s="25"/>
      <c r="B18" s="287" t="s">
        <v>260</v>
      </c>
      <c r="C18" s="288"/>
      <c r="D18" s="288"/>
      <c r="E18" s="396"/>
      <c r="F18" s="171">
        <f>IFERROR(VLOOKUP(MID(B18,4,3),MMWR_TRAD_AGG_NATIONAL[],2,0),"--")</f>
        <v>13</v>
      </c>
      <c r="G18" s="172">
        <f>IFERROR(VLOOKUP(MID(B18,4,3),MMWR_TRAD_AGG_NATIONAL[],3,0),"--")</f>
        <v>5</v>
      </c>
      <c r="H18" s="173">
        <f t="shared" si="0"/>
        <v>0.38461538461538464</v>
      </c>
      <c r="I18" s="68" t="s">
        <v>317</v>
      </c>
      <c r="J18" s="401" t="s">
        <v>15</v>
      </c>
      <c r="K18" s="402"/>
      <c r="L18" s="168">
        <f>SUM(L19:L21)</f>
        <v>709</v>
      </c>
      <c r="M18" s="168">
        <f>SUM(M19:M21)</f>
        <v>655</v>
      </c>
      <c r="N18" s="161">
        <f t="shared" ref="N18:N26" si="2">IF(M18="--", 0, M18/L18)</f>
        <v>0.92383638928067702</v>
      </c>
      <c r="O18" s="73"/>
      <c r="P18" s="442" t="s">
        <v>252</v>
      </c>
      <c r="Q18" s="443"/>
      <c r="R18" s="443"/>
      <c r="S18" s="187">
        <f>IFERROR(VLOOKUP("165",MMWR_TRAD_AGG_NATIONAL[],2,0),"--")</f>
        <v>9621</v>
      </c>
      <c r="T18" s="28"/>
      <c r="U18" s="71"/>
      <c r="V18" s="25"/>
    </row>
    <row r="19" spans="1:22" s="1" customFormat="1" ht="41.25" customHeight="1" x14ac:dyDescent="0.4">
      <c r="A19" s="25"/>
      <c r="B19" s="287" t="s">
        <v>261</v>
      </c>
      <c r="C19" s="288"/>
      <c r="D19" s="288"/>
      <c r="E19" s="396"/>
      <c r="F19" s="171">
        <f>IFERROR(VLOOKUP(MID(B19,4,3),MMWR_TRAD_AGG_NATIONAL[],2,0),"--")</f>
        <v>2</v>
      </c>
      <c r="G19" s="172">
        <f>IFERROR(VLOOKUP(MID(B19,4,3),MMWR_TRAD_AGG_NATIONAL[],3,0),"--")</f>
        <v>1</v>
      </c>
      <c r="H19" s="173">
        <f t="shared" si="0"/>
        <v>0.5</v>
      </c>
      <c r="I19" s="68" t="s">
        <v>317</v>
      </c>
      <c r="J19" s="287" t="s">
        <v>281</v>
      </c>
      <c r="K19" s="396"/>
      <c r="L19" s="171">
        <f>IFERROR(VLOOKUP(MID(J19,4,3),MMWR_TRAD_AGG_NATIONAL[],2,0),"--")</f>
        <v>533</v>
      </c>
      <c r="M19" s="172">
        <f>IFERROR(VLOOKUP(MID(J19,4,3),MMWR_TRAD_AGG_NATIONAL[],3,0),"--")</f>
        <v>525</v>
      </c>
      <c r="N19" s="173">
        <f t="shared" si="2"/>
        <v>0.98499061913696062</v>
      </c>
      <c r="O19" s="56"/>
      <c r="P19" s="25"/>
      <c r="Q19" s="25"/>
      <c r="R19" s="25"/>
      <c r="S19" s="25"/>
      <c r="T19" s="28"/>
      <c r="U19" s="71"/>
      <c r="V19" s="25"/>
    </row>
    <row r="20" spans="1:22" s="1" customFormat="1" ht="40.5" customHeight="1" x14ac:dyDescent="0.4">
      <c r="A20" s="25"/>
      <c r="B20" s="287" t="s">
        <v>262</v>
      </c>
      <c r="C20" s="288"/>
      <c r="D20" s="288"/>
      <c r="E20" s="396"/>
      <c r="F20" s="171">
        <f>IFERROR(VLOOKUP(MID(B20,4,3),MMWR_TRAD_AGG_NATIONAL[],2,0),"--")</f>
        <v>7</v>
      </c>
      <c r="G20" s="172">
        <f>IFERROR(VLOOKUP(MID(B20,4,3),MMWR_TRAD_AGG_NATIONAL[],3,0),"--")</f>
        <v>2</v>
      </c>
      <c r="H20" s="173">
        <f t="shared" si="0"/>
        <v>0.2857142857142857</v>
      </c>
      <c r="I20" s="68" t="s">
        <v>317</v>
      </c>
      <c r="J20" s="287" t="s">
        <v>304</v>
      </c>
      <c r="K20" s="396"/>
      <c r="L20" s="171">
        <f>IFERROR(VLOOKUP(MID(J20,4,3),MMWR_TRAD_AGG_NATIONAL[],2,0),"--")</f>
        <v>150</v>
      </c>
      <c r="M20" s="172">
        <f>IFERROR(VLOOKUP(MID(J20,4,3),MMWR_TRAD_AGG_NATIONAL[],3,0),"--")</f>
        <v>128</v>
      </c>
      <c r="N20" s="173">
        <f t="shared" si="2"/>
        <v>0.85333333333333339</v>
      </c>
      <c r="O20" s="56"/>
      <c r="P20" s="56"/>
      <c r="Q20" s="56"/>
      <c r="R20" s="56"/>
      <c r="S20" s="56"/>
      <c r="T20" s="56"/>
      <c r="U20" s="74"/>
      <c r="V20" s="25"/>
    </row>
    <row r="21" spans="1:22" s="1" customFormat="1" ht="39" customHeight="1" thickBot="1" x14ac:dyDescent="0.45">
      <c r="A21" s="25"/>
      <c r="B21" s="287" t="s">
        <v>263</v>
      </c>
      <c r="C21" s="288"/>
      <c r="D21" s="288"/>
      <c r="E21" s="396"/>
      <c r="F21" s="171">
        <f>IFERROR(VLOOKUP(MID(B21,4,3),MMWR_TRAD_AGG_NATIONAL[],2,0),"--")</f>
        <v>6</v>
      </c>
      <c r="G21" s="172">
        <f>IFERROR(VLOOKUP(MID(B21,4,3),MMWR_TRAD_AGG_NATIONAL[],3,0),"--")</f>
        <v>0</v>
      </c>
      <c r="H21" s="173">
        <f t="shared" si="0"/>
        <v>0</v>
      </c>
      <c r="I21" s="68" t="s">
        <v>317</v>
      </c>
      <c r="J21" s="287" t="s">
        <v>282</v>
      </c>
      <c r="K21" s="396"/>
      <c r="L21" s="171">
        <f>IFERROR(VLOOKUP(MID(J21,4,3),MMWR_TRAD_AGG_NATIONAL[],2,0),"--")</f>
        <v>26</v>
      </c>
      <c r="M21" s="172">
        <f>IFERROR(VLOOKUP(MID(J21,4,3),MMWR_TRAD_AGG_NATIONAL[],3,0),"--")</f>
        <v>2</v>
      </c>
      <c r="N21" s="173">
        <f t="shared" si="2"/>
        <v>7.6923076923076927E-2</v>
      </c>
      <c r="O21" s="56"/>
      <c r="P21" s="56"/>
      <c r="Q21" s="56"/>
      <c r="R21" s="56"/>
      <c r="S21" s="56"/>
      <c r="T21" s="56"/>
      <c r="U21" s="74"/>
      <c r="V21" s="25"/>
    </row>
    <row r="22" spans="1:22" s="1" customFormat="1" ht="32.25" customHeight="1" thickBot="1" x14ac:dyDescent="0.45">
      <c r="A22" s="25"/>
      <c r="B22" s="401" t="s">
        <v>13</v>
      </c>
      <c r="C22" s="402"/>
      <c r="D22" s="402"/>
      <c r="E22" s="402"/>
      <c r="F22" s="168">
        <f>SUM(F23:F29)</f>
        <v>495440</v>
      </c>
      <c r="G22" s="169">
        <f>SUM(G23:G29)</f>
        <v>299659</v>
      </c>
      <c r="H22" s="170">
        <f t="shared" si="0"/>
        <v>0.60483408687227513</v>
      </c>
      <c r="I22" s="25"/>
      <c r="J22" s="401" t="s">
        <v>230</v>
      </c>
      <c r="K22" s="402"/>
      <c r="L22" s="168">
        <f>SUM(L23:L26)</f>
        <v>2694</v>
      </c>
      <c r="M22" s="168">
        <f>SUM(M23:M26)</f>
        <v>724</v>
      </c>
      <c r="N22" s="161">
        <f t="shared" si="2"/>
        <v>0.26874536005939126</v>
      </c>
      <c r="O22" s="56"/>
      <c r="P22" s="25"/>
      <c r="Q22" s="25"/>
      <c r="R22" s="25"/>
      <c r="S22" s="25"/>
      <c r="T22" s="56"/>
      <c r="U22" s="74"/>
      <c r="V22" s="25"/>
    </row>
    <row r="23" spans="1:22" s="1" customFormat="1" ht="26.25" customHeight="1" x14ac:dyDescent="0.4">
      <c r="A23" s="25"/>
      <c r="B23" s="397" t="s">
        <v>264</v>
      </c>
      <c r="C23" s="398"/>
      <c r="D23" s="398"/>
      <c r="E23" s="399"/>
      <c r="F23" s="171">
        <f>IFERROR(VLOOKUP(MID(B23,4,3),MMWR_TRAD_AGG_NATIONAL[],2,0),"--")</f>
        <v>224239</v>
      </c>
      <c r="G23" s="172">
        <f>IFERROR(VLOOKUP(MID(B23,4,3),MMWR_TRAD_AGG_NATIONAL[],3,0),"--")</f>
        <v>157550</v>
      </c>
      <c r="H23" s="173">
        <f t="shared" si="0"/>
        <v>0.70259856670784293</v>
      </c>
      <c r="I23" s="25"/>
      <c r="J23" s="403" t="s">
        <v>285</v>
      </c>
      <c r="K23" s="405"/>
      <c r="L23" s="174">
        <f>IFERROR(VLOOKUP(MID(J23,4,3),MMWR_TRAD_AGG_NATIONAL[],2,0),"--")</f>
        <v>1405</v>
      </c>
      <c r="M23" s="175">
        <f>IFERROR(VLOOKUP(MID(J23,4,3),MMWR_TRAD_AGG_NATIONAL[],3,0),"--")</f>
        <v>331</v>
      </c>
      <c r="N23" s="176">
        <f t="shared" si="2"/>
        <v>0.23558718861209965</v>
      </c>
      <c r="O23" s="56"/>
      <c r="P23" s="25"/>
      <c r="Q23" s="25"/>
      <c r="R23" s="25"/>
      <c r="S23" s="25"/>
      <c r="T23" s="56"/>
      <c r="U23" s="74"/>
      <c r="V23" s="25"/>
    </row>
    <row r="24" spans="1:22" s="1" customFormat="1" ht="39.75" customHeight="1" x14ac:dyDescent="0.4">
      <c r="A24" s="25"/>
      <c r="B24" s="397" t="s">
        <v>265</v>
      </c>
      <c r="C24" s="398"/>
      <c r="D24" s="398"/>
      <c r="E24" s="399"/>
      <c r="F24" s="171">
        <f>IFERROR(VLOOKUP(MID(B24,4,3),MMWR_TRAD_AGG_NATIONAL[],2,0),"--")</f>
        <v>199</v>
      </c>
      <c r="G24" s="172">
        <f>IFERROR(VLOOKUP(MID(B24,4,3),MMWR_TRAD_AGG_NATIONAL[],3,0),"--")</f>
        <v>97</v>
      </c>
      <c r="H24" s="173">
        <f t="shared" si="0"/>
        <v>0.48743718592964824</v>
      </c>
      <c r="I24" s="25"/>
      <c r="J24" s="287" t="s">
        <v>284</v>
      </c>
      <c r="K24" s="396"/>
      <c r="L24" s="171">
        <f>IFERROR(VLOOKUP(MID(J24,4,3),MMWR_TRAD_AGG_NATIONAL[],2,0),"--")</f>
        <v>632</v>
      </c>
      <c r="M24" s="172">
        <f>IFERROR(VLOOKUP(MID(J24,4,3),MMWR_TRAD_AGG_NATIONAL[],3,0),"--")</f>
        <v>21</v>
      </c>
      <c r="N24" s="173">
        <f t="shared" si="2"/>
        <v>3.3227848101265819E-2</v>
      </c>
      <c r="O24" s="56"/>
      <c r="P24" s="25"/>
      <c r="Q24" s="25"/>
      <c r="R24" s="25"/>
      <c r="S24" s="25"/>
      <c r="T24" s="56"/>
      <c r="U24" s="74"/>
      <c r="V24" s="25"/>
    </row>
    <row r="25" spans="1:22" s="1" customFormat="1" ht="37.5" customHeight="1" x14ac:dyDescent="0.4">
      <c r="A25" s="25"/>
      <c r="B25" s="397" t="s">
        <v>266</v>
      </c>
      <c r="C25" s="398"/>
      <c r="D25" s="398"/>
      <c r="E25" s="399"/>
      <c r="F25" s="171">
        <f>IFERROR(VLOOKUP(MID(B25,4,3),MMWR_TRAD_AGG_NATIONAL[],2,0),"--")</f>
        <v>248</v>
      </c>
      <c r="G25" s="172">
        <f>IFERROR(VLOOKUP(MID(B25,4,3),MMWR_TRAD_AGG_NATIONAL[],3,0),"--")</f>
        <v>165</v>
      </c>
      <c r="H25" s="173">
        <f t="shared" si="0"/>
        <v>0.66532258064516125</v>
      </c>
      <c r="I25" s="25"/>
      <c r="J25" s="287" t="s">
        <v>283</v>
      </c>
      <c r="K25" s="396"/>
      <c r="L25" s="171">
        <f>IFERROR(VLOOKUP(MID(J25,4,3),MMWR_TRAD_AGG_NATIONAL[],2,0),"--")</f>
        <v>619</v>
      </c>
      <c r="M25" s="172">
        <f>IFERROR(VLOOKUP(MID(J25,4,3),MMWR_TRAD_AGG_NATIONAL[],3,0),"--")</f>
        <v>344</v>
      </c>
      <c r="N25" s="173">
        <f t="shared" si="2"/>
        <v>0.55573505654281097</v>
      </c>
      <c r="O25" s="56"/>
      <c r="P25" s="56"/>
      <c r="Q25" s="56"/>
      <c r="R25" s="56"/>
      <c r="S25" s="56"/>
      <c r="T25" s="56"/>
      <c r="U25" s="74"/>
      <c r="V25" s="25"/>
    </row>
    <row r="26" spans="1:22" s="1" customFormat="1" ht="37.5" customHeight="1" thickBot="1" x14ac:dyDescent="0.45">
      <c r="A26" s="25"/>
      <c r="B26" s="397" t="s">
        <v>267</v>
      </c>
      <c r="C26" s="398"/>
      <c r="D26" s="398"/>
      <c r="E26" s="399"/>
      <c r="F26" s="171">
        <f>IFERROR(VLOOKUP(MID(B26,4,3),MMWR_TRAD_AGG_NATIONAL[],2,0),"--")</f>
        <v>122689</v>
      </c>
      <c r="G26" s="172">
        <f>IFERROR(VLOOKUP(MID(B26,4,3),MMWR_TRAD_AGG_NATIONAL[],3,0),"--")</f>
        <v>85056</v>
      </c>
      <c r="H26" s="173">
        <f t="shared" si="0"/>
        <v>0.69326508488943595</v>
      </c>
      <c r="I26" s="56"/>
      <c r="J26" s="292" t="s">
        <v>320</v>
      </c>
      <c r="K26" s="400"/>
      <c r="L26" s="177">
        <f>IFERROR(VLOOKUP(MID(J26,4,3),MMWR_TRAD_AGG_NATIONAL[],2,0),"--")</f>
        <v>38</v>
      </c>
      <c r="M26" s="178">
        <f>IFERROR(VLOOKUP(MID(J26,4,3),MMWR_TRAD_AGG_NATIONAL[],3,0),"--")</f>
        <v>28</v>
      </c>
      <c r="N26" s="179">
        <f t="shared" si="2"/>
        <v>0.73684210526315785</v>
      </c>
      <c r="O26" s="56"/>
      <c r="P26" s="56"/>
      <c r="Q26" s="56"/>
      <c r="R26" s="56"/>
      <c r="S26" s="56"/>
      <c r="T26" s="56"/>
      <c r="U26" s="74"/>
      <c r="V26" s="25"/>
    </row>
    <row r="27" spans="1:22" s="1" customFormat="1" ht="26.25" customHeight="1" thickBot="1" x14ac:dyDescent="0.45">
      <c r="A27" s="25"/>
      <c r="B27" s="397" t="s">
        <v>268</v>
      </c>
      <c r="C27" s="398"/>
      <c r="D27" s="398"/>
      <c r="E27" s="399"/>
      <c r="F27" s="171">
        <f>IFERROR(VLOOKUP(MID(B27,4,3),MMWR_TRAD_AGG_NATIONAL[],2,0),"--")</f>
        <v>29</v>
      </c>
      <c r="G27" s="172">
        <f>IFERROR(VLOOKUP(MID(B27,4,3),MMWR_TRAD_AGG_NATIONAL[],3,0),"--")</f>
        <v>5</v>
      </c>
      <c r="H27" s="173">
        <f t="shared" si="0"/>
        <v>0.17241379310344829</v>
      </c>
      <c r="I27" s="56"/>
      <c r="J27" s="56"/>
      <c r="K27" s="56"/>
      <c r="L27" s="56"/>
      <c r="M27" s="56"/>
      <c r="N27" s="56"/>
      <c r="O27" s="56"/>
      <c r="P27" s="56"/>
      <c r="Q27" s="56"/>
      <c r="R27" s="56"/>
      <c r="S27" s="56"/>
      <c r="T27" s="56"/>
      <c r="U27" s="74"/>
      <c r="V27" s="25"/>
    </row>
    <row r="28" spans="1:22" s="1" customFormat="1" ht="32.25" customHeight="1" x14ac:dyDescent="0.4">
      <c r="A28" s="25"/>
      <c r="B28" s="397" t="s">
        <v>269</v>
      </c>
      <c r="C28" s="398"/>
      <c r="D28" s="398"/>
      <c r="E28" s="399"/>
      <c r="F28" s="171">
        <f>IFERROR(VLOOKUP(MID(B28,4,3),MMWR_TRAD_AGG_NATIONAL[],2,0),"--")</f>
        <v>15849</v>
      </c>
      <c r="G28" s="172">
        <f>IFERROR(VLOOKUP(MID(B28,4,3),MMWR_TRAD_AGG_NATIONAL[],3,0),"--")</f>
        <v>1498</v>
      </c>
      <c r="H28" s="173">
        <f t="shared" si="0"/>
        <v>9.4517004227396048E-2</v>
      </c>
      <c r="I28" s="68" t="s">
        <v>317</v>
      </c>
      <c r="J28" s="409" t="s">
        <v>319</v>
      </c>
      <c r="K28" s="410"/>
      <c r="L28" s="410"/>
      <c r="M28" s="410"/>
      <c r="N28" s="411"/>
      <c r="O28" s="444" t="s">
        <v>317</v>
      </c>
      <c r="P28" s="75"/>
      <c r="Q28" s="56"/>
      <c r="R28" s="56"/>
      <c r="S28" s="56"/>
      <c r="T28" s="56"/>
      <c r="U28" s="74"/>
      <c r="V28" s="25"/>
    </row>
    <row r="29" spans="1:22" s="1" customFormat="1" ht="27" customHeight="1" thickBot="1" x14ac:dyDescent="0.45">
      <c r="A29" s="25"/>
      <c r="B29" s="397" t="s">
        <v>270</v>
      </c>
      <c r="C29" s="398"/>
      <c r="D29" s="398"/>
      <c r="E29" s="399"/>
      <c r="F29" s="171">
        <f>IFERROR(VLOOKUP(MID(B29,4,3),MMWR_TRAD_AGG_NATIONAL[],2,0),"--")</f>
        <v>132187</v>
      </c>
      <c r="G29" s="172">
        <f>IFERROR(VLOOKUP(MID(B29,4,3),MMWR_TRAD_AGG_NATIONAL[],3,0),"--")</f>
        <v>55288</v>
      </c>
      <c r="H29" s="173">
        <f t="shared" si="0"/>
        <v>0.41825595557808254</v>
      </c>
      <c r="I29" s="56"/>
      <c r="J29" s="412"/>
      <c r="K29" s="413"/>
      <c r="L29" s="413"/>
      <c r="M29" s="413"/>
      <c r="N29" s="414"/>
      <c r="O29" s="444"/>
      <c r="P29" s="76"/>
      <c r="Q29" s="56"/>
      <c r="R29" s="56"/>
      <c r="S29" s="56"/>
      <c r="T29" s="56"/>
      <c r="U29" s="74"/>
      <c r="V29" s="25"/>
    </row>
    <row r="30" spans="1:22" s="1" customFormat="1" ht="32.25" customHeight="1" thickBot="1" x14ac:dyDescent="0.45">
      <c r="A30" s="25"/>
      <c r="B30" s="401" t="s">
        <v>32</v>
      </c>
      <c r="C30" s="402"/>
      <c r="D30" s="402"/>
      <c r="E30" s="402"/>
      <c r="F30" s="169">
        <f>SUM(F31:F37)</f>
        <v>84678</v>
      </c>
      <c r="G30" s="169">
        <f>SUM(G31:G37)</f>
        <v>65652</v>
      </c>
      <c r="H30" s="161">
        <f t="shared" si="0"/>
        <v>0.77531354070714942</v>
      </c>
      <c r="I30" s="56"/>
      <c r="J30" s="28"/>
      <c r="K30" s="28"/>
      <c r="L30" s="28"/>
      <c r="M30" s="28"/>
      <c r="N30" s="28"/>
      <c r="O30" s="28"/>
      <c r="P30" s="56"/>
      <c r="Q30" s="56"/>
      <c r="R30" s="56"/>
      <c r="S30" s="56"/>
      <c r="T30" s="56"/>
      <c r="U30" s="74"/>
      <c r="V30" s="25"/>
    </row>
    <row r="31" spans="1:22" s="1" customFormat="1" ht="33.75" customHeight="1" x14ac:dyDescent="0.4">
      <c r="A31" s="25"/>
      <c r="B31" s="287" t="s">
        <v>287</v>
      </c>
      <c r="C31" s="288"/>
      <c r="D31" s="288"/>
      <c r="E31" s="396"/>
      <c r="F31" s="171">
        <f>IFERROR(VLOOKUP(MID(B31,4,3),MMWR_TRAD_AGG_NATIONAL[],2,0),"--")</f>
        <v>49</v>
      </c>
      <c r="G31" s="172">
        <f>IFERROR(VLOOKUP(MID(B31,4,3),MMWR_TRAD_AGG_NATIONAL[],3,0),"--")</f>
        <v>46</v>
      </c>
      <c r="H31" s="173">
        <f t="shared" si="0"/>
        <v>0.93877551020408168</v>
      </c>
      <c r="I31" s="56"/>
      <c r="J31" s="56"/>
      <c r="K31" s="56"/>
      <c r="L31" s="56"/>
      <c r="M31" s="56"/>
      <c r="N31" s="56"/>
      <c r="O31" s="56"/>
      <c r="P31" s="56"/>
      <c r="Q31" s="56"/>
      <c r="R31" s="56"/>
      <c r="S31" s="56"/>
      <c r="T31" s="56"/>
      <c r="U31" s="74"/>
      <c r="V31" s="25"/>
    </row>
    <row r="32" spans="1:22" s="1" customFormat="1" ht="32.25" customHeight="1" x14ac:dyDescent="0.4">
      <c r="A32" s="25"/>
      <c r="B32" s="287" t="s">
        <v>288</v>
      </c>
      <c r="C32" s="288"/>
      <c r="D32" s="288"/>
      <c r="E32" s="396"/>
      <c r="F32" s="171">
        <f>IFERROR(VLOOKUP(MID(B32,4,3),MMWR_TRAD_AGG_NATIONAL[],2,0),"--")</f>
        <v>49</v>
      </c>
      <c r="G32" s="172">
        <f>IFERROR(VLOOKUP(MID(B32,4,3),MMWR_TRAD_AGG_NATIONAL[],3,0),"--")</f>
        <v>49</v>
      </c>
      <c r="H32" s="173">
        <f t="shared" si="0"/>
        <v>1</v>
      </c>
      <c r="I32" s="56"/>
      <c r="J32" s="56"/>
      <c r="K32" s="56"/>
      <c r="L32" s="56"/>
      <c r="M32" s="56"/>
      <c r="N32" s="56"/>
      <c r="O32" s="56"/>
      <c r="P32" s="56"/>
      <c r="Q32" s="56"/>
      <c r="R32" s="56"/>
      <c r="S32" s="56"/>
      <c r="T32" s="56"/>
      <c r="U32" s="74"/>
      <c r="V32" s="25"/>
    </row>
    <row r="33" spans="1:22" s="1" customFormat="1" ht="32.25" customHeight="1" x14ac:dyDescent="0.4">
      <c r="A33" s="25"/>
      <c r="B33" s="287" t="s">
        <v>289</v>
      </c>
      <c r="C33" s="288"/>
      <c r="D33" s="288"/>
      <c r="E33" s="396"/>
      <c r="F33" s="171">
        <f>IFERROR(VLOOKUP(MID(B33,4,3),MMWR_TRAD_AGG_NATIONAL[],2,0),"--")</f>
        <v>688</v>
      </c>
      <c r="G33" s="172">
        <f>IFERROR(VLOOKUP(MID(B33,4,3),MMWR_TRAD_AGG_NATIONAL[],3,0),"--")</f>
        <v>625</v>
      </c>
      <c r="H33" s="173">
        <f t="shared" si="0"/>
        <v>0.90843023255813948</v>
      </c>
      <c r="I33" s="56"/>
      <c r="J33" s="56"/>
      <c r="K33" s="56"/>
      <c r="L33" s="28"/>
      <c r="M33" s="28"/>
      <c r="N33" s="28"/>
      <c r="O33" s="28"/>
      <c r="P33" s="28"/>
      <c r="Q33" s="28"/>
      <c r="R33" s="56"/>
      <c r="S33" s="56"/>
      <c r="T33" s="56"/>
      <c r="U33" s="74"/>
      <c r="V33" s="25"/>
    </row>
    <row r="34" spans="1:22" s="1" customFormat="1" ht="32.25" customHeight="1" x14ac:dyDescent="0.4">
      <c r="A34" s="25"/>
      <c r="B34" s="287" t="s">
        <v>290</v>
      </c>
      <c r="C34" s="288"/>
      <c r="D34" s="288"/>
      <c r="E34" s="396"/>
      <c r="F34" s="171">
        <f>IFERROR(VLOOKUP(MID(B34,4,3),MMWR_TRAD_AGG_NATIONAL[],2,0),"--")</f>
        <v>1357</v>
      </c>
      <c r="G34" s="172">
        <f>IFERROR(VLOOKUP(MID(B34,4,3),MMWR_TRAD_AGG_NATIONAL[],3,0),"--")</f>
        <v>282</v>
      </c>
      <c r="H34" s="173">
        <f t="shared" si="0"/>
        <v>0.20781134856300662</v>
      </c>
      <c r="I34" s="56"/>
      <c r="J34" s="56"/>
      <c r="K34" s="56"/>
      <c r="L34" s="28"/>
      <c r="M34" s="28"/>
      <c r="N34" s="28"/>
      <c r="O34" s="28"/>
      <c r="P34" s="28"/>
      <c r="Q34" s="28"/>
      <c r="R34" s="56"/>
      <c r="S34" s="56"/>
      <c r="T34" s="56"/>
      <c r="U34" s="74"/>
      <c r="V34" s="25"/>
    </row>
    <row r="35" spans="1:22" s="1" customFormat="1" ht="32.25" customHeight="1" x14ac:dyDescent="0.4">
      <c r="A35" s="25"/>
      <c r="B35" s="287" t="s">
        <v>291</v>
      </c>
      <c r="C35" s="288"/>
      <c r="D35" s="288"/>
      <c r="E35" s="396"/>
      <c r="F35" s="171">
        <f>IFERROR(VLOOKUP(MID(B35,4,3),MMWR_TRAD_AGG_NATIONAL[],2,0),"--")</f>
        <v>191</v>
      </c>
      <c r="G35" s="172">
        <f>IFERROR(VLOOKUP(MID(B35,4,3),MMWR_TRAD_AGG_NATIONAL[],3,0),"--")</f>
        <v>189</v>
      </c>
      <c r="H35" s="173">
        <f t="shared" si="0"/>
        <v>0.98952879581151831</v>
      </c>
      <c r="I35" s="56"/>
      <c r="J35" s="56"/>
      <c r="K35" s="56"/>
      <c r="L35" s="56"/>
      <c r="M35" s="56"/>
      <c r="N35" s="56"/>
      <c r="O35" s="56"/>
      <c r="P35" s="56"/>
      <c r="Q35" s="56"/>
      <c r="R35" s="56"/>
      <c r="S35" s="56"/>
      <c r="T35" s="56"/>
      <c r="U35" s="74"/>
      <c r="V35" s="25"/>
    </row>
    <row r="36" spans="1:22" s="1" customFormat="1" ht="32.25" customHeight="1" x14ac:dyDescent="0.4">
      <c r="A36" s="25"/>
      <c r="B36" s="287" t="s">
        <v>292</v>
      </c>
      <c r="C36" s="288"/>
      <c r="D36" s="288"/>
      <c r="E36" s="396"/>
      <c r="F36" s="171">
        <f>IFERROR(VLOOKUP(MID(B36,4,3),MMWR_TRAD_AGG_NATIONAL[],2,0),"--")</f>
        <v>18279</v>
      </c>
      <c r="G36" s="172">
        <f>IFERROR(VLOOKUP(MID(B36,4,3),MMWR_TRAD_AGG_NATIONAL[],3,0),"--")</f>
        <v>13294</v>
      </c>
      <c r="H36" s="173">
        <f t="shared" si="0"/>
        <v>0.72728267410689862</v>
      </c>
      <c r="I36" s="56"/>
      <c r="J36" s="56"/>
      <c r="K36" s="56"/>
      <c r="L36" s="56"/>
      <c r="M36" s="56"/>
      <c r="N36" s="56"/>
      <c r="O36" s="56"/>
      <c r="P36" s="56"/>
      <c r="Q36" s="56"/>
      <c r="R36" s="56"/>
      <c r="S36" s="56"/>
      <c r="T36" s="56"/>
      <c r="U36" s="74"/>
      <c r="V36" s="25"/>
    </row>
    <row r="37" spans="1:22" s="1" customFormat="1" ht="27" customHeight="1" thickBot="1" x14ac:dyDescent="0.45">
      <c r="A37" s="25"/>
      <c r="B37" s="287" t="s">
        <v>293</v>
      </c>
      <c r="C37" s="288"/>
      <c r="D37" s="288"/>
      <c r="E37" s="396"/>
      <c r="F37" s="171">
        <f>IFERROR(VLOOKUP(MID(B37,4,3)&amp;"G",MMWR_TRAD_AGG_NATIONAL[],2,0),"--")</f>
        <v>64065</v>
      </c>
      <c r="G37" s="172">
        <f>IFERROR(VLOOKUP(MID(B37,4,3)&amp;"G",MMWR_TRAD_AGG_NATIONAL[],3,0),"--")</f>
        <v>51167</v>
      </c>
      <c r="H37" s="173">
        <f t="shared" si="0"/>
        <v>0.7986732225083899</v>
      </c>
      <c r="I37" s="56"/>
      <c r="J37" s="56"/>
      <c r="K37" s="56"/>
      <c r="L37" s="56"/>
      <c r="M37" s="56"/>
      <c r="N37" s="56"/>
      <c r="O37" s="56"/>
      <c r="P37" s="56"/>
      <c r="Q37" s="56"/>
      <c r="R37" s="56"/>
      <c r="S37" s="56"/>
      <c r="T37" s="56"/>
      <c r="U37" s="74"/>
      <c r="V37" s="25"/>
    </row>
    <row r="38" spans="1:22" s="1" customFormat="1" ht="32.25" customHeight="1" thickBot="1" x14ac:dyDescent="0.45">
      <c r="A38" s="25"/>
      <c r="B38" s="401" t="s">
        <v>244</v>
      </c>
      <c r="C38" s="402"/>
      <c r="D38" s="402"/>
      <c r="E38" s="402"/>
      <c r="F38" s="168">
        <f>SUM(F39:F44)</f>
        <v>158697</v>
      </c>
      <c r="G38" s="169">
        <f>SUM(G39:G44)</f>
        <v>98552</v>
      </c>
      <c r="H38" s="170">
        <f t="shared" si="0"/>
        <v>0.62100732843090922</v>
      </c>
      <c r="I38" s="56"/>
      <c r="J38" s="56"/>
      <c r="K38" s="75"/>
      <c r="L38" s="75"/>
      <c r="M38" s="75"/>
      <c r="N38" s="75"/>
      <c r="O38" s="75"/>
      <c r="P38" s="56"/>
      <c r="Q38" s="56"/>
      <c r="R38" s="56"/>
      <c r="S38" s="56"/>
      <c r="T38" s="56"/>
      <c r="U38" s="74"/>
      <c r="V38" s="25"/>
    </row>
    <row r="39" spans="1:22" s="1" customFormat="1" ht="26.25" customHeight="1" x14ac:dyDescent="0.4">
      <c r="A39" s="25"/>
      <c r="B39" s="403" t="s">
        <v>294</v>
      </c>
      <c r="C39" s="404"/>
      <c r="D39" s="404"/>
      <c r="E39" s="405"/>
      <c r="F39" s="174">
        <f>IFERROR(VLOOKUP(MID(B39,4,3),MMWR_TRAD_AGG_NATIONAL[],2,0),"--")</f>
        <v>6766</v>
      </c>
      <c r="G39" s="175">
        <f>IFERROR(VLOOKUP(MID(B39,4,3),MMWR_TRAD_AGG_NATIONAL[],3,0),"--")</f>
        <v>5157</v>
      </c>
      <c r="H39" s="176">
        <f t="shared" si="0"/>
        <v>0.76219331953887082</v>
      </c>
      <c r="I39" s="56"/>
      <c r="J39" s="56"/>
      <c r="K39" s="75"/>
      <c r="L39" s="75"/>
      <c r="M39" s="75"/>
      <c r="N39" s="75"/>
      <c r="O39" s="75"/>
      <c r="P39" s="56"/>
      <c r="Q39" s="56"/>
      <c r="R39" s="56"/>
      <c r="S39" s="56"/>
      <c r="T39" s="56"/>
      <c r="U39" s="74"/>
      <c r="V39" s="25"/>
    </row>
    <row r="40" spans="1:22" s="1" customFormat="1" ht="26.25" customHeight="1" x14ac:dyDescent="0.4">
      <c r="A40" s="25"/>
      <c r="B40" s="287" t="s">
        <v>295</v>
      </c>
      <c r="C40" s="288"/>
      <c r="D40" s="288"/>
      <c r="E40" s="396"/>
      <c r="F40" s="171">
        <f>IFERROR(VLOOKUP(MID(B40,4,3),MMWR_TRAD_AGG_NATIONAL[],2,0),"--")</f>
        <v>107069</v>
      </c>
      <c r="G40" s="172">
        <f>IFERROR(VLOOKUP(MID(B40,4,3),MMWR_TRAD_AGG_NATIONAL[],3,0),"--")</f>
        <v>69258</v>
      </c>
      <c r="H40" s="173">
        <f t="shared" si="0"/>
        <v>0.646853897953656</v>
      </c>
      <c r="I40" s="56"/>
      <c r="J40" s="56"/>
      <c r="K40" s="56"/>
      <c r="L40" s="56"/>
      <c r="M40" s="56"/>
      <c r="N40" s="56"/>
      <c r="O40" s="56"/>
      <c r="P40" s="56"/>
      <c r="Q40" s="56"/>
      <c r="R40" s="56"/>
      <c r="S40" s="56"/>
      <c r="T40" s="56"/>
      <c r="U40" s="74"/>
      <c r="V40" s="25"/>
    </row>
    <row r="41" spans="1:22" s="1" customFormat="1" ht="26.25" customHeight="1" x14ac:dyDescent="0.4">
      <c r="A41" s="25"/>
      <c r="B41" s="287" t="s">
        <v>296</v>
      </c>
      <c r="C41" s="288"/>
      <c r="D41" s="288"/>
      <c r="E41" s="396"/>
      <c r="F41" s="171">
        <f>IFERROR(VLOOKUP(MID(B41,4,3),MMWR_TRAD_AGG_NATIONAL[],2,0),"--")</f>
        <v>1689</v>
      </c>
      <c r="G41" s="172">
        <f>IFERROR(VLOOKUP(MID(B41,4,3),MMWR_TRAD_AGG_NATIONAL[],3,0),"--")</f>
        <v>511</v>
      </c>
      <c r="H41" s="173">
        <f t="shared" si="0"/>
        <v>0.30254588513913561</v>
      </c>
      <c r="I41" s="56"/>
      <c r="J41" s="56"/>
      <c r="K41" s="56"/>
      <c r="L41" s="56"/>
      <c r="M41" s="56"/>
      <c r="N41" s="56"/>
      <c r="O41" s="56"/>
      <c r="P41" s="56"/>
      <c r="Q41" s="56"/>
      <c r="R41" s="56"/>
      <c r="S41" s="56"/>
      <c r="T41" s="56"/>
      <c r="U41" s="74"/>
      <c r="V41" s="25"/>
    </row>
    <row r="42" spans="1:22" s="1" customFormat="1" ht="36" customHeight="1" x14ac:dyDescent="0.4">
      <c r="A42" s="25"/>
      <c r="B42" s="287" t="s">
        <v>297</v>
      </c>
      <c r="C42" s="288"/>
      <c r="D42" s="288"/>
      <c r="E42" s="396"/>
      <c r="F42" s="171">
        <f>IFERROR(VLOOKUP(MID(B42,4,3),MMWR_TRAD_AGG_NATIONAL[],2,0),"--")</f>
        <v>25931</v>
      </c>
      <c r="G42" s="172">
        <f>IFERROR(VLOOKUP(MID(B42,4,3),MMWR_TRAD_AGG_NATIONAL[],3,0),"--")</f>
        <v>8711</v>
      </c>
      <c r="H42" s="173">
        <f t="shared" si="0"/>
        <v>0.33592996799197872</v>
      </c>
      <c r="I42" s="56"/>
      <c r="J42" s="56"/>
      <c r="K42" s="56"/>
      <c r="L42" s="56"/>
      <c r="M42" s="56"/>
      <c r="N42" s="56"/>
      <c r="O42" s="56"/>
      <c r="P42" s="56"/>
      <c r="Q42" s="56"/>
      <c r="R42" s="56"/>
      <c r="S42" s="56"/>
      <c r="T42" s="56"/>
      <c r="U42" s="74"/>
      <c r="V42" s="25"/>
    </row>
    <row r="43" spans="1:22" s="1" customFormat="1" ht="33" customHeight="1" x14ac:dyDescent="0.4">
      <c r="A43" s="25"/>
      <c r="B43" s="287" t="s">
        <v>298</v>
      </c>
      <c r="C43" s="288"/>
      <c r="D43" s="288"/>
      <c r="E43" s="396"/>
      <c r="F43" s="171">
        <f>IFERROR(VLOOKUP(MID(B43,4,3),MMWR_TRAD_AGG_NATIONAL[],2,0),"--")</f>
        <v>16694</v>
      </c>
      <c r="G43" s="172">
        <f>IFERROR(VLOOKUP(MID(B43,4,3),MMWR_TRAD_AGG_NATIONAL[],3,0),"--")</f>
        <v>14435</v>
      </c>
      <c r="H43" s="173">
        <f t="shared" si="0"/>
        <v>0.86468192164849644</v>
      </c>
      <c r="I43" s="56"/>
      <c r="J43" s="56"/>
      <c r="K43" s="56"/>
      <c r="L43" s="56"/>
      <c r="M43" s="56"/>
      <c r="N43" s="56"/>
      <c r="O43" s="56"/>
      <c r="P43" s="56"/>
      <c r="Q43" s="56"/>
      <c r="R43" s="56"/>
      <c r="S43" s="56"/>
      <c r="T43" s="56"/>
      <c r="U43" s="74"/>
      <c r="V43" s="25"/>
    </row>
    <row r="44" spans="1:22" s="1" customFormat="1" ht="27" customHeight="1" thickBot="1" x14ac:dyDescent="0.45">
      <c r="A44" s="25"/>
      <c r="B44" s="292" t="s">
        <v>299</v>
      </c>
      <c r="C44" s="293"/>
      <c r="D44" s="293"/>
      <c r="E44" s="400"/>
      <c r="F44" s="177">
        <f>IFERROR(VLOOKUP(MID(B44,4,3),MMWR_TRAD_AGG_NATIONAL[],2,0),"--")</f>
        <v>548</v>
      </c>
      <c r="G44" s="178">
        <f>IFERROR(VLOOKUP(MID(B44,4,3),MMWR_TRAD_AGG_NATIONAL[],3,0),"--")</f>
        <v>480</v>
      </c>
      <c r="H44" s="179">
        <f t="shared" si="0"/>
        <v>0.87591240875912413</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70" zoomScaleNormal="7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3" t="str">
        <f>UPPER("INVENTORY BY REGIONAL OFFICE "&amp;Transformation!B4)</f>
        <v>INVENTORY BY REGIONAL OFFICE AS OF: SEPTEMBER 19, 2015</v>
      </c>
      <c r="D2" s="454"/>
      <c r="E2" s="454"/>
      <c r="F2" s="454"/>
      <c r="G2" s="454"/>
      <c r="H2" s="454"/>
      <c r="I2" s="454"/>
      <c r="J2" s="454"/>
      <c r="K2" s="454"/>
      <c r="L2" s="454"/>
      <c r="M2" s="454"/>
      <c r="N2" s="454"/>
      <c r="O2" s="454"/>
      <c r="P2" s="454"/>
      <c r="Q2" s="454"/>
      <c r="R2" s="454"/>
      <c r="S2" s="455"/>
      <c r="T2" s="25"/>
    </row>
    <row r="3" spans="1:20" x14ac:dyDescent="0.2">
      <c r="A3" s="25"/>
      <c r="B3" s="26"/>
      <c r="C3" s="456" t="s">
        <v>231</v>
      </c>
      <c r="D3" s="457"/>
      <c r="E3" s="458" t="s">
        <v>211</v>
      </c>
      <c r="F3" s="459"/>
      <c r="G3" s="460"/>
      <c r="H3" s="458" t="s">
        <v>7</v>
      </c>
      <c r="I3" s="459"/>
      <c r="J3" s="460"/>
      <c r="K3" s="458" t="s">
        <v>33</v>
      </c>
      <c r="L3" s="459"/>
      <c r="M3" s="460"/>
      <c r="N3" s="458" t="s">
        <v>8</v>
      </c>
      <c r="O3" s="459"/>
      <c r="P3" s="460"/>
      <c r="Q3" s="81" t="s">
        <v>9</v>
      </c>
      <c r="R3" s="82" t="s">
        <v>10</v>
      </c>
      <c r="S3" s="82" t="s">
        <v>11</v>
      </c>
      <c r="T3" s="25"/>
    </row>
    <row r="4" spans="1:20"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496</v>
      </c>
      <c r="T4" s="91"/>
    </row>
    <row r="5" spans="1:20" ht="26.25" x14ac:dyDescent="0.4">
      <c r="A5" s="25"/>
      <c r="B5" s="26"/>
      <c r="C5" s="453" t="s">
        <v>494</v>
      </c>
      <c r="D5" s="454"/>
      <c r="E5" s="454"/>
      <c r="F5" s="454"/>
      <c r="G5" s="454"/>
      <c r="H5" s="454"/>
      <c r="I5" s="454"/>
      <c r="J5" s="454"/>
      <c r="K5" s="454"/>
      <c r="L5" s="454"/>
      <c r="M5" s="454"/>
      <c r="N5" s="454"/>
      <c r="O5" s="454"/>
      <c r="P5" s="454"/>
      <c r="Q5" s="454"/>
      <c r="R5" s="454"/>
      <c r="S5" s="455"/>
      <c r="T5" s="25"/>
    </row>
    <row r="6" spans="1:20" x14ac:dyDescent="0.2">
      <c r="A6" s="92"/>
      <c r="B6" s="93" t="s">
        <v>469</v>
      </c>
      <c r="C6" s="210">
        <f>IFERROR(VLOOKUP($B6,MMWR_TRAD_AGG_DISTRICT_COMP[],C$1,0),"ERROR")</f>
        <v>347185</v>
      </c>
      <c r="D6" s="188">
        <f>IFERROR(VLOOKUP($B6,MMWR_TRAD_AGG_DISTRICT_COMP[],D$1,0),"ERROR")</f>
        <v>373.86808761899999</v>
      </c>
      <c r="E6" s="196">
        <f>IFERROR(VLOOKUP($B6,MMWR_TRAD_AGG_DISTRICT_COMP[],E$1,0),"ERROR")</f>
        <v>342116</v>
      </c>
      <c r="F6" s="190">
        <f>IFERROR(VLOOKUP($B6,MMWR_TRAD_AGG_DISTRICT_COMP[],F$1,0),"ERROR")</f>
        <v>80520</v>
      </c>
      <c r="G6" s="213">
        <f t="shared" ref="G6:G69" si="0">IFERROR(F6/E6,"0%")</f>
        <v>0.23535876720176782</v>
      </c>
      <c r="H6" s="189">
        <f>IFERROR(VLOOKUP($B6,MMWR_TRAD_AGG_DISTRICT_COMP[],H$1,0),"ERROR")</f>
        <v>495440</v>
      </c>
      <c r="I6" s="190">
        <f>IFERROR(VLOOKUP($B6,MMWR_TRAD_AGG_DISTRICT_COMP[],I$1,0),"ERROR")</f>
        <v>299659</v>
      </c>
      <c r="J6" s="213">
        <f t="shared" ref="J6:J69" si="1">IFERROR(I6/H6,"0%")</f>
        <v>0.60483408687227513</v>
      </c>
      <c r="K6" s="189">
        <f>IFERROR(VLOOKUP($B6,MMWR_TRAD_AGG_DISTRICT_COMP[],K$1,0),"ERROR")</f>
        <v>84678</v>
      </c>
      <c r="L6" s="190">
        <f>IFERROR(VLOOKUP($B6,MMWR_TRAD_AGG_DISTRICT_COMP[],L$1,0),"ERROR")</f>
        <v>65652</v>
      </c>
      <c r="M6" s="213">
        <f t="shared" ref="M6:M69" si="2">IFERROR(L6/K6,"0%")</f>
        <v>0.77531354070714942</v>
      </c>
      <c r="N6" s="189">
        <f>IFERROR(VLOOKUP($B6,MMWR_TRAD_AGG_DISTRICT_COMP[],N$1,0),"ERROR")</f>
        <v>158697</v>
      </c>
      <c r="O6" s="190">
        <f>IFERROR(VLOOKUP($B6,MMWR_TRAD_AGG_DISTRICT_COMP[],O$1,0),"ERROR")</f>
        <v>98552</v>
      </c>
      <c r="P6" s="213">
        <f t="shared" ref="P6:P69" si="3">IFERROR(O6/N6,"0%")</f>
        <v>0.62100732843090922</v>
      </c>
      <c r="Q6" s="202">
        <f>IFERROR(VLOOKUP($B6,MMWR_TRAD_AGG_DISTRICT_COMP[],Q$1,0),"ERROR")</f>
        <v>9995</v>
      </c>
      <c r="R6" s="202">
        <f>IFERROR(VLOOKUP($B6,MMWR_TRAD_AGG_DISTRICT_COMP[],R$1,0),"ERROR")</f>
        <v>4438</v>
      </c>
      <c r="S6" s="205">
        <f>S7+S25+S38+S49+S62+S70</f>
        <v>311045</v>
      </c>
      <c r="T6" s="25"/>
    </row>
    <row r="7" spans="1:20" x14ac:dyDescent="0.2">
      <c r="A7" s="92"/>
      <c r="B7" s="101" t="s">
        <v>377</v>
      </c>
      <c r="C7" s="214">
        <f>IFERROR(VLOOKUP($B7,MMWR_TRAD_AGG_DISTRICT_COMP[],C$1,0),"ERROR")</f>
        <v>107080</v>
      </c>
      <c r="D7" s="199">
        <f>IFERROR(VLOOKUP($B7,MMWR_TRAD_AGG_DISTRICT_COMP[],D$1,0),"ERROR")</f>
        <v>428.96652969740001</v>
      </c>
      <c r="E7" s="215">
        <f>IFERROR(VLOOKUP($B7,MMWR_TRAD_AGG_DISTRICT_COMP[],E$1,0),"ERROR")</f>
        <v>80828</v>
      </c>
      <c r="F7" s="214">
        <f>IFERROR(VLOOKUP($B7,MMWR_TRAD_AGG_DISTRICT_COMP[],F$1,0),"ERROR")</f>
        <v>18752</v>
      </c>
      <c r="G7" s="216">
        <f t="shared" si="0"/>
        <v>0.23199881229276983</v>
      </c>
      <c r="H7" s="214">
        <f>IFERROR(VLOOKUP($B7,MMWR_TRAD_AGG_DISTRICT_COMP[],H$1,0),"ERROR")</f>
        <v>137907</v>
      </c>
      <c r="I7" s="214">
        <f>IFERROR(VLOOKUP($B7,MMWR_TRAD_AGG_DISTRICT_COMP[],I$1,0),"ERROR")</f>
        <v>96370</v>
      </c>
      <c r="J7" s="216">
        <f t="shared" si="1"/>
        <v>0.69880426664346262</v>
      </c>
      <c r="K7" s="214">
        <f>IFERROR(VLOOKUP($B7,MMWR_TRAD_AGG_DISTRICT_COMP[],K$1,0),"ERROR")</f>
        <v>21817</v>
      </c>
      <c r="L7" s="214">
        <f>IFERROR(VLOOKUP($B7,MMWR_TRAD_AGG_DISTRICT_COMP[],L$1,0),"ERROR")</f>
        <v>16694</v>
      </c>
      <c r="M7" s="216">
        <f t="shared" si="2"/>
        <v>0.76518311408534634</v>
      </c>
      <c r="N7" s="214">
        <f>IFERROR(VLOOKUP($B7,MMWR_TRAD_AGG_DISTRICT_COMP[],N$1,0),"ERROR")</f>
        <v>35401</v>
      </c>
      <c r="O7" s="214">
        <f>IFERROR(VLOOKUP($B7,MMWR_TRAD_AGG_DISTRICT_COMP[],O$1,0),"ERROR")</f>
        <v>24900</v>
      </c>
      <c r="P7" s="216">
        <f t="shared" si="3"/>
        <v>0.7033699613005282</v>
      </c>
      <c r="Q7" s="214">
        <f>IFERROR(VLOOKUP($B7,MMWR_TRAD_AGG_DISTRICT_COMP[],Q$1,0),"ERROR")</f>
        <v>9204</v>
      </c>
      <c r="R7" s="217">
        <f>IFERROR(VLOOKUP($B7,MMWR_TRAD_AGG_DISTRICT_COMP[],R$1,0),"ERROR")</f>
        <v>97</v>
      </c>
      <c r="S7" s="217">
        <f>IFERROR(VLOOKUP($B7,MMWR_APP_RO[],S$1,0),"ERROR")</f>
        <v>54961</v>
      </c>
      <c r="T7" s="25"/>
    </row>
    <row r="8" spans="1:20" x14ac:dyDescent="0.2">
      <c r="A8" s="107"/>
      <c r="B8" s="108" t="s">
        <v>36</v>
      </c>
      <c r="C8" s="211">
        <f>IFERROR(VLOOKUP($B8,MMWR_TRAD_AGG_RO_COMP[],C$1,0),"ERROR")</f>
        <v>8694</v>
      </c>
      <c r="D8" s="200">
        <f>IFERROR(VLOOKUP($B8,MMWR_TRAD_AGG_RO_COMP[],D$1,0),"ERROR")</f>
        <v>658.12629399590003</v>
      </c>
      <c r="E8" s="197">
        <f>IFERROR(VLOOKUP($B8,MMWR_TRAD_AGG_RO_COMP[],E$1,0),"ERROR")</f>
        <v>4922</v>
      </c>
      <c r="F8" s="193">
        <f>IFERROR(VLOOKUP($B8,MMWR_TRAD_AGG_RO_COMP[],F$1,0),"ERROR")</f>
        <v>1077</v>
      </c>
      <c r="G8" s="218">
        <f t="shared" si="0"/>
        <v>0.21881349045103615</v>
      </c>
      <c r="H8" s="192">
        <f>IFERROR(VLOOKUP($B8,MMWR_TRAD_AGG_RO_COMP[],H$1,0),"ERROR")</f>
        <v>10047</v>
      </c>
      <c r="I8" s="193">
        <f>IFERROR(VLOOKUP($B8,MMWR_TRAD_AGG_RO_COMP[],I$1,0),"ERROR")</f>
        <v>8134</v>
      </c>
      <c r="J8" s="218">
        <f t="shared" si="1"/>
        <v>0.8095949039514283</v>
      </c>
      <c r="K8" s="206">
        <f>IFERROR(VLOOKUP($B8,MMWR_TRAD_AGG_RO_COMP[],K$1,0),"ERROR")</f>
        <v>1005</v>
      </c>
      <c r="L8" s="207">
        <f>IFERROR(VLOOKUP($B8,MMWR_TRAD_AGG_RO_COMP[],L$1,0),"ERROR")</f>
        <v>878</v>
      </c>
      <c r="M8" s="218">
        <f t="shared" si="2"/>
        <v>0.87363184079601985</v>
      </c>
      <c r="N8" s="206">
        <f>IFERROR(VLOOKUP($B8,MMWR_TRAD_AGG_RO_COMP[],N$1,0),"ERROR")</f>
        <v>5901</v>
      </c>
      <c r="O8" s="207">
        <f>IFERROR(VLOOKUP($B8,MMWR_TRAD_AGG_RO_COMP[],O$1,0),"ERROR")</f>
        <v>5043</v>
      </c>
      <c r="P8" s="218">
        <f t="shared" si="3"/>
        <v>0.85460091509913572</v>
      </c>
      <c r="Q8" s="203">
        <f>IFERROR(VLOOKUP($B8,MMWR_TRAD_AGG_RO_COMP[],Q$1,0),"ERROR")</f>
        <v>23</v>
      </c>
      <c r="R8" s="203">
        <f>IFERROR(VLOOKUP($B8,MMWR_TRAD_AGG_RO_COMP[],R$1,0),"ERROR")</f>
        <v>6</v>
      </c>
      <c r="S8" s="203">
        <f>IFERROR(VLOOKUP($B8,MMWR_APP_RO[],S$1,0),"ERROR")</f>
        <v>5467</v>
      </c>
      <c r="T8" s="25"/>
    </row>
    <row r="9" spans="1:20" x14ac:dyDescent="0.2">
      <c r="A9" s="107"/>
      <c r="B9" s="108" t="s">
        <v>38</v>
      </c>
      <c r="C9" s="211">
        <f>IFERROR(VLOOKUP($B9,MMWR_TRAD_AGG_RO_COMP[],C$1,0),"ERROR")</f>
        <v>4360</v>
      </c>
      <c r="D9" s="200">
        <f>IFERROR(VLOOKUP($B9,MMWR_TRAD_AGG_RO_COMP[],D$1,0),"ERROR")</f>
        <v>555.32591743119997</v>
      </c>
      <c r="E9" s="197">
        <f>IFERROR(VLOOKUP($B9,MMWR_TRAD_AGG_RO_COMP[],E$1,0),"ERROR")</f>
        <v>3533</v>
      </c>
      <c r="F9" s="193">
        <f>IFERROR(VLOOKUP($B9,MMWR_TRAD_AGG_RO_COMP[],F$1,0),"ERROR")</f>
        <v>951</v>
      </c>
      <c r="G9" s="218">
        <f t="shared" si="0"/>
        <v>0.26917633739031982</v>
      </c>
      <c r="H9" s="192">
        <f>IFERROR(VLOOKUP($B9,MMWR_TRAD_AGG_RO_COMP[],H$1,0),"ERROR")</f>
        <v>5855</v>
      </c>
      <c r="I9" s="193">
        <f>IFERROR(VLOOKUP($B9,MMWR_TRAD_AGG_RO_COMP[],I$1,0),"ERROR")</f>
        <v>4433</v>
      </c>
      <c r="J9" s="218">
        <f t="shared" si="1"/>
        <v>0.75713065755764308</v>
      </c>
      <c r="K9" s="206">
        <f>IFERROR(VLOOKUP($B9,MMWR_TRAD_AGG_RO_COMP[],K$1,0),"ERROR")</f>
        <v>2119</v>
      </c>
      <c r="L9" s="207">
        <f>IFERROR(VLOOKUP($B9,MMWR_TRAD_AGG_RO_COMP[],L$1,0),"ERROR")</f>
        <v>1923</v>
      </c>
      <c r="M9" s="218">
        <f t="shared" si="2"/>
        <v>0.90750353940537987</v>
      </c>
      <c r="N9" s="206">
        <f>IFERROR(VLOOKUP($B9,MMWR_TRAD_AGG_RO_COMP[],N$1,0),"ERROR")</f>
        <v>849</v>
      </c>
      <c r="O9" s="207">
        <f>IFERROR(VLOOKUP($B9,MMWR_TRAD_AGG_RO_COMP[],O$1,0),"ERROR")</f>
        <v>744</v>
      </c>
      <c r="P9" s="218">
        <f t="shared" si="3"/>
        <v>0.87632508833922262</v>
      </c>
      <c r="Q9" s="203">
        <f>IFERROR(VLOOKUP($B9,MMWR_TRAD_AGG_RO_COMP[],Q$1,0),"ERROR")</f>
        <v>2</v>
      </c>
      <c r="R9" s="203">
        <f>IFERROR(VLOOKUP($B9,MMWR_TRAD_AGG_RO_COMP[],R$1,0),"ERROR")</f>
        <v>10</v>
      </c>
      <c r="S9" s="203">
        <f>IFERROR(VLOOKUP($B9,MMWR_APP_RO[],S$1,0),"ERROR")</f>
        <v>3387</v>
      </c>
      <c r="T9" s="25"/>
    </row>
    <row r="10" spans="1:20" x14ac:dyDescent="0.2">
      <c r="A10" s="107"/>
      <c r="B10" s="108" t="s">
        <v>24</v>
      </c>
      <c r="C10" s="211">
        <f>IFERROR(VLOOKUP($B10,MMWR_TRAD_AGG_RO_COMP[],C$1,0),"ERROR")</f>
        <v>1065</v>
      </c>
      <c r="D10" s="200">
        <f>IFERROR(VLOOKUP($B10,MMWR_TRAD_AGG_RO_COMP[],D$1,0),"ERROR")</f>
        <v>80.884507042300001</v>
      </c>
      <c r="E10" s="197">
        <f>IFERROR(VLOOKUP($B10,MMWR_TRAD_AGG_RO_COMP[],E$1,0),"ERROR")</f>
        <v>4300</v>
      </c>
      <c r="F10" s="193">
        <f>IFERROR(VLOOKUP($B10,MMWR_TRAD_AGG_RO_COMP[],F$1,0),"ERROR")</f>
        <v>982</v>
      </c>
      <c r="G10" s="218">
        <f t="shared" si="0"/>
        <v>0.22837209302325581</v>
      </c>
      <c r="H10" s="192">
        <f>IFERROR(VLOOKUP($B10,MMWR_TRAD_AGG_RO_COMP[],H$1,0),"ERROR")</f>
        <v>1885</v>
      </c>
      <c r="I10" s="193">
        <f>IFERROR(VLOOKUP($B10,MMWR_TRAD_AGG_RO_COMP[],I$1,0),"ERROR")</f>
        <v>353</v>
      </c>
      <c r="J10" s="218">
        <f t="shared" si="1"/>
        <v>0.18726790450928382</v>
      </c>
      <c r="K10" s="206">
        <f>IFERROR(VLOOKUP($B10,MMWR_TRAD_AGG_RO_COMP[],K$1,0),"ERROR")</f>
        <v>268</v>
      </c>
      <c r="L10" s="207">
        <f>IFERROR(VLOOKUP($B10,MMWR_TRAD_AGG_RO_COMP[],L$1,0),"ERROR")</f>
        <v>55</v>
      </c>
      <c r="M10" s="218">
        <f t="shared" si="2"/>
        <v>0.20522388059701493</v>
      </c>
      <c r="N10" s="206">
        <f>IFERROR(VLOOKUP($B10,MMWR_TRAD_AGG_RO_COMP[],N$1,0),"ERROR")</f>
        <v>470</v>
      </c>
      <c r="O10" s="207">
        <f>IFERROR(VLOOKUP($B10,MMWR_TRAD_AGG_RO_COMP[],O$1,0),"ERROR")</f>
        <v>315</v>
      </c>
      <c r="P10" s="218">
        <f t="shared" si="3"/>
        <v>0.67021276595744683</v>
      </c>
      <c r="Q10" s="203">
        <f>IFERROR(VLOOKUP($B10,MMWR_TRAD_AGG_RO_COMP[],Q$1,0),"ERROR")</f>
        <v>0</v>
      </c>
      <c r="R10" s="203">
        <f>IFERROR(VLOOKUP($B10,MMWR_TRAD_AGG_RO_COMP[],R$1,0),"ERROR")</f>
        <v>0</v>
      </c>
      <c r="S10" s="203">
        <f>IFERROR(VLOOKUP($B10,MMWR_APP_RO[],S$1,0),"ERROR")</f>
        <v>1770</v>
      </c>
      <c r="T10" s="25"/>
    </row>
    <row r="11" spans="1:20" x14ac:dyDescent="0.2">
      <c r="A11" s="107"/>
      <c r="B11" s="108" t="s">
        <v>47</v>
      </c>
      <c r="C11" s="211">
        <f>IFERROR(VLOOKUP($B11,MMWR_TRAD_AGG_RO_COMP[],C$1,0),"ERROR")</f>
        <v>1623</v>
      </c>
      <c r="D11" s="200">
        <f>IFERROR(VLOOKUP($B11,MMWR_TRAD_AGG_RO_COMP[],D$1,0),"ERROR")</f>
        <v>248.8373382625</v>
      </c>
      <c r="E11" s="197">
        <f>IFERROR(VLOOKUP($B11,MMWR_TRAD_AGG_RO_COMP[],E$1,0),"ERROR")</f>
        <v>1618</v>
      </c>
      <c r="F11" s="193">
        <f>IFERROR(VLOOKUP($B11,MMWR_TRAD_AGG_RO_COMP[],F$1,0),"ERROR")</f>
        <v>335</v>
      </c>
      <c r="G11" s="218">
        <f t="shared" si="0"/>
        <v>0.20704573547589616</v>
      </c>
      <c r="H11" s="192">
        <f>IFERROR(VLOOKUP($B11,MMWR_TRAD_AGG_RO_COMP[],H$1,0),"ERROR")</f>
        <v>3345</v>
      </c>
      <c r="I11" s="193">
        <f>IFERROR(VLOOKUP($B11,MMWR_TRAD_AGG_RO_COMP[],I$1,0),"ERROR")</f>
        <v>1629</v>
      </c>
      <c r="J11" s="218">
        <f t="shared" si="1"/>
        <v>0.48699551569506727</v>
      </c>
      <c r="K11" s="206">
        <f>IFERROR(VLOOKUP($B11,MMWR_TRAD_AGG_RO_COMP[],K$1,0),"ERROR")</f>
        <v>364</v>
      </c>
      <c r="L11" s="207">
        <f>IFERROR(VLOOKUP($B11,MMWR_TRAD_AGG_RO_COMP[],L$1,0),"ERROR")</f>
        <v>276</v>
      </c>
      <c r="M11" s="218">
        <f t="shared" si="2"/>
        <v>0.75824175824175821</v>
      </c>
      <c r="N11" s="206">
        <f>IFERROR(VLOOKUP($B11,MMWR_TRAD_AGG_RO_COMP[],N$1,0),"ERROR")</f>
        <v>712</v>
      </c>
      <c r="O11" s="207">
        <f>IFERROR(VLOOKUP($B11,MMWR_TRAD_AGG_RO_COMP[],O$1,0),"ERROR")</f>
        <v>488</v>
      </c>
      <c r="P11" s="218">
        <f t="shared" si="3"/>
        <v>0.6853932584269663</v>
      </c>
      <c r="Q11" s="203">
        <f>IFERROR(VLOOKUP($B11,MMWR_TRAD_AGG_RO_COMP[],Q$1,0),"ERROR")</f>
        <v>0</v>
      </c>
      <c r="R11" s="203">
        <f>IFERROR(VLOOKUP($B11,MMWR_TRAD_AGG_RO_COMP[],R$1,0),"ERROR")</f>
        <v>3</v>
      </c>
      <c r="S11" s="203">
        <f>IFERROR(VLOOKUP($B11,MMWR_APP_RO[],S$1,0),"ERROR")</f>
        <v>803</v>
      </c>
      <c r="T11" s="25"/>
    </row>
    <row r="12" spans="1:20" x14ac:dyDescent="0.2">
      <c r="A12" s="107"/>
      <c r="B12" s="108" t="s">
        <v>50</v>
      </c>
      <c r="C12" s="211">
        <f>IFERROR(VLOOKUP($B12,MMWR_TRAD_AGG_RO_COMP[],C$1,0),"ERROR")</f>
        <v>2260</v>
      </c>
      <c r="D12" s="200">
        <f>IFERROR(VLOOKUP($B12,MMWR_TRAD_AGG_RO_COMP[],D$1,0),"ERROR")</f>
        <v>217.5030973451</v>
      </c>
      <c r="E12" s="197">
        <f>IFERROR(VLOOKUP($B12,MMWR_TRAD_AGG_RO_COMP[],E$1,0),"ERROR")</f>
        <v>2142</v>
      </c>
      <c r="F12" s="193">
        <f>IFERROR(VLOOKUP($B12,MMWR_TRAD_AGG_RO_COMP[],F$1,0),"ERROR")</f>
        <v>402</v>
      </c>
      <c r="G12" s="218">
        <f t="shared" si="0"/>
        <v>0.1876750700280112</v>
      </c>
      <c r="H12" s="192">
        <f>IFERROR(VLOOKUP($B12,MMWR_TRAD_AGG_RO_COMP[],H$1,0),"ERROR")</f>
        <v>3498</v>
      </c>
      <c r="I12" s="193">
        <f>IFERROR(VLOOKUP($B12,MMWR_TRAD_AGG_RO_COMP[],I$1,0),"ERROR")</f>
        <v>1822</v>
      </c>
      <c r="J12" s="218">
        <f t="shared" si="1"/>
        <v>0.52086906803887933</v>
      </c>
      <c r="K12" s="206">
        <f>IFERROR(VLOOKUP($B12,MMWR_TRAD_AGG_RO_COMP[],K$1,0),"ERROR")</f>
        <v>186</v>
      </c>
      <c r="L12" s="207">
        <f>IFERROR(VLOOKUP($B12,MMWR_TRAD_AGG_RO_COMP[],L$1,0),"ERROR")</f>
        <v>165</v>
      </c>
      <c r="M12" s="218">
        <f t="shared" si="2"/>
        <v>0.88709677419354838</v>
      </c>
      <c r="N12" s="206">
        <f>IFERROR(VLOOKUP($B12,MMWR_TRAD_AGG_RO_COMP[],N$1,0),"ERROR")</f>
        <v>1070</v>
      </c>
      <c r="O12" s="207">
        <f>IFERROR(VLOOKUP($B12,MMWR_TRAD_AGG_RO_COMP[],O$1,0),"ERROR")</f>
        <v>810</v>
      </c>
      <c r="P12" s="218">
        <f t="shared" si="3"/>
        <v>0.7570093457943925</v>
      </c>
      <c r="Q12" s="203">
        <f>IFERROR(VLOOKUP($B12,MMWR_TRAD_AGG_RO_COMP[],Q$1,0),"ERROR")</f>
        <v>0</v>
      </c>
      <c r="R12" s="203">
        <f>IFERROR(VLOOKUP($B12,MMWR_TRAD_AGG_RO_COMP[],R$1,0),"ERROR")</f>
        <v>14</v>
      </c>
      <c r="S12" s="203">
        <f>IFERROR(VLOOKUP($B12,MMWR_APP_RO[],S$1,0),"ERROR")</f>
        <v>1950</v>
      </c>
      <c r="T12" s="25"/>
    </row>
    <row r="13" spans="1:20" x14ac:dyDescent="0.2">
      <c r="A13" s="107"/>
      <c r="B13" s="108" t="s">
        <v>57</v>
      </c>
      <c r="C13" s="211">
        <f>IFERROR(VLOOKUP($B13,MMWR_TRAD_AGG_RO_COMP[],C$1,0),"ERROR")</f>
        <v>1714</v>
      </c>
      <c r="D13" s="200">
        <f>IFERROR(VLOOKUP($B13,MMWR_TRAD_AGG_RO_COMP[],D$1,0),"ERROR")</f>
        <v>378.83605600930002</v>
      </c>
      <c r="E13" s="197">
        <f>IFERROR(VLOOKUP($B13,MMWR_TRAD_AGG_RO_COMP[],E$1,0),"ERROR")</f>
        <v>1133</v>
      </c>
      <c r="F13" s="193">
        <f>IFERROR(VLOOKUP($B13,MMWR_TRAD_AGG_RO_COMP[],F$1,0),"ERROR")</f>
        <v>236</v>
      </c>
      <c r="G13" s="218">
        <f t="shared" si="0"/>
        <v>0.20829655781112091</v>
      </c>
      <c r="H13" s="192">
        <f>IFERROR(VLOOKUP($B13,MMWR_TRAD_AGG_RO_COMP[],H$1,0),"ERROR")</f>
        <v>2131</v>
      </c>
      <c r="I13" s="193">
        <f>IFERROR(VLOOKUP($B13,MMWR_TRAD_AGG_RO_COMP[],I$1,0),"ERROR")</f>
        <v>1439</v>
      </c>
      <c r="J13" s="218">
        <f t="shared" si="1"/>
        <v>0.67526982637259503</v>
      </c>
      <c r="K13" s="206">
        <f>IFERROR(VLOOKUP($B13,MMWR_TRAD_AGG_RO_COMP[],K$1,0),"ERROR")</f>
        <v>527</v>
      </c>
      <c r="L13" s="207">
        <f>IFERROR(VLOOKUP($B13,MMWR_TRAD_AGG_RO_COMP[],L$1,0),"ERROR")</f>
        <v>501</v>
      </c>
      <c r="M13" s="218">
        <f t="shared" si="2"/>
        <v>0.95066413662239091</v>
      </c>
      <c r="N13" s="206">
        <f>IFERROR(VLOOKUP($B13,MMWR_TRAD_AGG_RO_COMP[],N$1,0),"ERROR")</f>
        <v>89</v>
      </c>
      <c r="O13" s="207">
        <f>IFERROR(VLOOKUP($B13,MMWR_TRAD_AGG_RO_COMP[],O$1,0),"ERROR")</f>
        <v>67</v>
      </c>
      <c r="P13" s="218">
        <f t="shared" si="3"/>
        <v>0.7528089887640449</v>
      </c>
      <c r="Q13" s="203">
        <f>IFERROR(VLOOKUP($B13,MMWR_TRAD_AGG_RO_COMP[],Q$1,0),"ERROR")</f>
        <v>0</v>
      </c>
      <c r="R13" s="203">
        <f>IFERROR(VLOOKUP($B13,MMWR_TRAD_AGG_RO_COMP[],R$1,0),"ERROR")</f>
        <v>1</v>
      </c>
      <c r="S13" s="203">
        <f>IFERROR(VLOOKUP($B13,MMWR_APP_RO[],S$1,0),"ERROR")</f>
        <v>627</v>
      </c>
      <c r="T13" s="25"/>
    </row>
    <row r="14" spans="1:20" x14ac:dyDescent="0.2">
      <c r="A14" s="107"/>
      <c r="B14" s="108" t="s">
        <v>63</v>
      </c>
      <c r="C14" s="211">
        <f>IFERROR(VLOOKUP($B14,MMWR_TRAD_AGG_RO_COMP[],C$1,0),"ERROR")</f>
        <v>3153</v>
      </c>
      <c r="D14" s="200">
        <f>IFERROR(VLOOKUP($B14,MMWR_TRAD_AGG_RO_COMP[],D$1,0),"ERROR")</f>
        <v>270.28861401839998</v>
      </c>
      <c r="E14" s="197">
        <f>IFERROR(VLOOKUP($B14,MMWR_TRAD_AGG_RO_COMP[],E$1,0),"ERROR")</f>
        <v>4632</v>
      </c>
      <c r="F14" s="193">
        <f>IFERROR(VLOOKUP($B14,MMWR_TRAD_AGG_RO_COMP[],F$1,0),"ERROR")</f>
        <v>944</v>
      </c>
      <c r="G14" s="218">
        <f t="shared" si="0"/>
        <v>0.20379965457685664</v>
      </c>
      <c r="H14" s="192">
        <f>IFERROR(VLOOKUP($B14,MMWR_TRAD_AGG_RO_COMP[],H$1,0),"ERROR")</f>
        <v>4774</v>
      </c>
      <c r="I14" s="193">
        <f>IFERROR(VLOOKUP($B14,MMWR_TRAD_AGG_RO_COMP[],I$1,0),"ERROR")</f>
        <v>2608</v>
      </c>
      <c r="J14" s="218">
        <f t="shared" si="1"/>
        <v>0.5462924172601592</v>
      </c>
      <c r="K14" s="206">
        <f>IFERROR(VLOOKUP($B14,MMWR_TRAD_AGG_RO_COMP[],K$1,0),"ERROR")</f>
        <v>1734</v>
      </c>
      <c r="L14" s="207">
        <f>IFERROR(VLOOKUP($B14,MMWR_TRAD_AGG_RO_COMP[],L$1,0),"ERROR")</f>
        <v>1208</v>
      </c>
      <c r="M14" s="218">
        <f t="shared" si="2"/>
        <v>0.69665513264129186</v>
      </c>
      <c r="N14" s="206">
        <f>IFERROR(VLOOKUP($B14,MMWR_TRAD_AGG_RO_COMP[],N$1,0),"ERROR")</f>
        <v>284</v>
      </c>
      <c r="O14" s="207">
        <f>IFERROR(VLOOKUP($B14,MMWR_TRAD_AGG_RO_COMP[],O$1,0),"ERROR")</f>
        <v>200</v>
      </c>
      <c r="P14" s="218">
        <f t="shared" si="3"/>
        <v>0.70422535211267601</v>
      </c>
      <c r="Q14" s="203">
        <f>IFERROR(VLOOKUP($B14,MMWR_TRAD_AGG_RO_COMP[],Q$1,0),"ERROR")</f>
        <v>0</v>
      </c>
      <c r="R14" s="203">
        <f>IFERROR(VLOOKUP($B14,MMWR_TRAD_AGG_RO_COMP[],R$1,0),"ERROR")</f>
        <v>12</v>
      </c>
      <c r="S14" s="203">
        <f>IFERROR(VLOOKUP($B14,MMWR_APP_RO[],S$1,0),"ERROR")</f>
        <v>3373</v>
      </c>
      <c r="T14" s="25"/>
    </row>
    <row r="15" spans="1:20" x14ac:dyDescent="0.2">
      <c r="A15" s="107"/>
      <c r="B15" s="108" t="s">
        <v>64</v>
      </c>
      <c r="C15" s="211">
        <f>IFERROR(VLOOKUP($B15,MMWR_TRAD_AGG_RO_COMP[],C$1,0),"ERROR")</f>
        <v>1051</v>
      </c>
      <c r="D15" s="200">
        <f>IFERROR(VLOOKUP($B15,MMWR_TRAD_AGG_RO_COMP[],D$1,0),"ERROR")</f>
        <v>85.555661275000006</v>
      </c>
      <c r="E15" s="197">
        <f>IFERROR(VLOOKUP($B15,MMWR_TRAD_AGG_RO_COMP[],E$1,0),"ERROR")</f>
        <v>2649</v>
      </c>
      <c r="F15" s="193">
        <f>IFERROR(VLOOKUP($B15,MMWR_TRAD_AGG_RO_COMP[],F$1,0),"ERROR")</f>
        <v>517</v>
      </c>
      <c r="G15" s="218">
        <f t="shared" si="0"/>
        <v>0.19516798791996981</v>
      </c>
      <c r="H15" s="192">
        <f>IFERROR(VLOOKUP($B15,MMWR_TRAD_AGG_RO_COMP[],H$1,0),"ERROR")</f>
        <v>1942</v>
      </c>
      <c r="I15" s="193">
        <f>IFERROR(VLOOKUP($B15,MMWR_TRAD_AGG_RO_COMP[],I$1,0),"ERROR")</f>
        <v>423</v>
      </c>
      <c r="J15" s="218">
        <f t="shared" si="1"/>
        <v>0.21781668383110195</v>
      </c>
      <c r="K15" s="206">
        <f>IFERROR(VLOOKUP($B15,MMWR_TRAD_AGG_RO_COMP[],K$1,0),"ERROR")</f>
        <v>714</v>
      </c>
      <c r="L15" s="207">
        <f>IFERROR(VLOOKUP($B15,MMWR_TRAD_AGG_RO_COMP[],L$1,0),"ERROR")</f>
        <v>253</v>
      </c>
      <c r="M15" s="218">
        <f t="shared" si="2"/>
        <v>0.35434173669467789</v>
      </c>
      <c r="N15" s="206">
        <f>IFERROR(VLOOKUP($B15,MMWR_TRAD_AGG_RO_COMP[],N$1,0),"ERROR")</f>
        <v>2709</v>
      </c>
      <c r="O15" s="207">
        <f>IFERROR(VLOOKUP($B15,MMWR_TRAD_AGG_RO_COMP[],O$1,0),"ERROR")</f>
        <v>1445</v>
      </c>
      <c r="P15" s="218">
        <f t="shared" si="3"/>
        <v>0.53340716131413801</v>
      </c>
      <c r="Q15" s="203">
        <f>IFERROR(VLOOKUP($B15,MMWR_TRAD_AGG_RO_COMP[],Q$1,0),"ERROR")</f>
        <v>0</v>
      </c>
      <c r="R15" s="203">
        <f>IFERROR(VLOOKUP($B15,MMWR_TRAD_AGG_RO_COMP[],R$1,0),"ERROR")</f>
        <v>1</v>
      </c>
      <c r="S15" s="203">
        <f>IFERROR(VLOOKUP($B15,MMWR_APP_RO[],S$1,0),"ERROR")</f>
        <v>2695</v>
      </c>
      <c r="T15" s="25"/>
    </row>
    <row r="16" spans="1:20" x14ac:dyDescent="0.2">
      <c r="A16" s="107"/>
      <c r="B16" s="108" t="s">
        <v>66</v>
      </c>
      <c r="C16" s="211">
        <f>IFERROR(VLOOKUP($B16,MMWR_TRAD_AGG_RO_COMP[],C$1,0),"ERROR")</f>
        <v>5478</v>
      </c>
      <c r="D16" s="200">
        <f>IFERROR(VLOOKUP($B16,MMWR_TRAD_AGG_RO_COMP[],D$1,0),"ERROR")</f>
        <v>381.76524278929998</v>
      </c>
      <c r="E16" s="197">
        <f>IFERROR(VLOOKUP($B16,MMWR_TRAD_AGG_RO_COMP[],E$1,0),"ERROR")</f>
        <v>9786</v>
      </c>
      <c r="F16" s="193">
        <f>IFERROR(VLOOKUP($B16,MMWR_TRAD_AGG_RO_COMP[],F$1,0),"ERROR")</f>
        <v>2957</v>
      </c>
      <c r="G16" s="218">
        <f t="shared" si="0"/>
        <v>0.30216636010627429</v>
      </c>
      <c r="H16" s="192">
        <f>IFERROR(VLOOKUP($B16,MMWR_TRAD_AGG_RO_COMP[],H$1,0),"ERROR")</f>
        <v>8620</v>
      </c>
      <c r="I16" s="193">
        <f>IFERROR(VLOOKUP($B16,MMWR_TRAD_AGG_RO_COMP[],I$1,0),"ERROR")</f>
        <v>5587</v>
      </c>
      <c r="J16" s="218">
        <f t="shared" si="1"/>
        <v>0.64814385150812059</v>
      </c>
      <c r="K16" s="206">
        <f>IFERROR(VLOOKUP($B16,MMWR_TRAD_AGG_RO_COMP[],K$1,0),"ERROR")</f>
        <v>723</v>
      </c>
      <c r="L16" s="207">
        <f>IFERROR(VLOOKUP($B16,MMWR_TRAD_AGG_RO_COMP[],L$1,0),"ERROR")</f>
        <v>446</v>
      </c>
      <c r="M16" s="218">
        <f t="shared" si="2"/>
        <v>0.61687413554633475</v>
      </c>
      <c r="N16" s="206">
        <f>IFERROR(VLOOKUP($B16,MMWR_TRAD_AGG_RO_COMP[],N$1,0),"ERROR")</f>
        <v>7349</v>
      </c>
      <c r="O16" s="207">
        <f>IFERROR(VLOOKUP($B16,MMWR_TRAD_AGG_RO_COMP[],O$1,0),"ERROR")</f>
        <v>3951</v>
      </c>
      <c r="P16" s="218">
        <f t="shared" si="3"/>
        <v>0.53762416655327261</v>
      </c>
      <c r="Q16" s="203">
        <f>IFERROR(VLOOKUP($B16,MMWR_TRAD_AGG_RO_COMP[],Q$1,0),"ERROR")</f>
        <v>9171</v>
      </c>
      <c r="R16" s="203">
        <f>IFERROR(VLOOKUP($B16,MMWR_TRAD_AGG_RO_COMP[],R$1,0),"ERROR")</f>
        <v>0</v>
      </c>
      <c r="S16" s="203">
        <f>IFERROR(VLOOKUP($B16,MMWR_APP_RO[],S$1,0),"ERROR")</f>
        <v>4915</v>
      </c>
      <c r="T16" s="25"/>
    </row>
    <row r="17" spans="1:20" x14ac:dyDescent="0.2">
      <c r="A17" s="107"/>
      <c r="B17" s="108" t="s">
        <v>68</v>
      </c>
      <c r="C17" s="211">
        <f>IFERROR(VLOOKUP($B17,MMWR_TRAD_AGG_RO_COMP[],C$1,0),"ERROR")</f>
        <v>4076</v>
      </c>
      <c r="D17" s="200">
        <f>IFERROR(VLOOKUP($B17,MMWR_TRAD_AGG_RO_COMP[],D$1,0),"ERROR")</f>
        <v>469.01202158979999</v>
      </c>
      <c r="E17" s="197">
        <f>IFERROR(VLOOKUP($B17,MMWR_TRAD_AGG_RO_COMP[],E$1,0),"ERROR")</f>
        <v>4919</v>
      </c>
      <c r="F17" s="193">
        <f>IFERROR(VLOOKUP($B17,MMWR_TRAD_AGG_RO_COMP[],F$1,0),"ERROR")</f>
        <v>1491</v>
      </c>
      <c r="G17" s="218">
        <f t="shared" si="0"/>
        <v>0.3031103882903029</v>
      </c>
      <c r="H17" s="192">
        <f>IFERROR(VLOOKUP($B17,MMWR_TRAD_AGG_RO_COMP[],H$1,0),"ERROR")</f>
        <v>5572</v>
      </c>
      <c r="I17" s="193">
        <f>IFERROR(VLOOKUP($B17,MMWR_TRAD_AGG_RO_COMP[],I$1,0),"ERROR")</f>
        <v>4304</v>
      </c>
      <c r="J17" s="218">
        <f t="shared" si="1"/>
        <v>0.77243359655419952</v>
      </c>
      <c r="K17" s="206">
        <f>IFERROR(VLOOKUP($B17,MMWR_TRAD_AGG_RO_COMP[],K$1,0),"ERROR")</f>
        <v>617</v>
      </c>
      <c r="L17" s="207">
        <f>IFERROR(VLOOKUP($B17,MMWR_TRAD_AGG_RO_COMP[],L$1,0),"ERROR")</f>
        <v>544</v>
      </c>
      <c r="M17" s="218">
        <f t="shared" si="2"/>
        <v>0.88168557536466774</v>
      </c>
      <c r="N17" s="206">
        <f>IFERROR(VLOOKUP($B17,MMWR_TRAD_AGG_RO_COMP[],N$1,0),"ERROR")</f>
        <v>1139</v>
      </c>
      <c r="O17" s="207">
        <f>IFERROR(VLOOKUP($B17,MMWR_TRAD_AGG_RO_COMP[],O$1,0),"ERROR")</f>
        <v>821</v>
      </c>
      <c r="P17" s="218">
        <f t="shared" si="3"/>
        <v>0.72080772607550481</v>
      </c>
      <c r="Q17" s="203">
        <f>IFERROR(VLOOKUP($B17,MMWR_TRAD_AGG_RO_COMP[],Q$1,0),"ERROR")</f>
        <v>0</v>
      </c>
      <c r="R17" s="203">
        <f>IFERROR(VLOOKUP($B17,MMWR_TRAD_AGG_RO_COMP[],R$1,0),"ERROR")</f>
        <v>3</v>
      </c>
      <c r="S17" s="203">
        <f>IFERROR(VLOOKUP($B17,MMWR_APP_RO[],S$1,0),"ERROR")</f>
        <v>4848</v>
      </c>
      <c r="T17" s="25"/>
    </row>
    <row r="18" spans="1:20" x14ac:dyDescent="0.2">
      <c r="A18" s="107"/>
      <c r="B18" s="108" t="s">
        <v>70</v>
      </c>
      <c r="C18" s="211">
        <f>IFERROR(VLOOKUP($B18,MMWR_TRAD_AGG_RO_COMP[],C$1,0),"ERROR")</f>
        <v>845</v>
      </c>
      <c r="D18" s="200">
        <f>IFERROR(VLOOKUP($B18,MMWR_TRAD_AGG_RO_COMP[],D$1,0),"ERROR")</f>
        <v>144.04497041420001</v>
      </c>
      <c r="E18" s="197">
        <f>IFERROR(VLOOKUP($B18,MMWR_TRAD_AGG_RO_COMP[],E$1,0),"ERROR")</f>
        <v>2174</v>
      </c>
      <c r="F18" s="193">
        <f>IFERROR(VLOOKUP($B18,MMWR_TRAD_AGG_RO_COMP[],F$1,0),"ERROR")</f>
        <v>390</v>
      </c>
      <c r="G18" s="218">
        <f t="shared" si="0"/>
        <v>0.17939282428702852</v>
      </c>
      <c r="H18" s="192">
        <f>IFERROR(VLOOKUP($B18,MMWR_TRAD_AGG_RO_COMP[],H$1,0),"ERROR")</f>
        <v>3186</v>
      </c>
      <c r="I18" s="193">
        <f>IFERROR(VLOOKUP($B18,MMWR_TRAD_AGG_RO_COMP[],I$1,0),"ERROR")</f>
        <v>594</v>
      </c>
      <c r="J18" s="218">
        <f t="shared" si="1"/>
        <v>0.1864406779661017</v>
      </c>
      <c r="K18" s="206">
        <f>IFERROR(VLOOKUP($B18,MMWR_TRAD_AGG_RO_COMP[],K$1,0),"ERROR")</f>
        <v>1554</v>
      </c>
      <c r="L18" s="207">
        <f>IFERROR(VLOOKUP($B18,MMWR_TRAD_AGG_RO_COMP[],L$1,0),"ERROR")</f>
        <v>332</v>
      </c>
      <c r="M18" s="218">
        <f t="shared" si="2"/>
        <v>0.21364221364221364</v>
      </c>
      <c r="N18" s="206">
        <f>IFERROR(VLOOKUP($B18,MMWR_TRAD_AGG_RO_COMP[],N$1,0),"ERROR")</f>
        <v>258</v>
      </c>
      <c r="O18" s="207">
        <f>IFERROR(VLOOKUP($B18,MMWR_TRAD_AGG_RO_COMP[],O$1,0),"ERROR")</f>
        <v>97</v>
      </c>
      <c r="P18" s="218">
        <f t="shared" si="3"/>
        <v>0.37596899224806202</v>
      </c>
      <c r="Q18" s="203">
        <f>IFERROR(VLOOKUP($B18,MMWR_TRAD_AGG_RO_COMP[],Q$1,0),"ERROR")</f>
        <v>0</v>
      </c>
      <c r="R18" s="203">
        <f>IFERROR(VLOOKUP($B18,MMWR_TRAD_AGG_RO_COMP[],R$1,0),"ERROR")</f>
        <v>0</v>
      </c>
      <c r="S18" s="203">
        <f>IFERROR(VLOOKUP($B18,MMWR_APP_RO[],S$1,0),"ERROR")</f>
        <v>449</v>
      </c>
      <c r="T18" s="25"/>
    </row>
    <row r="19" spans="1:20" x14ac:dyDescent="0.2">
      <c r="A19" s="107"/>
      <c r="B19" s="108" t="s">
        <v>72</v>
      </c>
      <c r="C19" s="211">
        <f>IFERROR(VLOOKUP($B19,MMWR_TRAD_AGG_RO_COMP[],C$1,0),"ERROR")</f>
        <v>15702</v>
      </c>
      <c r="D19" s="200">
        <f>IFERROR(VLOOKUP($B19,MMWR_TRAD_AGG_RO_COMP[],D$1,0),"ERROR")</f>
        <v>489.58788689340003</v>
      </c>
      <c r="E19" s="197">
        <f>IFERROR(VLOOKUP($B19,MMWR_TRAD_AGG_RO_COMP[],E$1,0),"ERROR")</f>
        <v>11141</v>
      </c>
      <c r="F19" s="193">
        <f>IFERROR(VLOOKUP($B19,MMWR_TRAD_AGG_RO_COMP[],F$1,0),"ERROR")</f>
        <v>2135</v>
      </c>
      <c r="G19" s="218">
        <f t="shared" si="0"/>
        <v>0.1916345031864285</v>
      </c>
      <c r="H19" s="192">
        <f>IFERROR(VLOOKUP($B19,MMWR_TRAD_AGG_RO_COMP[],H$1,0),"ERROR")</f>
        <v>17967</v>
      </c>
      <c r="I19" s="193">
        <f>IFERROR(VLOOKUP($B19,MMWR_TRAD_AGG_RO_COMP[],I$1,0),"ERROR")</f>
        <v>12008</v>
      </c>
      <c r="J19" s="218">
        <f t="shared" si="1"/>
        <v>0.66833639450102966</v>
      </c>
      <c r="K19" s="206">
        <f>IFERROR(VLOOKUP($B19,MMWR_TRAD_AGG_RO_COMP[],K$1,0),"ERROR")</f>
        <v>5847</v>
      </c>
      <c r="L19" s="207">
        <f>IFERROR(VLOOKUP($B19,MMWR_TRAD_AGG_RO_COMP[],L$1,0),"ERROR")</f>
        <v>5443</v>
      </c>
      <c r="M19" s="218">
        <f t="shared" si="2"/>
        <v>0.93090473747220792</v>
      </c>
      <c r="N19" s="206">
        <f>IFERROR(VLOOKUP($B19,MMWR_TRAD_AGG_RO_COMP[],N$1,0),"ERROR")</f>
        <v>5069</v>
      </c>
      <c r="O19" s="207">
        <f>IFERROR(VLOOKUP($B19,MMWR_TRAD_AGG_RO_COMP[],O$1,0),"ERROR")</f>
        <v>4203</v>
      </c>
      <c r="P19" s="218">
        <f t="shared" si="3"/>
        <v>0.82915762477806276</v>
      </c>
      <c r="Q19" s="203">
        <f>IFERROR(VLOOKUP($B19,MMWR_TRAD_AGG_RO_COMP[],Q$1,0),"ERROR")</f>
        <v>7</v>
      </c>
      <c r="R19" s="203">
        <f>IFERROR(VLOOKUP($B19,MMWR_TRAD_AGG_RO_COMP[],R$1,0),"ERROR")</f>
        <v>23</v>
      </c>
      <c r="S19" s="203">
        <f>IFERROR(VLOOKUP($B19,MMWR_APP_RO[],S$1,0),"ERROR")</f>
        <v>14467</v>
      </c>
      <c r="T19" s="25"/>
    </row>
    <row r="20" spans="1:20" x14ac:dyDescent="0.2">
      <c r="A20" s="107"/>
      <c r="B20" s="108" t="s">
        <v>81</v>
      </c>
      <c r="C20" s="211">
        <f>IFERROR(VLOOKUP($B20,MMWR_TRAD_AGG_RO_COMP[],C$1,0),"ERROR")</f>
        <v>1494</v>
      </c>
      <c r="D20" s="200">
        <f>IFERROR(VLOOKUP($B20,MMWR_TRAD_AGG_RO_COMP[],D$1,0),"ERROR")</f>
        <v>236.1372155288</v>
      </c>
      <c r="E20" s="197">
        <f>IFERROR(VLOOKUP($B20,MMWR_TRAD_AGG_RO_COMP[],E$1,0),"ERROR")</f>
        <v>1149</v>
      </c>
      <c r="F20" s="193">
        <f>IFERROR(VLOOKUP($B20,MMWR_TRAD_AGG_RO_COMP[],F$1,0),"ERROR")</f>
        <v>147</v>
      </c>
      <c r="G20" s="218">
        <f t="shared" si="0"/>
        <v>0.12793733681462141</v>
      </c>
      <c r="H20" s="192">
        <f>IFERROR(VLOOKUP($B20,MMWR_TRAD_AGG_RO_COMP[],H$1,0),"ERROR")</f>
        <v>2266</v>
      </c>
      <c r="I20" s="193">
        <f>IFERROR(VLOOKUP($B20,MMWR_TRAD_AGG_RO_COMP[],I$1,0),"ERROR")</f>
        <v>1010</v>
      </c>
      <c r="J20" s="218">
        <f t="shared" si="1"/>
        <v>0.44571932921447482</v>
      </c>
      <c r="K20" s="206">
        <f>IFERROR(VLOOKUP($B20,MMWR_TRAD_AGG_RO_COMP[],K$1,0),"ERROR")</f>
        <v>1004</v>
      </c>
      <c r="L20" s="207">
        <f>IFERROR(VLOOKUP($B20,MMWR_TRAD_AGG_RO_COMP[],L$1,0),"ERROR")</f>
        <v>572</v>
      </c>
      <c r="M20" s="218">
        <f t="shared" si="2"/>
        <v>0.56972111553784865</v>
      </c>
      <c r="N20" s="206">
        <f>IFERROR(VLOOKUP($B20,MMWR_TRAD_AGG_RO_COMP[],N$1,0),"ERROR")</f>
        <v>875</v>
      </c>
      <c r="O20" s="207">
        <f>IFERROR(VLOOKUP($B20,MMWR_TRAD_AGG_RO_COMP[],O$1,0),"ERROR")</f>
        <v>816</v>
      </c>
      <c r="P20" s="218">
        <f t="shared" si="3"/>
        <v>0.93257142857142861</v>
      </c>
      <c r="Q20" s="203">
        <f>IFERROR(VLOOKUP($B20,MMWR_TRAD_AGG_RO_COMP[],Q$1,0),"ERROR")</f>
        <v>1</v>
      </c>
      <c r="R20" s="203">
        <f>IFERROR(VLOOKUP($B20,MMWR_TRAD_AGG_RO_COMP[],R$1,0),"ERROR")</f>
        <v>0</v>
      </c>
      <c r="S20" s="203">
        <f>IFERROR(VLOOKUP($B20,MMWR_APP_RO[],S$1,0),"ERROR")</f>
        <v>387</v>
      </c>
      <c r="T20" s="25"/>
    </row>
    <row r="21" spans="1:20" x14ac:dyDescent="0.2">
      <c r="A21" s="107"/>
      <c r="B21" s="108" t="s">
        <v>438</v>
      </c>
      <c r="C21" s="211">
        <f>IFERROR(VLOOKUP($B21,MMWR_TRAD_AGG_RO_COMP[],C$1,0),"ERROR")</f>
        <v>37604</v>
      </c>
      <c r="D21" s="200">
        <f>IFERROR(VLOOKUP($B21,MMWR_TRAD_AGG_RO_COMP[],D$1,0),"ERROR")</f>
        <v>470.65136687590001</v>
      </c>
      <c r="E21" s="197">
        <f>IFERROR(VLOOKUP($B21,MMWR_TRAD_AGG_RO_COMP[],E$1,0),"ERROR")</f>
        <v>621</v>
      </c>
      <c r="F21" s="193">
        <f>IFERROR(VLOOKUP($B21,MMWR_TRAD_AGG_RO_COMP[],F$1,0),"ERROR")</f>
        <v>251</v>
      </c>
      <c r="G21" s="218">
        <f t="shared" si="0"/>
        <v>0.40418679549114334</v>
      </c>
      <c r="H21" s="192">
        <f>IFERROR(VLOOKUP($B21,MMWR_TRAD_AGG_RO_COMP[],H$1,0),"ERROR")</f>
        <v>38088</v>
      </c>
      <c r="I21" s="193">
        <f>IFERROR(VLOOKUP($B21,MMWR_TRAD_AGG_RO_COMP[],I$1,0),"ERROR")</f>
        <v>37319</v>
      </c>
      <c r="J21" s="218">
        <f t="shared" si="1"/>
        <v>0.97980991388363792</v>
      </c>
      <c r="K21" s="206">
        <f>IFERROR(VLOOKUP($B21,MMWR_TRAD_AGG_RO_COMP[],K$1,0),"ERROR")</f>
        <v>76</v>
      </c>
      <c r="L21" s="207">
        <f>IFERROR(VLOOKUP($B21,MMWR_TRAD_AGG_RO_COMP[],L$1,0),"ERROR")</f>
        <v>66</v>
      </c>
      <c r="M21" s="218">
        <f t="shared" si="2"/>
        <v>0.86842105263157898</v>
      </c>
      <c r="N21" s="206">
        <f>IFERROR(VLOOKUP($B21,MMWR_TRAD_AGG_RO_COMP[],N$1,0),"ERROR")</f>
        <v>1541</v>
      </c>
      <c r="O21" s="207">
        <f>IFERROR(VLOOKUP($B21,MMWR_TRAD_AGG_RO_COMP[],O$1,0),"ERROR")</f>
        <v>1383</v>
      </c>
      <c r="P21" s="218">
        <f t="shared" si="3"/>
        <v>0.89746917585983133</v>
      </c>
      <c r="Q21" s="203">
        <f>IFERROR(VLOOKUP($B21,MMWR_TRAD_AGG_RO_COMP[],Q$1,0),"ERROR")</f>
        <v>0</v>
      </c>
      <c r="R21" s="203">
        <f>IFERROR(VLOOKUP($B21,MMWR_TRAD_AGG_RO_COMP[],R$1,0),"ERROR")</f>
        <v>2</v>
      </c>
      <c r="S21" s="203">
        <f>IFERROR(VLOOKUP($B21,MMWR_APP_RO[],S$1,0),"ERROR")</f>
        <v>12</v>
      </c>
      <c r="T21" s="25"/>
    </row>
    <row r="22" spans="1:20" x14ac:dyDescent="0.2">
      <c r="A22" s="107"/>
      <c r="B22" s="108" t="s">
        <v>141</v>
      </c>
      <c r="C22" s="211">
        <f>IFERROR(VLOOKUP($B22,MMWR_TRAD_AGG_RO_COMP[],C$1,0),"ERROR")</f>
        <v>448</v>
      </c>
      <c r="D22" s="200">
        <f>IFERROR(VLOOKUP($B22,MMWR_TRAD_AGG_RO_COMP[],D$1,0),"ERROR")</f>
        <v>340.33705357140002</v>
      </c>
      <c r="E22" s="197">
        <f>IFERROR(VLOOKUP($B22,MMWR_TRAD_AGG_RO_COMP[],E$1,0),"ERROR")</f>
        <v>383</v>
      </c>
      <c r="F22" s="193">
        <f>IFERROR(VLOOKUP($B22,MMWR_TRAD_AGG_RO_COMP[],F$1,0),"ERROR")</f>
        <v>106</v>
      </c>
      <c r="G22" s="218">
        <f t="shared" si="0"/>
        <v>0.27676240208877284</v>
      </c>
      <c r="H22" s="192">
        <f>IFERROR(VLOOKUP($B22,MMWR_TRAD_AGG_RO_COMP[],H$1,0),"ERROR")</f>
        <v>609</v>
      </c>
      <c r="I22" s="193">
        <f>IFERROR(VLOOKUP($B22,MMWR_TRAD_AGG_RO_COMP[],I$1,0),"ERROR")</f>
        <v>393</v>
      </c>
      <c r="J22" s="218">
        <f t="shared" si="1"/>
        <v>0.64532019704433496</v>
      </c>
      <c r="K22" s="206">
        <f>IFERROR(VLOOKUP($B22,MMWR_TRAD_AGG_RO_COMP[],K$1,0),"ERROR")</f>
        <v>72</v>
      </c>
      <c r="L22" s="207">
        <f>IFERROR(VLOOKUP($B22,MMWR_TRAD_AGG_RO_COMP[],L$1,0),"ERROR")</f>
        <v>61</v>
      </c>
      <c r="M22" s="218">
        <f t="shared" si="2"/>
        <v>0.84722222222222221</v>
      </c>
      <c r="N22" s="206">
        <f>IFERROR(VLOOKUP($B22,MMWR_TRAD_AGG_RO_COMP[],N$1,0),"ERROR")</f>
        <v>97</v>
      </c>
      <c r="O22" s="207">
        <f>IFERROR(VLOOKUP($B22,MMWR_TRAD_AGG_RO_COMP[],O$1,0),"ERROR")</f>
        <v>76</v>
      </c>
      <c r="P22" s="218">
        <f t="shared" si="3"/>
        <v>0.78350515463917525</v>
      </c>
      <c r="Q22" s="203">
        <f>IFERROR(VLOOKUP($B22,MMWR_TRAD_AGG_RO_COMP[],Q$1,0),"ERROR")</f>
        <v>0</v>
      </c>
      <c r="R22" s="203">
        <f>IFERROR(VLOOKUP($B22,MMWR_TRAD_AGG_RO_COMP[],R$1,0),"ERROR")</f>
        <v>1</v>
      </c>
      <c r="S22" s="203">
        <f>IFERROR(VLOOKUP($B22,MMWR_APP_RO[],S$1,0),"ERROR")</f>
        <v>202</v>
      </c>
      <c r="T22" s="25"/>
    </row>
    <row r="23" spans="1:20" x14ac:dyDescent="0.2">
      <c r="A23" s="107"/>
      <c r="B23" s="108" t="s">
        <v>85</v>
      </c>
      <c r="C23" s="211">
        <f>IFERROR(VLOOKUP($B23,MMWR_TRAD_AGG_RO_COMP[],C$1,0),"ERROR")</f>
        <v>826</v>
      </c>
      <c r="D23" s="200">
        <f>IFERROR(VLOOKUP($B23,MMWR_TRAD_AGG_RO_COMP[],D$1,0),"ERROR")</f>
        <v>337.52905569009999</v>
      </c>
      <c r="E23" s="197">
        <f>IFERROR(VLOOKUP($B23,MMWR_TRAD_AGG_RO_COMP[],E$1,0),"ERROR")</f>
        <v>805</v>
      </c>
      <c r="F23" s="193">
        <f>IFERROR(VLOOKUP($B23,MMWR_TRAD_AGG_RO_COMP[],F$1,0),"ERROR")</f>
        <v>214</v>
      </c>
      <c r="G23" s="218">
        <f t="shared" si="0"/>
        <v>0.26583850931677017</v>
      </c>
      <c r="H23" s="192">
        <f>IFERROR(VLOOKUP($B23,MMWR_TRAD_AGG_RO_COMP[],H$1,0),"ERROR")</f>
        <v>877</v>
      </c>
      <c r="I23" s="193">
        <f>IFERROR(VLOOKUP($B23,MMWR_TRAD_AGG_RO_COMP[],I$1,0),"ERROR")</f>
        <v>422</v>
      </c>
      <c r="J23" s="218">
        <f t="shared" si="1"/>
        <v>0.48118586088939569</v>
      </c>
      <c r="K23" s="206">
        <f>IFERROR(VLOOKUP($B23,MMWR_TRAD_AGG_RO_COMP[],K$1,0),"ERROR")</f>
        <v>12</v>
      </c>
      <c r="L23" s="207">
        <f>IFERROR(VLOOKUP($B23,MMWR_TRAD_AGG_RO_COMP[],L$1,0),"ERROR")</f>
        <v>8</v>
      </c>
      <c r="M23" s="218">
        <f t="shared" si="2"/>
        <v>0.66666666666666663</v>
      </c>
      <c r="N23" s="206">
        <f>IFERROR(VLOOKUP($B23,MMWR_TRAD_AGG_RO_COMP[],N$1,0),"ERROR")</f>
        <v>287</v>
      </c>
      <c r="O23" s="207">
        <f>IFERROR(VLOOKUP($B23,MMWR_TRAD_AGG_RO_COMP[],O$1,0),"ERROR")</f>
        <v>139</v>
      </c>
      <c r="P23" s="218">
        <f t="shared" si="3"/>
        <v>0.48432055749128922</v>
      </c>
      <c r="Q23" s="203">
        <f>IFERROR(VLOOKUP($B23,MMWR_TRAD_AGG_RO_COMP[],Q$1,0),"ERROR")</f>
        <v>0</v>
      </c>
      <c r="R23" s="203">
        <f>IFERROR(VLOOKUP($B23,MMWR_TRAD_AGG_RO_COMP[],R$1,0),"ERROR")</f>
        <v>0</v>
      </c>
      <c r="S23" s="203">
        <f>IFERROR(VLOOKUP($B23,MMWR_APP_RO[],S$1,0),"ERROR")</f>
        <v>178</v>
      </c>
      <c r="T23" s="25"/>
    </row>
    <row r="24" spans="1:20" x14ac:dyDescent="0.2">
      <c r="A24" s="92"/>
      <c r="B24" s="116" t="s">
        <v>86</v>
      </c>
      <c r="C24" s="212">
        <f>IFERROR(VLOOKUP($B24,MMWR_TRAD_AGG_RO_COMP[],C$1,0),"ERROR")</f>
        <v>16687</v>
      </c>
      <c r="D24" s="201">
        <f>IFERROR(VLOOKUP($B24,MMWR_TRAD_AGG_RO_COMP[],D$1,0),"ERROR")</f>
        <v>295.0246299515</v>
      </c>
      <c r="E24" s="198">
        <f>IFERROR(VLOOKUP($B24,MMWR_TRAD_AGG_RO_COMP[],E$1,0),"ERROR")</f>
        <v>24921</v>
      </c>
      <c r="F24" s="195">
        <f>IFERROR(VLOOKUP($B24,MMWR_TRAD_AGG_RO_COMP[],F$1,0),"ERROR")</f>
        <v>5617</v>
      </c>
      <c r="G24" s="219">
        <f t="shared" si="0"/>
        <v>0.22539223947674653</v>
      </c>
      <c r="H24" s="194">
        <f>IFERROR(VLOOKUP($B24,MMWR_TRAD_AGG_RO_COMP[],H$1,0),"ERROR")</f>
        <v>27245</v>
      </c>
      <c r="I24" s="195">
        <f>IFERROR(VLOOKUP($B24,MMWR_TRAD_AGG_RO_COMP[],I$1,0),"ERROR")</f>
        <v>13892</v>
      </c>
      <c r="J24" s="219">
        <f t="shared" si="1"/>
        <v>0.50989172325197285</v>
      </c>
      <c r="K24" s="208">
        <f>IFERROR(VLOOKUP($B24,MMWR_TRAD_AGG_RO_COMP[],K$1,0),"ERROR")</f>
        <v>4995</v>
      </c>
      <c r="L24" s="209">
        <f>IFERROR(VLOOKUP($B24,MMWR_TRAD_AGG_RO_COMP[],L$1,0),"ERROR")</f>
        <v>3963</v>
      </c>
      <c r="M24" s="219">
        <f t="shared" si="2"/>
        <v>0.79339339339339343</v>
      </c>
      <c r="N24" s="208">
        <f>IFERROR(VLOOKUP($B24,MMWR_TRAD_AGG_RO_COMP[],N$1,0),"ERROR")</f>
        <v>6702</v>
      </c>
      <c r="O24" s="209">
        <f>IFERROR(VLOOKUP($B24,MMWR_TRAD_AGG_RO_COMP[],O$1,0),"ERROR")</f>
        <v>4302</v>
      </c>
      <c r="P24" s="219">
        <f t="shared" si="3"/>
        <v>0.64189794091316021</v>
      </c>
      <c r="Q24" s="204">
        <f>IFERROR(VLOOKUP($B24,MMWR_TRAD_AGG_RO_COMP[],Q$1,0),"ERROR")</f>
        <v>0</v>
      </c>
      <c r="R24" s="204">
        <f>IFERROR(VLOOKUP($B24,MMWR_TRAD_AGG_RO_COMP[],R$1,0),"ERROR")</f>
        <v>21</v>
      </c>
      <c r="S24" s="203">
        <f>IFERROR(VLOOKUP($B24,MMWR_APP_RO[],S$1,0),"ERROR")</f>
        <v>9431</v>
      </c>
      <c r="T24" s="25"/>
    </row>
    <row r="25" spans="1:20" x14ac:dyDescent="0.2">
      <c r="A25" s="107"/>
      <c r="B25" s="101" t="s">
        <v>398</v>
      </c>
      <c r="C25" s="214">
        <f>IFERROR(VLOOKUP($B25,MMWR_TRAD_AGG_DISTRICT_COMP[],C$1,0),"ERROR")</f>
        <v>47761</v>
      </c>
      <c r="D25" s="199">
        <f>IFERROR(VLOOKUP($B25,MMWR_TRAD_AGG_DISTRICT_COMP[],D$1,0),"ERROR")</f>
        <v>380.8366449614</v>
      </c>
      <c r="E25" s="215">
        <f>IFERROR(VLOOKUP($B25,MMWR_TRAD_AGG_DISTRICT_COMP[],E$1,0),"ERROR")</f>
        <v>56721</v>
      </c>
      <c r="F25" s="220">
        <f>IFERROR(VLOOKUP($B25,MMWR_TRAD_AGG_DISTRICT_COMP[],F$1,0),"ERROR")</f>
        <v>12506</v>
      </c>
      <c r="G25" s="216">
        <f t="shared" si="0"/>
        <v>0.22048271363339855</v>
      </c>
      <c r="H25" s="220">
        <f>IFERROR(VLOOKUP($B25,MMWR_TRAD_AGG_DISTRICT_COMP[],H$1,0),"ERROR")</f>
        <v>77435</v>
      </c>
      <c r="I25" s="220">
        <f>IFERROR(VLOOKUP($B25,MMWR_TRAD_AGG_DISTRICT_COMP[],I$1,0),"ERROR")</f>
        <v>39508</v>
      </c>
      <c r="J25" s="216">
        <f t="shared" si="1"/>
        <v>0.5102085620197585</v>
      </c>
      <c r="K25" s="214">
        <f>IFERROR(VLOOKUP($B25,MMWR_TRAD_AGG_DISTRICT_COMP[],K$1,0),"ERROR")</f>
        <v>9788</v>
      </c>
      <c r="L25" s="214">
        <f>IFERROR(VLOOKUP($B25,MMWR_TRAD_AGG_DISTRICT_COMP[],L$1,0),"ERROR")</f>
        <v>7945</v>
      </c>
      <c r="M25" s="216">
        <f t="shared" si="2"/>
        <v>0.81170821413976302</v>
      </c>
      <c r="N25" s="214">
        <f>IFERROR(VLOOKUP($B25,MMWR_TRAD_AGG_DISTRICT_COMP[],N$1,0),"ERROR")</f>
        <v>22566</v>
      </c>
      <c r="O25" s="214">
        <f>IFERROR(VLOOKUP($B25,MMWR_TRAD_AGG_DISTRICT_COMP[],O$1,0),"ERROR")</f>
        <v>16163</v>
      </c>
      <c r="P25" s="216">
        <f t="shared" si="3"/>
        <v>0.71625454223167595</v>
      </c>
      <c r="Q25" s="214">
        <f>IFERROR(VLOOKUP($B25,MMWR_TRAD_AGG_DISTRICT_COMP[],Q$1,0),"ERROR")</f>
        <v>184</v>
      </c>
      <c r="R25" s="217">
        <f>IFERROR(VLOOKUP($B25,MMWR_TRAD_AGG_DISTRICT_COMP[],R$1,0),"ERROR")</f>
        <v>1176</v>
      </c>
      <c r="S25" s="217">
        <f>IFERROR(VLOOKUP($B25,MMWR_APP_RO[],S$1,0),"ERROR")</f>
        <v>51474</v>
      </c>
      <c r="T25" s="25"/>
    </row>
    <row r="26" spans="1:20" x14ac:dyDescent="0.2">
      <c r="A26" s="107"/>
      <c r="B26" s="108" t="s">
        <v>40</v>
      </c>
      <c r="C26" s="211">
        <f>IFERROR(VLOOKUP($B26,MMWR_TRAD_AGG_RO_COMP[],C$1,0),"ERROR")</f>
        <v>6416</v>
      </c>
      <c r="D26" s="200">
        <f>IFERROR(VLOOKUP($B26,MMWR_TRAD_AGG_RO_COMP[],D$1,0),"ERROR")</f>
        <v>531.58634663340001</v>
      </c>
      <c r="E26" s="197">
        <f>IFERROR(VLOOKUP($B26,MMWR_TRAD_AGG_RO_COMP[],E$1,0),"ERROR")</f>
        <v>6462</v>
      </c>
      <c r="F26" s="193">
        <f>IFERROR(VLOOKUP($B26,MMWR_TRAD_AGG_RO_COMP[],F$1,0),"ERROR")</f>
        <v>1845</v>
      </c>
      <c r="G26" s="218">
        <f t="shared" si="0"/>
        <v>0.28551532033426186</v>
      </c>
      <c r="H26" s="192">
        <f>IFERROR(VLOOKUP($B26,MMWR_TRAD_AGG_RO_COMP[],H$1,0),"ERROR")</f>
        <v>7759</v>
      </c>
      <c r="I26" s="193">
        <f>IFERROR(VLOOKUP($B26,MMWR_TRAD_AGG_RO_COMP[],I$1,0),"ERROR")</f>
        <v>6004</v>
      </c>
      <c r="J26" s="218">
        <f t="shared" si="1"/>
        <v>0.77381105812604722</v>
      </c>
      <c r="K26" s="206">
        <f>IFERROR(VLOOKUP($B26,MMWR_TRAD_AGG_RO_COMP[],K$1,0),"ERROR")</f>
        <v>1369</v>
      </c>
      <c r="L26" s="207">
        <f>IFERROR(VLOOKUP($B26,MMWR_TRAD_AGG_RO_COMP[],L$1,0),"ERROR")</f>
        <v>1322</v>
      </c>
      <c r="M26" s="218">
        <f t="shared" si="2"/>
        <v>0.96566837107377645</v>
      </c>
      <c r="N26" s="206">
        <f>IFERROR(VLOOKUP($B26,MMWR_TRAD_AGG_RO_COMP[],N$1,0),"ERROR")</f>
        <v>2258</v>
      </c>
      <c r="O26" s="207">
        <f>IFERROR(VLOOKUP($B26,MMWR_TRAD_AGG_RO_COMP[],O$1,0),"ERROR")</f>
        <v>1772</v>
      </c>
      <c r="P26" s="218">
        <f t="shared" si="3"/>
        <v>0.78476527900797166</v>
      </c>
      <c r="Q26" s="203">
        <f>IFERROR(VLOOKUP($B26,MMWR_TRAD_AGG_RO_COMP[],Q$1,0),"ERROR")</f>
        <v>1</v>
      </c>
      <c r="R26" s="203">
        <f>IFERROR(VLOOKUP($B26,MMWR_TRAD_AGG_RO_COMP[],R$1,0),"ERROR")</f>
        <v>288</v>
      </c>
      <c r="S26" s="203">
        <f>IFERROR(VLOOKUP($B26,MMWR_APP_RO[],S$1,0),"ERROR")</f>
        <v>7601</v>
      </c>
      <c r="T26" s="25"/>
    </row>
    <row r="27" spans="1:20" x14ac:dyDescent="0.2">
      <c r="A27" s="107"/>
      <c r="B27" s="108" t="s">
        <v>41</v>
      </c>
      <c r="C27" s="211">
        <f>IFERROR(VLOOKUP($B27,MMWR_TRAD_AGG_RO_COMP[],C$1,0),"ERROR")</f>
        <v>6833</v>
      </c>
      <c r="D27" s="200">
        <f>IFERROR(VLOOKUP($B27,MMWR_TRAD_AGG_RO_COMP[],D$1,0),"ERROR")</f>
        <v>518.51470803450002</v>
      </c>
      <c r="E27" s="197">
        <f>IFERROR(VLOOKUP($B27,MMWR_TRAD_AGG_RO_COMP[],E$1,0),"ERROR")</f>
        <v>8482</v>
      </c>
      <c r="F27" s="193">
        <f>IFERROR(VLOOKUP($B27,MMWR_TRAD_AGG_RO_COMP[],F$1,0),"ERROR")</f>
        <v>1959</v>
      </c>
      <c r="G27" s="218">
        <f t="shared" si="0"/>
        <v>0.23095967932091488</v>
      </c>
      <c r="H27" s="192">
        <f>IFERROR(VLOOKUP($B27,MMWR_TRAD_AGG_RO_COMP[],H$1,0),"ERROR")</f>
        <v>9160</v>
      </c>
      <c r="I27" s="193">
        <f>IFERROR(VLOOKUP($B27,MMWR_TRAD_AGG_RO_COMP[],I$1,0),"ERROR")</f>
        <v>7023</v>
      </c>
      <c r="J27" s="218">
        <f t="shared" si="1"/>
        <v>0.76670305676855899</v>
      </c>
      <c r="K27" s="206">
        <f>IFERROR(VLOOKUP($B27,MMWR_TRAD_AGG_RO_COMP[],K$1,0),"ERROR")</f>
        <v>1497</v>
      </c>
      <c r="L27" s="207">
        <f>IFERROR(VLOOKUP($B27,MMWR_TRAD_AGG_RO_COMP[],L$1,0),"ERROR")</f>
        <v>1428</v>
      </c>
      <c r="M27" s="218">
        <f t="shared" si="2"/>
        <v>0.95390781563126248</v>
      </c>
      <c r="N27" s="206">
        <f>IFERROR(VLOOKUP($B27,MMWR_TRAD_AGG_RO_COMP[],N$1,0),"ERROR")</f>
        <v>6857</v>
      </c>
      <c r="O27" s="207">
        <f>IFERROR(VLOOKUP($B27,MMWR_TRAD_AGG_RO_COMP[],O$1,0),"ERROR")</f>
        <v>4005</v>
      </c>
      <c r="P27" s="218">
        <f t="shared" si="3"/>
        <v>0.58407466822225462</v>
      </c>
      <c r="Q27" s="203">
        <f>IFERROR(VLOOKUP($B27,MMWR_TRAD_AGG_RO_COMP[],Q$1,0),"ERROR")</f>
        <v>14</v>
      </c>
      <c r="R27" s="203">
        <f>IFERROR(VLOOKUP($B27,MMWR_TRAD_AGG_RO_COMP[],R$1,0),"ERROR")</f>
        <v>340</v>
      </c>
      <c r="S27" s="203">
        <f>IFERROR(VLOOKUP($B27,MMWR_APP_RO[],S$1,0),"ERROR")</f>
        <v>13959</v>
      </c>
      <c r="T27" s="25"/>
    </row>
    <row r="28" spans="1:20" x14ac:dyDescent="0.2">
      <c r="A28" s="107"/>
      <c r="B28" s="108" t="s">
        <v>44</v>
      </c>
      <c r="C28" s="211">
        <f>IFERROR(VLOOKUP($B28,MMWR_TRAD_AGG_RO_COMP[],C$1,0),"ERROR")</f>
        <v>1158</v>
      </c>
      <c r="D28" s="200">
        <f>IFERROR(VLOOKUP($B28,MMWR_TRAD_AGG_RO_COMP[],D$1,0),"ERROR")</f>
        <v>124.5846286701</v>
      </c>
      <c r="E28" s="197">
        <f>IFERROR(VLOOKUP($B28,MMWR_TRAD_AGG_RO_COMP[],E$1,0),"ERROR")</f>
        <v>2239</v>
      </c>
      <c r="F28" s="193">
        <f>IFERROR(VLOOKUP($B28,MMWR_TRAD_AGG_RO_COMP[],F$1,0),"ERROR")</f>
        <v>531</v>
      </c>
      <c r="G28" s="218">
        <f t="shared" si="0"/>
        <v>0.23715944618133095</v>
      </c>
      <c r="H28" s="192">
        <f>IFERROR(VLOOKUP($B28,MMWR_TRAD_AGG_RO_COMP[],H$1,0),"ERROR")</f>
        <v>2155</v>
      </c>
      <c r="I28" s="193">
        <f>IFERROR(VLOOKUP($B28,MMWR_TRAD_AGG_RO_COMP[],I$1,0),"ERROR")</f>
        <v>577</v>
      </c>
      <c r="J28" s="218">
        <f t="shared" si="1"/>
        <v>0.2677494199535963</v>
      </c>
      <c r="K28" s="206">
        <f>IFERROR(VLOOKUP($B28,MMWR_TRAD_AGG_RO_COMP[],K$1,0),"ERROR")</f>
        <v>188</v>
      </c>
      <c r="L28" s="207">
        <f>IFERROR(VLOOKUP($B28,MMWR_TRAD_AGG_RO_COMP[],L$1,0),"ERROR")</f>
        <v>149</v>
      </c>
      <c r="M28" s="218">
        <f t="shared" si="2"/>
        <v>0.79255319148936165</v>
      </c>
      <c r="N28" s="206">
        <f>IFERROR(VLOOKUP($B28,MMWR_TRAD_AGG_RO_COMP[],N$1,0),"ERROR")</f>
        <v>2830</v>
      </c>
      <c r="O28" s="207">
        <f>IFERROR(VLOOKUP($B28,MMWR_TRAD_AGG_RO_COMP[],O$1,0),"ERROR")</f>
        <v>2697</v>
      </c>
      <c r="P28" s="218">
        <f t="shared" si="3"/>
        <v>0.95300353356890455</v>
      </c>
      <c r="Q28" s="203">
        <f>IFERROR(VLOOKUP($B28,MMWR_TRAD_AGG_RO_COMP[],Q$1,0),"ERROR")</f>
        <v>0</v>
      </c>
      <c r="R28" s="203">
        <f>IFERROR(VLOOKUP($B28,MMWR_TRAD_AGG_RO_COMP[],R$1,0),"ERROR")</f>
        <v>10</v>
      </c>
      <c r="S28" s="203">
        <f>IFERROR(VLOOKUP($B28,MMWR_APP_RO[],S$1,0),"ERROR")</f>
        <v>1075</v>
      </c>
      <c r="T28" s="25"/>
    </row>
    <row r="29" spans="1:20" x14ac:dyDescent="0.2">
      <c r="A29" s="107"/>
      <c r="B29" s="108" t="s">
        <v>45</v>
      </c>
      <c r="C29" s="211">
        <f>IFERROR(VLOOKUP($B29,MMWR_TRAD_AGG_RO_COMP[],C$1,0),"ERROR")</f>
        <v>3028</v>
      </c>
      <c r="D29" s="200">
        <f>IFERROR(VLOOKUP($B29,MMWR_TRAD_AGG_RO_COMP[],D$1,0),"ERROR")</f>
        <v>238.67866578600001</v>
      </c>
      <c r="E29" s="197">
        <f>IFERROR(VLOOKUP($B29,MMWR_TRAD_AGG_RO_COMP[],E$1,0),"ERROR")</f>
        <v>7337</v>
      </c>
      <c r="F29" s="193">
        <f>IFERROR(VLOOKUP($B29,MMWR_TRAD_AGG_RO_COMP[],F$1,0),"ERROR")</f>
        <v>1901</v>
      </c>
      <c r="G29" s="218">
        <f t="shared" si="0"/>
        <v>0.25909772386534008</v>
      </c>
      <c r="H29" s="192">
        <f>IFERROR(VLOOKUP($B29,MMWR_TRAD_AGG_RO_COMP[],H$1,0),"ERROR")</f>
        <v>6196</v>
      </c>
      <c r="I29" s="193">
        <f>IFERROR(VLOOKUP($B29,MMWR_TRAD_AGG_RO_COMP[],I$1,0),"ERROR")</f>
        <v>2481</v>
      </c>
      <c r="J29" s="218">
        <f t="shared" si="1"/>
        <v>0.40041962556488059</v>
      </c>
      <c r="K29" s="206">
        <f>IFERROR(VLOOKUP($B29,MMWR_TRAD_AGG_RO_COMP[],K$1,0),"ERROR")</f>
        <v>983</v>
      </c>
      <c r="L29" s="207">
        <f>IFERROR(VLOOKUP($B29,MMWR_TRAD_AGG_RO_COMP[],L$1,0),"ERROR")</f>
        <v>754</v>
      </c>
      <c r="M29" s="218">
        <f t="shared" si="2"/>
        <v>0.7670396744659207</v>
      </c>
      <c r="N29" s="206">
        <f>IFERROR(VLOOKUP($B29,MMWR_TRAD_AGG_RO_COMP[],N$1,0),"ERROR")</f>
        <v>730</v>
      </c>
      <c r="O29" s="207">
        <f>IFERROR(VLOOKUP($B29,MMWR_TRAD_AGG_RO_COMP[],O$1,0),"ERROR")</f>
        <v>408</v>
      </c>
      <c r="P29" s="218">
        <f t="shared" si="3"/>
        <v>0.55890410958904113</v>
      </c>
      <c r="Q29" s="203">
        <f>IFERROR(VLOOKUP($B29,MMWR_TRAD_AGG_RO_COMP[],Q$1,0),"ERROR")</f>
        <v>3</v>
      </c>
      <c r="R29" s="203">
        <f>IFERROR(VLOOKUP($B29,MMWR_TRAD_AGG_RO_COMP[],R$1,0),"ERROR")</f>
        <v>205</v>
      </c>
      <c r="S29" s="203">
        <f>IFERROR(VLOOKUP($B29,MMWR_APP_RO[],S$1,0),"ERROR")</f>
        <v>6059</v>
      </c>
      <c r="T29" s="25"/>
    </row>
    <row r="30" spans="1:20" x14ac:dyDescent="0.2">
      <c r="A30" s="107"/>
      <c r="B30" s="108" t="s">
        <v>46</v>
      </c>
      <c r="C30" s="211">
        <f>IFERROR(VLOOKUP($B30,MMWR_TRAD_AGG_RO_COMP[],C$1,0),"ERROR")</f>
        <v>136</v>
      </c>
      <c r="D30" s="200">
        <f>IFERROR(VLOOKUP($B30,MMWR_TRAD_AGG_RO_COMP[],D$1,0),"ERROR")</f>
        <v>59.691176470599999</v>
      </c>
      <c r="E30" s="197">
        <f>IFERROR(VLOOKUP($B30,MMWR_TRAD_AGG_RO_COMP[],E$1,0),"ERROR")</f>
        <v>885</v>
      </c>
      <c r="F30" s="193">
        <f>IFERROR(VLOOKUP($B30,MMWR_TRAD_AGG_RO_COMP[],F$1,0),"ERROR")</f>
        <v>185</v>
      </c>
      <c r="G30" s="218">
        <f t="shared" si="0"/>
        <v>0.20903954802259886</v>
      </c>
      <c r="H30" s="192">
        <f>IFERROR(VLOOKUP($B30,MMWR_TRAD_AGG_RO_COMP[],H$1,0),"ERROR")</f>
        <v>367</v>
      </c>
      <c r="I30" s="193">
        <f>IFERROR(VLOOKUP($B30,MMWR_TRAD_AGG_RO_COMP[],I$1,0),"ERROR")</f>
        <v>24</v>
      </c>
      <c r="J30" s="218">
        <f t="shared" si="1"/>
        <v>6.5395095367847406E-2</v>
      </c>
      <c r="K30" s="206">
        <f>IFERROR(VLOOKUP($B30,MMWR_TRAD_AGG_RO_COMP[],K$1,0),"ERROR")</f>
        <v>75</v>
      </c>
      <c r="L30" s="207">
        <f>IFERROR(VLOOKUP($B30,MMWR_TRAD_AGG_RO_COMP[],L$1,0),"ERROR")</f>
        <v>21</v>
      </c>
      <c r="M30" s="218">
        <f t="shared" si="2"/>
        <v>0.28000000000000003</v>
      </c>
      <c r="N30" s="206">
        <f>IFERROR(VLOOKUP($B30,MMWR_TRAD_AGG_RO_COMP[],N$1,0),"ERROR")</f>
        <v>52</v>
      </c>
      <c r="O30" s="207">
        <f>IFERROR(VLOOKUP($B30,MMWR_TRAD_AGG_RO_COMP[],O$1,0),"ERROR")</f>
        <v>19</v>
      </c>
      <c r="P30" s="218">
        <f t="shared" si="3"/>
        <v>0.36538461538461536</v>
      </c>
      <c r="Q30" s="203">
        <f>IFERROR(VLOOKUP($B30,MMWR_TRAD_AGG_RO_COMP[],Q$1,0),"ERROR")</f>
        <v>0</v>
      </c>
      <c r="R30" s="203">
        <f>IFERROR(VLOOKUP($B30,MMWR_TRAD_AGG_RO_COMP[],R$1,0),"ERROR")</f>
        <v>0</v>
      </c>
      <c r="S30" s="203">
        <f>IFERROR(VLOOKUP($B30,MMWR_APP_RO[],S$1,0),"ERROR")</f>
        <v>530</v>
      </c>
      <c r="T30" s="25"/>
    </row>
    <row r="31" spans="1:20" x14ac:dyDescent="0.2">
      <c r="A31" s="107"/>
      <c r="B31" s="108" t="s">
        <v>51</v>
      </c>
      <c r="C31" s="211">
        <f>IFERROR(VLOOKUP($B31,MMWR_TRAD_AGG_RO_COMP[],C$1,0),"ERROR")</f>
        <v>9850</v>
      </c>
      <c r="D31" s="200">
        <f>IFERROR(VLOOKUP($B31,MMWR_TRAD_AGG_RO_COMP[],D$1,0),"ERROR")</f>
        <v>551.21675126900004</v>
      </c>
      <c r="E31" s="197">
        <f>IFERROR(VLOOKUP($B31,MMWR_TRAD_AGG_RO_COMP[],E$1,0),"ERROR")</f>
        <v>4831</v>
      </c>
      <c r="F31" s="193">
        <f>IFERROR(VLOOKUP($B31,MMWR_TRAD_AGG_RO_COMP[],F$1,0),"ERROR")</f>
        <v>1032</v>
      </c>
      <c r="G31" s="218">
        <f t="shared" si="0"/>
        <v>0.21362036845373628</v>
      </c>
      <c r="H31" s="192">
        <f>IFERROR(VLOOKUP($B31,MMWR_TRAD_AGG_RO_COMP[],H$1,0),"ERROR")</f>
        <v>15789</v>
      </c>
      <c r="I31" s="193">
        <f>IFERROR(VLOOKUP($B31,MMWR_TRAD_AGG_RO_COMP[],I$1,0),"ERROR")</f>
        <v>8999</v>
      </c>
      <c r="J31" s="218">
        <f t="shared" si="1"/>
        <v>0.56995376527962505</v>
      </c>
      <c r="K31" s="206">
        <f>IFERROR(VLOOKUP($B31,MMWR_TRAD_AGG_RO_COMP[],K$1,0),"ERROR")</f>
        <v>1025</v>
      </c>
      <c r="L31" s="207">
        <f>IFERROR(VLOOKUP($B31,MMWR_TRAD_AGG_RO_COMP[],L$1,0),"ERROR")</f>
        <v>847</v>
      </c>
      <c r="M31" s="218">
        <f t="shared" si="2"/>
        <v>0.8263414634146341</v>
      </c>
      <c r="N31" s="206">
        <f>IFERROR(VLOOKUP($B31,MMWR_TRAD_AGG_RO_COMP[],N$1,0),"ERROR")</f>
        <v>1927</v>
      </c>
      <c r="O31" s="207">
        <f>IFERROR(VLOOKUP($B31,MMWR_TRAD_AGG_RO_COMP[],O$1,0),"ERROR")</f>
        <v>1436</v>
      </c>
      <c r="P31" s="218">
        <f t="shared" si="3"/>
        <v>0.74519979242345613</v>
      </c>
      <c r="Q31" s="203">
        <f>IFERROR(VLOOKUP($B31,MMWR_TRAD_AGG_RO_COMP[],Q$1,0),"ERROR")</f>
        <v>3</v>
      </c>
      <c r="R31" s="203">
        <f>IFERROR(VLOOKUP($B31,MMWR_TRAD_AGG_RO_COMP[],R$1,0),"ERROR")</f>
        <v>211</v>
      </c>
      <c r="S31" s="203">
        <f>IFERROR(VLOOKUP($B31,MMWR_APP_RO[],S$1,0),"ERROR")</f>
        <v>8157</v>
      </c>
      <c r="T31" s="25"/>
    </row>
    <row r="32" spans="1:20" x14ac:dyDescent="0.2">
      <c r="A32" s="107"/>
      <c r="B32" s="108" t="s">
        <v>53</v>
      </c>
      <c r="C32" s="211">
        <f>IFERROR(VLOOKUP($B32,MMWR_TRAD_AGG_RO_COMP[],C$1,0),"ERROR")</f>
        <v>2517</v>
      </c>
      <c r="D32" s="200">
        <f>IFERROR(VLOOKUP($B32,MMWR_TRAD_AGG_RO_COMP[],D$1,0),"ERROR")</f>
        <v>131.91418355179999</v>
      </c>
      <c r="E32" s="197">
        <f>IFERROR(VLOOKUP($B32,MMWR_TRAD_AGG_RO_COMP[],E$1,0),"ERROR")</f>
        <v>1830</v>
      </c>
      <c r="F32" s="193">
        <f>IFERROR(VLOOKUP($B32,MMWR_TRAD_AGG_RO_COMP[],F$1,0),"ERROR")</f>
        <v>283</v>
      </c>
      <c r="G32" s="218">
        <f t="shared" si="0"/>
        <v>0.15464480874316941</v>
      </c>
      <c r="H32" s="192">
        <f>IFERROR(VLOOKUP($B32,MMWR_TRAD_AGG_RO_COMP[],H$1,0),"ERROR")</f>
        <v>4521</v>
      </c>
      <c r="I32" s="193">
        <f>IFERROR(VLOOKUP($B32,MMWR_TRAD_AGG_RO_COMP[],I$1,0),"ERROR")</f>
        <v>976</v>
      </c>
      <c r="J32" s="218">
        <f t="shared" si="1"/>
        <v>0.21588144215881441</v>
      </c>
      <c r="K32" s="206">
        <f>IFERROR(VLOOKUP($B32,MMWR_TRAD_AGG_RO_COMP[],K$1,0),"ERROR")</f>
        <v>624</v>
      </c>
      <c r="L32" s="207">
        <f>IFERROR(VLOOKUP($B32,MMWR_TRAD_AGG_RO_COMP[],L$1,0),"ERROR")</f>
        <v>459</v>
      </c>
      <c r="M32" s="218">
        <f t="shared" si="2"/>
        <v>0.73557692307692313</v>
      </c>
      <c r="N32" s="206">
        <f>IFERROR(VLOOKUP($B32,MMWR_TRAD_AGG_RO_COMP[],N$1,0),"ERROR")</f>
        <v>336</v>
      </c>
      <c r="O32" s="207">
        <f>IFERROR(VLOOKUP($B32,MMWR_TRAD_AGG_RO_COMP[],O$1,0),"ERROR")</f>
        <v>196</v>
      </c>
      <c r="P32" s="218">
        <f t="shared" si="3"/>
        <v>0.58333333333333337</v>
      </c>
      <c r="Q32" s="203">
        <f>IFERROR(VLOOKUP($B32,MMWR_TRAD_AGG_RO_COMP[],Q$1,0),"ERROR")</f>
        <v>0</v>
      </c>
      <c r="R32" s="203">
        <f>IFERROR(VLOOKUP($B32,MMWR_TRAD_AGG_RO_COMP[],R$1,0),"ERROR")</f>
        <v>14</v>
      </c>
      <c r="S32" s="203">
        <f>IFERROR(VLOOKUP($B32,MMWR_APP_RO[],S$1,0),"ERROR")</f>
        <v>1411</v>
      </c>
      <c r="T32" s="25"/>
    </row>
    <row r="33" spans="1:20" x14ac:dyDescent="0.2">
      <c r="A33" s="107"/>
      <c r="B33" s="108" t="s">
        <v>59</v>
      </c>
      <c r="C33" s="211">
        <f>IFERROR(VLOOKUP($B33,MMWR_TRAD_AGG_RO_COMP[],C$1,0),"ERROR")</f>
        <v>7160</v>
      </c>
      <c r="D33" s="200">
        <f>IFERROR(VLOOKUP($B33,MMWR_TRAD_AGG_RO_COMP[],D$1,0),"ERROR")</f>
        <v>242.1783519553</v>
      </c>
      <c r="E33" s="197">
        <f>IFERROR(VLOOKUP($B33,MMWR_TRAD_AGG_RO_COMP[],E$1,0),"ERROR")</f>
        <v>5859</v>
      </c>
      <c r="F33" s="193">
        <f>IFERROR(VLOOKUP($B33,MMWR_TRAD_AGG_RO_COMP[],F$1,0),"ERROR")</f>
        <v>1155</v>
      </c>
      <c r="G33" s="218">
        <f t="shared" si="0"/>
        <v>0.1971326164874552</v>
      </c>
      <c r="H33" s="192">
        <f>IFERROR(VLOOKUP($B33,MMWR_TRAD_AGG_RO_COMP[],H$1,0),"ERROR")</f>
        <v>9394</v>
      </c>
      <c r="I33" s="193">
        <f>IFERROR(VLOOKUP($B33,MMWR_TRAD_AGG_RO_COMP[],I$1,0),"ERROR")</f>
        <v>4387</v>
      </c>
      <c r="J33" s="218">
        <f t="shared" si="1"/>
        <v>0.46700021290185223</v>
      </c>
      <c r="K33" s="206">
        <f>IFERROR(VLOOKUP($B33,MMWR_TRAD_AGG_RO_COMP[],K$1,0),"ERROR")</f>
        <v>367</v>
      </c>
      <c r="L33" s="207">
        <f>IFERROR(VLOOKUP($B33,MMWR_TRAD_AGG_RO_COMP[],L$1,0),"ERROR")</f>
        <v>236</v>
      </c>
      <c r="M33" s="218">
        <f t="shared" si="2"/>
        <v>0.64305177111716616</v>
      </c>
      <c r="N33" s="206">
        <f>IFERROR(VLOOKUP($B33,MMWR_TRAD_AGG_RO_COMP[],N$1,0),"ERROR")</f>
        <v>446</v>
      </c>
      <c r="O33" s="207">
        <f>IFERROR(VLOOKUP($B33,MMWR_TRAD_AGG_RO_COMP[],O$1,0),"ERROR")</f>
        <v>188</v>
      </c>
      <c r="P33" s="218">
        <f t="shared" si="3"/>
        <v>0.42152466367713004</v>
      </c>
      <c r="Q33" s="203">
        <f>IFERROR(VLOOKUP($B33,MMWR_TRAD_AGG_RO_COMP[],Q$1,0),"ERROR")</f>
        <v>107</v>
      </c>
      <c r="R33" s="203">
        <f>IFERROR(VLOOKUP($B33,MMWR_TRAD_AGG_RO_COMP[],R$1,0),"ERROR")</f>
        <v>0</v>
      </c>
      <c r="S33" s="203">
        <f>IFERROR(VLOOKUP($B33,MMWR_APP_RO[],S$1,0),"ERROR")</f>
        <v>3149</v>
      </c>
      <c r="T33" s="25"/>
    </row>
    <row r="34" spans="1:20" x14ac:dyDescent="0.2">
      <c r="A34" s="107"/>
      <c r="B34" s="108" t="s">
        <v>77</v>
      </c>
      <c r="C34" s="211">
        <f>IFERROR(VLOOKUP($B34,MMWR_TRAD_AGG_RO_COMP[],C$1,0),"ERROR")</f>
        <v>291</v>
      </c>
      <c r="D34" s="200">
        <f>IFERROR(VLOOKUP($B34,MMWR_TRAD_AGG_RO_COMP[],D$1,0),"ERROR")</f>
        <v>98.714776632300001</v>
      </c>
      <c r="E34" s="197">
        <f>IFERROR(VLOOKUP($B34,MMWR_TRAD_AGG_RO_COMP[],E$1,0),"ERROR")</f>
        <v>835</v>
      </c>
      <c r="F34" s="193">
        <f>IFERROR(VLOOKUP($B34,MMWR_TRAD_AGG_RO_COMP[],F$1,0),"ERROR")</f>
        <v>193</v>
      </c>
      <c r="G34" s="218">
        <f t="shared" si="0"/>
        <v>0.2311377245508982</v>
      </c>
      <c r="H34" s="192">
        <f>IFERROR(VLOOKUP($B34,MMWR_TRAD_AGG_RO_COMP[],H$1,0),"ERROR")</f>
        <v>673</v>
      </c>
      <c r="I34" s="193">
        <f>IFERROR(VLOOKUP($B34,MMWR_TRAD_AGG_RO_COMP[],I$1,0),"ERROR")</f>
        <v>81</v>
      </c>
      <c r="J34" s="218">
        <f t="shared" si="1"/>
        <v>0.12035661218424963</v>
      </c>
      <c r="K34" s="206">
        <f>IFERROR(VLOOKUP($B34,MMWR_TRAD_AGG_RO_COMP[],K$1,0),"ERROR")</f>
        <v>457</v>
      </c>
      <c r="L34" s="207">
        <f>IFERROR(VLOOKUP($B34,MMWR_TRAD_AGG_RO_COMP[],L$1,0),"ERROR")</f>
        <v>103</v>
      </c>
      <c r="M34" s="218">
        <f t="shared" si="2"/>
        <v>0.22538293216630198</v>
      </c>
      <c r="N34" s="206">
        <f>IFERROR(VLOOKUP($B34,MMWR_TRAD_AGG_RO_COMP[],N$1,0),"ERROR")</f>
        <v>23</v>
      </c>
      <c r="O34" s="207">
        <f>IFERROR(VLOOKUP($B34,MMWR_TRAD_AGG_RO_COMP[],O$1,0),"ERROR")</f>
        <v>10</v>
      </c>
      <c r="P34" s="218">
        <f t="shared" si="3"/>
        <v>0.43478260869565216</v>
      </c>
      <c r="Q34" s="203">
        <f>IFERROR(VLOOKUP($B34,MMWR_TRAD_AGG_RO_COMP[],Q$1,0),"ERROR")</f>
        <v>0</v>
      </c>
      <c r="R34" s="203">
        <f>IFERROR(VLOOKUP($B34,MMWR_TRAD_AGG_RO_COMP[],R$1,0),"ERROR")</f>
        <v>0</v>
      </c>
      <c r="S34" s="203">
        <f>IFERROR(VLOOKUP($B34,MMWR_APP_RO[],S$1,0),"ERROR")</f>
        <v>232</v>
      </c>
      <c r="T34" s="25"/>
    </row>
    <row r="35" spans="1:20" x14ac:dyDescent="0.2">
      <c r="A35" s="107"/>
      <c r="B35" s="108" t="s">
        <v>78</v>
      </c>
      <c r="C35" s="211">
        <f>IFERROR(VLOOKUP($B35,MMWR_TRAD_AGG_RO_COMP[],C$1,0),"ERROR")</f>
        <v>4962</v>
      </c>
      <c r="D35" s="200">
        <f>IFERROR(VLOOKUP($B35,MMWR_TRAD_AGG_RO_COMP[],D$1,0),"ERROR")</f>
        <v>271.32003224509998</v>
      </c>
      <c r="E35" s="197">
        <f>IFERROR(VLOOKUP($B35,MMWR_TRAD_AGG_RO_COMP[],E$1,0),"ERROR")</f>
        <v>4862</v>
      </c>
      <c r="F35" s="193">
        <f>IFERROR(VLOOKUP($B35,MMWR_TRAD_AGG_RO_COMP[],F$1,0),"ERROR")</f>
        <v>835</v>
      </c>
      <c r="G35" s="218">
        <f t="shared" si="0"/>
        <v>0.17174002468120114</v>
      </c>
      <c r="H35" s="192">
        <f>IFERROR(VLOOKUP($B35,MMWR_TRAD_AGG_RO_COMP[],H$1,0),"ERROR")</f>
        <v>7529</v>
      </c>
      <c r="I35" s="193">
        <f>IFERROR(VLOOKUP($B35,MMWR_TRAD_AGG_RO_COMP[],I$1,0),"ERROR")</f>
        <v>4612</v>
      </c>
      <c r="J35" s="218">
        <f t="shared" si="1"/>
        <v>0.61256474963474561</v>
      </c>
      <c r="K35" s="206">
        <f>IFERROR(VLOOKUP($B35,MMWR_TRAD_AGG_RO_COMP[],K$1,0),"ERROR")</f>
        <v>2261</v>
      </c>
      <c r="L35" s="207">
        <f>IFERROR(VLOOKUP($B35,MMWR_TRAD_AGG_RO_COMP[],L$1,0),"ERROR")</f>
        <v>2077</v>
      </c>
      <c r="M35" s="218">
        <f t="shared" si="2"/>
        <v>0.91862007961079173</v>
      </c>
      <c r="N35" s="206">
        <f>IFERROR(VLOOKUP($B35,MMWR_TRAD_AGG_RO_COMP[],N$1,0),"ERROR")</f>
        <v>5591</v>
      </c>
      <c r="O35" s="207">
        <f>IFERROR(VLOOKUP($B35,MMWR_TRAD_AGG_RO_COMP[],O$1,0),"ERROR")</f>
        <v>4640</v>
      </c>
      <c r="P35" s="218">
        <f t="shared" si="3"/>
        <v>0.82990520479341801</v>
      </c>
      <c r="Q35" s="203">
        <f>IFERROR(VLOOKUP($B35,MMWR_TRAD_AGG_RO_COMP[],Q$1,0),"ERROR")</f>
        <v>42</v>
      </c>
      <c r="R35" s="203">
        <f>IFERROR(VLOOKUP($B35,MMWR_TRAD_AGG_RO_COMP[],R$1,0),"ERROR")</f>
        <v>98</v>
      </c>
      <c r="S35" s="203">
        <f>IFERROR(VLOOKUP($B35,MMWR_APP_RO[],S$1,0),"ERROR")</f>
        <v>6379</v>
      </c>
      <c r="T35" s="25"/>
    </row>
    <row r="36" spans="1:20" x14ac:dyDescent="0.2">
      <c r="A36" s="28"/>
      <c r="B36" s="108" t="s">
        <v>79</v>
      </c>
      <c r="C36" s="221">
        <f>IFERROR(VLOOKUP($B36,MMWR_TRAD_AGG_RO_COMP[],C$1,0),"ERROR")</f>
        <v>3896</v>
      </c>
      <c r="D36" s="222">
        <f>IFERROR(VLOOKUP($B36,MMWR_TRAD_AGG_RO_COMP[],D$1,0),"ERROR")</f>
        <v>322.57777207390001</v>
      </c>
      <c r="E36" s="223">
        <f>IFERROR(VLOOKUP($B36,MMWR_TRAD_AGG_RO_COMP[],E$1,0),"ERROR")</f>
        <v>10384</v>
      </c>
      <c r="F36" s="224">
        <f>IFERROR(VLOOKUP($B36,MMWR_TRAD_AGG_RO_COMP[],F$1,0),"ERROR")</f>
        <v>2007</v>
      </c>
      <c r="G36" s="225">
        <f t="shared" si="0"/>
        <v>0.19327812018489984</v>
      </c>
      <c r="H36" s="226">
        <f>IFERROR(VLOOKUP($B36,MMWR_TRAD_AGG_RO_COMP[],H$1,0),"ERROR")</f>
        <v>11573</v>
      </c>
      <c r="I36" s="224">
        <f>IFERROR(VLOOKUP($B36,MMWR_TRAD_AGG_RO_COMP[],I$1,0),"ERROR")</f>
        <v>3378</v>
      </c>
      <c r="J36" s="225">
        <f t="shared" si="1"/>
        <v>0.29188628704743802</v>
      </c>
      <c r="K36" s="227">
        <f>IFERROR(VLOOKUP($B36,MMWR_TRAD_AGG_RO_COMP[],K$1,0),"ERROR")</f>
        <v>471</v>
      </c>
      <c r="L36" s="228">
        <f>IFERROR(VLOOKUP($B36,MMWR_TRAD_AGG_RO_COMP[],L$1,0),"ERROR")</f>
        <v>309</v>
      </c>
      <c r="M36" s="225">
        <f t="shared" si="2"/>
        <v>0.6560509554140127</v>
      </c>
      <c r="N36" s="227">
        <f>IFERROR(VLOOKUP($B36,MMWR_TRAD_AGG_RO_COMP[],N$1,0),"ERROR")</f>
        <v>1349</v>
      </c>
      <c r="O36" s="228">
        <f>IFERROR(VLOOKUP($B36,MMWR_TRAD_AGG_RO_COMP[],O$1,0),"ERROR")</f>
        <v>702</v>
      </c>
      <c r="P36" s="225">
        <f t="shared" si="3"/>
        <v>0.52038547071905117</v>
      </c>
      <c r="Q36" s="229">
        <f>IFERROR(VLOOKUP($B36,MMWR_TRAD_AGG_RO_COMP[],Q$1,0),"ERROR")</f>
        <v>14</v>
      </c>
      <c r="R36" s="229">
        <f>IFERROR(VLOOKUP($B36,MMWR_TRAD_AGG_RO_COMP[],R$1,0),"ERROR")</f>
        <v>0</v>
      </c>
      <c r="S36" s="203">
        <f>IFERROR(VLOOKUP($B36,MMWR_APP_RO[],S$1,0),"ERROR")</f>
        <v>1655</v>
      </c>
      <c r="T36" s="28"/>
    </row>
    <row r="37" spans="1:20" x14ac:dyDescent="0.2">
      <c r="A37" s="28"/>
      <c r="B37" s="116" t="s">
        <v>84</v>
      </c>
      <c r="C37" s="230">
        <f>IFERROR(VLOOKUP($B37,MMWR_TRAD_AGG_RO_COMP[],C$1,0),"ERROR")</f>
        <v>1514</v>
      </c>
      <c r="D37" s="231">
        <f>IFERROR(VLOOKUP($B37,MMWR_TRAD_AGG_RO_COMP[],D$1,0),"ERROR")</f>
        <v>153.94649933950001</v>
      </c>
      <c r="E37" s="232">
        <f>IFERROR(VLOOKUP($B37,MMWR_TRAD_AGG_RO_COMP[],E$1,0),"ERROR")</f>
        <v>2715</v>
      </c>
      <c r="F37" s="233">
        <f>IFERROR(VLOOKUP($B37,MMWR_TRAD_AGG_RO_COMP[],F$1,0),"ERROR")</f>
        <v>580</v>
      </c>
      <c r="G37" s="234">
        <f t="shared" si="0"/>
        <v>0.21362799263351751</v>
      </c>
      <c r="H37" s="235">
        <f>IFERROR(VLOOKUP($B37,MMWR_TRAD_AGG_RO_COMP[],H$1,0),"ERROR")</f>
        <v>2319</v>
      </c>
      <c r="I37" s="233">
        <f>IFERROR(VLOOKUP($B37,MMWR_TRAD_AGG_RO_COMP[],I$1,0),"ERROR")</f>
        <v>966</v>
      </c>
      <c r="J37" s="234">
        <f t="shared" si="1"/>
        <v>0.41655886157826649</v>
      </c>
      <c r="K37" s="236">
        <f>IFERROR(VLOOKUP($B37,MMWR_TRAD_AGG_RO_COMP[],K$1,0),"ERROR")</f>
        <v>471</v>
      </c>
      <c r="L37" s="237">
        <f>IFERROR(VLOOKUP($B37,MMWR_TRAD_AGG_RO_COMP[],L$1,0),"ERROR")</f>
        <v>240</v>
      </c>
      <c r="M37" s="234">
        <f t="shared" si="2"/>
        <v>0.50955414012738853</v>
      </c>
      <c r="N37" s="236">
        <f>IFERROR(VLOOKUP($B37,MMWR_TRAD_AGG_RO_COMP[],N$1,0),"ERROR")</f>
        <v>167</v>
      </c>
      <c r="O37" s="237">
        <f>IFERROR(VLOOKUP($B37,MMWR_TRAD_AGG_RO_COMP[],O$1,0),"ERROR")</f>
        <v>90</v>
      </c>
      <c r="P37" s="234">
        <f t="shared" si="3"/>
        <v>0.53892215568862278</v>
      </c>
      <c r="Q37" s="238">
        <f>IFERROR(VLOOKUP($B37,MMWR_TRAD_AGG_RO_COMP[],Q$1,0),"ERROR")</f>
        <v>0</v>
      </c>
      <c r="R37" s="238">
        <f>IFERROR(VLOOKUP($B37,MMWR_TRAD_AGG_RO_COMP[],R$1,0),"ERROR")</f>
        <v>10</v>
      </c>
      <c r="S37" s="203">
        <f>IFERROR(VLOOKUP($B37,MMWR_APP_RO[],S$1,0),"ERROR")</f>
        <v>1267</v>
      </c>
      <c r="T37" s="28"/>
    </row>
    <row r="38" spans="1:20" x14ac:dyDescent="0.2">
      <c r="A38" s="28"/>
      <c r="B38" s="101" t="s">
        <v>393</v>
      </c>
      <c r="C38" s="214">
        <f>IFERROR(VLOOKUP($B38,MMWR_TRAD_AGG_DISTRICT_COMP[],C$1,0),"ERROR")</f>
        <v>59381</v>
      </c>
      <c r="D38" s="199">
        <f>IFERROR(VLOOKUP($B38,MMWR_TRAD_AGG_DISTRICT_COMP[],D$1,0),"ERROR")</f>
        <v>322.2499284283</v>
      </c>
      <c r="E38" s="215">
        <f>IFERROR(VLOOKUP($B38,MMWR_TRAD_AGG_DISTRICT_COMP[],E$1,0),"ERROR")</f>
        <v>68531</v>
      </c>
      <c r="F38" s="220">
        <f>IFERROR(VLOOKUP($B38,MMWR_TRAD_AGG_DISTRICT_COMP[],F$1,0),"ERROR")</f>
        <v>15939</v>
      </c>
      <c r="G38" s="216">
        <f t="shared" si="0"/>
        <v>0.23258087580802847</v>
      </c>
      <c r="H38" s="220">
        <f>IFERROR(VLOOKUP($B38,MMWR_TRAD_AGG_DISTRICT_COMP[],H$1,0),"ERROR")</f>
        <v>92582</v>
      </c>
      <c r="I38" s="220">
        <f>IFERROR(VLOOKUP($B38,MMWR_TRAD_AGG_DISTRICT_COMP[],I$1,0),"ERROR")</f>
        <v>49193</v>
      </c>
      <c r="J38" s="216">
        <f t="shared" si="1"/>
        <v>0.53134518588926571</v>
      </c>
      <c r="K38" s="214">
        <f>IFERROR(VLOOKUP($B38,MMWR_TRAD_AGG_DISTRICT_COMP[],K$1,0),"ERROR")</f>
        <v>13823</v>
      </c>
      <c r="L38" s="214">
        <f>IFERROR(VLOOKUP($B38,MMWR_TRAD_AGG_DISTRICT_COMP[],L$1,0),"ERROR")</f>
        <v>9757</v>
      </c>
      <c r="M38" s="216">
        <f t="shared" si="2"/>
        <v>0.70585256456630252</v>
      </c>
      <c r="N38" s="214">
        <f>IFERROR(VLOOKUP($B38,MMWR_TRAD_AGG_DISTRICT_COMP[],N$1,0),"ERROR")</f>
        <v>17987</v>
      </c>
      <c r="O38" s="214">
        <f>IFERROR(VLOOKUP($B38,MMWR_TRAD_AGG_DISTRICT_COMP[],O$1,0),"ERROR")</f>
        <v>11492</v>
      </c>
      <c r="P38" s="216">
        <f t="shared" si="3"/>
        <v>0.63890587646633679</v>
      </c>
      <c r="Q38" s="214">
        <f>IFERROR(VLOOKUP($B38,MMWR_TRAD_AGG_DISTRICT_COMP[],Q$1,0),"ERROR")</f>
        <v>97</v>
      </c>
      <c r="R38" s="217">
        <f>IFERROR(VLOOKUP($B38,MMWR_TRAD_AGG_DISTRICT_COMP[],R$1,0),"ERROR")</f>
        <v>1252</v>
      </c>
      <c r="S38" s="217">
        <f>IFERROR(VLOOKUP($B38,MMWR_APP_RO[],S$1,0),"ERROR")</f>
        <v>65293</v>
      </c>
      <c r="T38" s="28"/>
    </row>
    <row r="39" spans="1:20" x14ac:dyDescent="0.2">
      <c r="A39" s="28"/>
      <c r="B39" s="108" t="s">
        <v>39</v>
      </c>
      <c r="C39" s="221">
        <f>IFERROR(VLOOKUP($B39,MMWR_TRAD_AGG_RO_COMP[],C$1,0),"ERROR")</f>
        <v>529</v>
      </c>
      <c r="D39" s="222">
        <f>IFERROR(VLOOKUP($B39,MMWR_TRAD_AGG_RO_COMP[],D$1,0),"ERROR")</f>
        <v>260.97920604910001</v>
      </c>
      <c r="E39" s="223">
        <f>IFERROR(VLOOKUP($B39,MMWR_TRAD_AGG_RO_COMP[],E$1,0),"ERROR")</f>
        <v>833</v>
      </c>
      <c r="F39" s="224">
        <f>IFERROR(VLOOKUP($B39,MMWR_TRAD_AGG_RO_COMP[],F$1,0),"ERROR")</f>
        <v>145</v>
      </c>
      <c r="G39" s="225">
        <f t="shared" si="0"/>
        <v>0.17406962785114047</v>
      </c>
      <c r="H39" s="226">
        <f>IFERROR(VLOOKUP($B39,MMWR_TRAD_AGG_RO_COMP[],H$1,0),"ERROR")</f>
        <v>791</v>
      </c>
      <c r="I39" s="224">
        <f>IFERROR(VLOOKUP($B39,MMWR_TRAD_AGG_RO_COMP[],I$1,0),"ERROR")</f>
        <v>357</v>
      </c>
      <c r="J39" s="225">
        <f t="shared" si="1"/>
        <v>0.45132743362831856</v>
      </c>
      <c r="K39" s="227">
        <f>IFERROR(VLOOKUP($B39,MMWR_TRAD_AGG_RO_COMP[],K$1,0),"ERROR")</f>
        <v>60</v>
      </c>
      <c r="L39" s="228">
        <f>IFERROR(VLOOKUP($B39,MMWR_TRAD_AGG_RO_COMP[],L$1,0),"ERROR")</f>
        <v>46</v>
      </c>
      <c r="M39" s="225">
        <f t="shared" si="2"/>
        <v>0.76666666666666672</v>
      </c>
      <c r="N39" s="227">
        <f>IFERROR(VLOOKUP($B39,MMWR_TRAD_AGG_RO_COMP[],N$1,0),"ERROR")</f>
        <v>124</v>
      </c>
      <c r="O39" s="228">
        <f>IFERROR(VLOOKUP($B39,MMWR_TRAD_AGG_RO_COMP[],O$1,0),"ERROR")</f>
        <v>35</v>
      </c>
      <c r="P39" s="225">
        <f t="shared" si="3"/>
        <v>0.28225806451612906</v>
      </c>
      <c r="Q39" s="229">
        <f>IFERROR(VLOOKUP($B39,MMWR_TRAD_AGG_RO_COMP[],Q$1,0),"ERROR")</f>
        <v>3</v>
      </c>
      <c r="R39" s="229">
        <f>IFERROR(VLOOKUP($B39,MMWR_TRAD_AGG_RO_COMP[],R$1,0),"ERROR")</f>
        <v>6</v>
      </c>
      <c r="S39" s="203">
        <f>IFERROR(VLOOKUP($B39,MMWR_APP_RO[],S$1,0),"ERROR")</f>
        <v>329</v>
      </c>
      <c r="T39" s="28"/>
    </row>
    <row r="40" spans="1:20" x14ac:dyDescent="0.2">
      <c r="A40" s="28"/>
      <c r="B40" s="108" t="s">
        <v>43</v>
      </c>
      <c r="C40" s="221">
        <f>IFERROR(VLOOKUP($B40,MMWR_TRAD_AGG_RO_COMP[],C$1,0),"ERROR")</f>
        <v>6781</v>
      </c>
      <c r="D40" s="222">
        <f>IFERROR(VLOOKUP($B40,MMWR_TRAD_AGG_RO_COMP[],D$1,0),"ERROR")</f>
        <v>416.60772747380003</v>
      </c>
      <c r="E40" s="223">
        <f>IFERROR(VLOOKUP($B40,MMWR_TRAD_AGG_RO_COMP[],E$1,0),"ERROR")</f>
        <v>6941</v>
      </c>
      <c r="F40" s="224">
        <f>IFERROR(VLOOKUP($B40,MMWR_TRAD_AGG_RO_COMP[],F$1,0),"ERROR")</f>
        <v>2294</v>
      </c>
      <c r="G40" s="225">
        <f t="shared" si="0"/>
        <v>0.3304999279642703</v>
      </c>
      <c r="H40" s="226">
        <f>IFERROR(VLOOKUP($B40,MMWR_TRAD_AGG_RO_COMP[],H$1,0),"ERROR")</f>
        <v>8957</v>
      </c>
      <c r="I40" s="224">
        <f>IFERROR(VLOOKUP($B40,MMWR_TRAD_AGG_RO_COMP[],I$1,0),"ERROR")</f>
        <v>6059</v>
      </c>
      <c r="J40" s="225">
        <f t="shared" si="1"/>
        <v>0.67645416992296525</v>
      </c>
      <c r="K40" s="227">
        <f>IFERROR(VLOOKUP($B40,MMWR_TRAD_AGG_RO_COMP[],K$1,0),"ERROR")</f>
        <v>2056</v>
      </c>
      <c r="L40" s="228">
        <f>IFERROR(VLOOKUP($B40,MMWR_TRAD_AGG_RO_COMP[],L$1,0),"ERROR")</f>
        <v>1790</v>
      </c>
      <c r="M40" s="225">
        <f t="shared" si="2"/>
        <v>0.87062256809338523</v>
      </c>
      <c r="N40" s="227">
        <f>IFERROR(VLOOKUP($B40,MMWR_TRAD_AGG_RO_COMP[],N$1,0),"ERROR")</f>
        <v>4310</v>
      </c>
      <c r="O40" s="228">
        <f>IFERROR(VLOOKUP($B40,MMWR_TRAD_AGG_RO_COMP[],O$1,0),"ERROR")</f>
        <v>3279</v>
      </c>
      <c r="P40" s="225">
        <f t="shared" si="3"/>
        <v>0.7607888631090487</v>
      </c>
      <c r="Q40" s="229">
        <f>IFERROR(VLOOKUP($B40,MMWR_TRAD_AGG_RO_COMP[],Q$1,0),"ERROR")</f>
        <v>0</v>
      </c>
      <c r="R40" s="229">
        <f>IFERROR(VLOOKUP($B40,MMWR_TRAD_AGG_RO_COMP[],R$1,0),"ERROR")</f>
        <v>68</v>
      </c>
      <c r="S40" s="203">
        <f>IFERROR(VLOOKUP($B40,MMWR_APP_RO[],S$1,0),"ERROR")</f>
        <v>5839</v>
      </c>
      <c r="T40" s="28"/>
    </row>
    <row r="41" spans="1:20" x14ac:dyDescent="0.2">
      <c r="A41" s="28"/>
      <c r="B41" s="108" t="s">
        <v>187</v>
      </c>
      <c r="C41" s="221">
        <f>IFERROR(VLOOKUP($B41,MMWR_TRAD_AGG_RO_COMP[],C$1,0),"ERROR")</f>
        <v>736</v>
      </c>
      <c r="D41" s="222">
        <f>IFERROR(VLOOKUP($B41,MMWR_TRAD_AGG_RO_COMP[],D$1,0),"ERROR")</f>
        <v>190.8940217391</v>
      </c>
      <c r="E41" s="223">
        <f>IFERROR(VLOOKUP($B41,MMWR_TRAD_AGG_RO_COMP[],E$1,0),"ERROR")</f>
        <v>892</v>
      </c>
      <c r="F41" s="224">
        <f>IFERROR(VLOOKUP($B41,MMWR_TRAD_AGG_RO_COMP[],F$1,0),"ERROR")</f>
        <v>73</v>
      </c>
      <c r="G41" s="225">
        <f t="shared" si="0"/>
        <v>8.1838565022421525E-2</v>
      </c>
      <c r="H41" s="226">
        <f>IFERROR(VLOOKUP($B41,MMWR_TRAD_AGG_RO_COMP[],H$1,0),"ERROR")</f>
        <v>1155</v>
      </c>
      <c r="I41" s="224">
        <f>IFERROR(VLOOKUP($B41,MMWR_TRAD_AGG_RO_COMP[],I$1,0),"ERROR")</f>
        <v>343</v>
      </c>
      <c r="J41" s="225">
        <f t="shared" si="1"/>
        <v>0.29696969696969699</v>
      </c>
      <c r="K41" s="227">
        <f>IFERROR(VLOOKUP($B41,MMWR_TRAD_AGG_RO_COMP[],K$1,0),"ERROR")</f>
        <v>316</v>
      </c>
      <c r="L41" s="228">
        <f>IFERROR(VLOOKUP($B41,MMWR_TRAD_AGG_RO_COMP[],L$1,0),"ERROR")</f>
        <v>160</v>
      </c>
      <c r="M41" s="225">
        <f t="shared" si="2"/>
        <v>0.50632911392405067</v>
      </c>
      <c r="N41" s="227">
        <f>IFERROR(VLOOKUP($B41,MMWR_TRAD_AGG_RO_COMP[],N$1,0),"ERROR")</f>
        <v>79</v>
      </c>
      <c r="O41" s="228">
        <f>IFERROR(VLOOKUP($B41,MMWR_TRAD_AGG_RO_COMP[],O$1,0),"ERROR")</f>
        <v>24</v>
      </c>
      <c r="P41" s="225">
        <f t="shared" si="3"/>
        <v>0.30379746835443039</v>
      </c>
      <c r="Q41" s="229">
        <f>IFERROR(VLOOKUP($B41,MMWR_TRAD_AGG_RO_COMP[],Q$1,0),"ERROR")</f>
        <v>0</v>
      </c>
      <c r="R41" s="229">
        <f>IFERROR(VLOOKUP($B41,MMWR_TRAD_AGG_RO_COMP[],R$1,0),"ERROR")</f>
        <v>2</v>
      </c>
      <c r="S41" s="203">
        <f>IFERROR(VLOOKUP($B41,MMWR_APP_RO[],S$1,0),"ERROR")</f>
        <v>236</v>
      </c>
      <c r="T41" s="28"/>
    </row>
    <row r="42" spans="1:20" x14ac:dyDescent="0.2">
      <c r="A42" s="28"/>
      <c r="B42" s="108" t="s">
        <v>49</v>
      </c>
      <c r="C42" s="221">
        <f>IFERROR(VLOOKUP($B42,MMWR_TRAD_AGG_RO_COMP[],C$1,0),"ERROR")</f>
        <v>13204</v>
      </c>
      <c r="D42" s="222">
        <f>IFERROR(VLOOKUP($B42,MMWR_TRAD_AGG_RO_COMP[],D$1,0),"ERROR")</f>
        <v>343.57694637989999</v>
      </c>
      <c r="E42" s="223">
        <f>IFERROR(VLOOKUP($B42,MMWR_TRAD_AGG_RO_COMP[],E$1,0),"ERROR")</f>
        <v>17189</v>
      </c>
      <c r="F42" s="224">
        <f>IFERROR(VLOOKUP($B42,MMWR_TRAD_AGG_RO_COMP[],F$1,0),"ERROR")</f>
        <v>4416</v>
      </c>
      <c r="G42" s="225">
        <f t="shared" si="0"/>
        <v>0.25690848798650301</v>
      </c>
      <c r="H42" s="226">
        <f>IFERROR(VLOOKUP($B42,MMWR_TRAD_AGG_RO_COMP[],H$1,0),"ERROR")</f>
        <v>17380</v>
      </c>
      <c r="I42" s="224">
        <f>IFERROR(VLOOKUP($B42,MMWR_TRAD_AGG_RO_COMP[],I$1,0),"ERROR")</f>
        <v>11643</v>
      </c>
      <c r="J42" s="225">
        <f t="shared" si="1"/>
        <v>0.66990794016110466</v>
      </c>
      <c r="K42" s="227">
        <f>IFERROR(VLOOKUP($B42,MMWR_TRAD_AGG_RO_COMP[],K$1,0),"ERROR")</f>
        <v>1803</v>
      </c>
      <c r="L42" s="228">
        <f>IFERROR(VLOOKUP($B42,MMWR_TRAD_AGG_RO_COMP[],L$1,0),"ERROR")</f>
        <v>1474</v>
      </c>
      <c r="M42" s="225">
        <f t="shared" si="2"/>
        <v>0.81752634498058796</v>
      </c>
      <c r="N42" s="227">
        <f>IFERROR(VLOOKUP($B42,MMWR_TRAD_AGG_RO_COMP[],N$1,0),"ERROR")</f>
        <v>3490</v>
      </c>
      <c r="O42" s="228">
        <f>IFERROR(VLOOKUP($B42,MMWR_TRAD_AGG_RO_COMP[],O$1,0),"ERROR")</f>
        <v>2602</v>
      </c>
      <c r="P42" s="225">
        <f t="shared" si="3"/>
        <v>0.74555873925501437</v>
      </c>
      <c r="Q42" s="229">
        <f>IFERROR(VLOOKUP($B42,MMWR_TRAD_AGG_RO_COMP[],Q$1,0),"ERROR")</f>
        <v>0</v>
      </c>
      <c r="R42" s="229">
        <f>IFERROR(VLOOKUP($B42,MMWR_TRAD_AGG_RO_COMP[],R$1,0),"ERROR")</f>
        <v>241</v>
      </c>
      <c r="S42" s="203">
        <f>IFERROR(VLOOKUP($B42,MMWR_APP_RO[],S$1,0),"ERROR")</f>
        <v>19615</v>
      </c>
      <c r="T42" s="28"/>
    </row>
    <row r="43" spans="1:20" x14ac:dyDescent="0.2">
      <c r="A43" s="28"/>
      <c r="B43" s="108" t="s">
        <v>52</v>
      </c>
      <c r="C43" s="221">
        <f>IFERROR(VLOOKUP($B43,MMWR_TRAD_AGG_RO_COMP[],C$1,0),"ERROR")</f>
        <v>4302</v>
      </c>
      <c r="D43" s="222">
        <f>IFERROR(VLOOKUP($B43,MMWR_TRAD_AGG_RO_COMP[],D$1,0),"ERROR")</f>
        <v>376.50557880060001</v>
      </c>
      <c r="E43" s="223">
        <f>IFERROR(VLOOKUP($B43,MMWR_TRAD_AGG_RO_COMP[],E$1,0),"ERROR")</f>
        <v>4388</v>
      </c>
      <c r="F43" s="224">
        <f>IFERROR(VLOOKUP($B43,MMWR_TRAD_AGG_RO_COMP[],F$1,0),"ERROR")</f>
        <v>1452</v>
      </c>
      <c r="G43" s="225">
        <f t="shared" si="0"/>
        <v>0.33090246125797629</v>
      </c>
      <c r="H43" s="226">
        <f>IFERROR(VLOOKUP($B43,MMWR_TRAD_AGG_RO_COMP[],H$1,0),"ERROR")</f>
        <v>6408</v>
      </c>
      <c r="I43" s="224">
        <f>IFERROR(VLOOKUP($B43,MMWR_TRAD_AGG_RO_COMP[],I$1,0),"ERROR")</f>
        <v>4028</v>
      </c>
      <c r="J43" s="225">
        <f t="shared" si="1"/>
        <v>0.62858926342072408</v>
      </c>
      <c r="K43" s="227">
        <f>IFERROR(VLOOKUP($B43,MMWR_TRAD_AGG_RO_COMP[],K$1,0),"ERROR")</f>
        <v>2010</v>
      </c>
      <c r="L43" s="228">
        <f>IFERROR(VLOOKUP($B43,MMWR_TRAD_AGG_RO_COMP[],L$1,0),"ERROR")</f>
        <v>1529</v>
      </c>
      <c r="M43" s="225">
        <f t="shared" si="2"/>
        <v>0.76069651741293531</v>
      </c>
      <c r="N43" s="227">
        <f>IFERROR(VLOOKUP($B43,MMWR_TRAD_AGG_RO_COMP[],N$1,0),"ERROR")</f>
        <v>2159</v>
      </c>
      <c r="O43" s="228">
        <f>IFERROR(VLOOKUP($B43,MMWR_TRAD_AGG_RO_COMP[],O$1,0),"ERROR")</f>
        <v>1274</v>
      </c>
      <c r="P43" s="225">
        <f t="shared" si="3"/>
        <v>0.59008800370541914</v>
      </c>
      <c r="Q43" s="229">
        <f>IFERROR(VLOOKUP($B43,MMWR_TRAD_AGG_RO_COMP[],Q$1,0),"ERROR")</f>
        <v>89</v>
      </c>
      <c r="R43" s="229">
        <f>IFERROR(VLOOKUP($B43,MMWR_TRAD_AGG_RO_COMP[],R$1,0),"ERROR")</f>
        <v>175</v>
      </c>
      <c r="S43" s="203">
        <f>IFERROR(VLOOKUP($B43,MMWR_APP_RO[],S$1,0),"ERROR")</f>
        <v>4312</v>
      </c>
      <c r="T43" s="28"/>
    </row>
    <row r="44" spans="1:20" x14ac:dyDescent="0.2">
      <c r="A44" s="28"/>
      <c r="B44" s="108" t="s">
        <v>54</v>
      </c>
      <c r="C44" s="221">
        <f>IFERROR(VLOOKUP($B44,MMWR_TRAD_AGG_RO_COMP[],C$1,0),"ERROR")</f>
        <v>4672</v>
      </c>
      <c r="D44" s="222">
        <f>IFERROR(VLOOKUP($B44,MMWR_TRAD_AGG_RO_COMP[],D$1,0),"ERROR")</f>
        <v>329.62200342469998</v>
      </c>
      <c r="E44" s="223">
        <f>IFERROR(VLOOKUP($B44,MMWR_TRAD_AGG_RO_COMP[],E$1,0),"ERROR")</f>
        <v>3659</v>
      </c>
      <c r="F44" s="224">
        <f>IFERROR(VLOOKUP($B44,MMWR_TRAD_AGG_RO_COMP[],F$1,0),"ERROR")</f>
        <v>513</v>
      </c>
      <c r="G44" s="225">
        <f t="shared" si="0"/>
        <v>0.14020224104946707</v>
      </c>
      <c r="H44" s="226">
        <f>IFERROR(VLOOKUP($B44,MMWR_TRAD_AGG_RO_COMP[],H$1,0),"ERROR")</f>
        <v>8011</v>
      </c>
      <c r="I44" s="224">
        <f>IFERROR(VLOOKUP($B44,MMWR_TRAD_AGG_RO_COMP[],I$1,0),"ERROR")</f>
        <v>3747</v>
      </c>
      <c r="J44" s="225">
        <f t="shared" si="1"/>
        <v>0.46773186868056421</v>
      </c>
      <c r="K44" s="227">
        <f>IFERROR(VLOOKUP($B44,MMWR_TRAD_AGG_RO_COMP[],K$1,0),"ERROR")</f>
        <v>3542</v>
      </c>
      <c r="L44" s="228">
        <f>IFERROR(VLOOKUP($B44,MMWR_TRAD_AGG_RO_COMP[],L$1,0),"ERROR")</f>
        <v>2114</v>
      </c>
      <c r="M44" s="225">
        <f t="shared" si="2"/>
        <v>0.59683794466403162</v>
      </c>
      <c r="N44" s="227">
        <f>IFERROR(VLOOKUP($B44,MMWR_TRAD_AGG_RO_COMP[],N$1,0),"ERROR")</f>
        <v>2988</v>
      </c>
      <c r="O44" s="228">
        <f>IFERROR(VLOOKUP($B44,MMWR_TRAD_AGG_RO_COMP[],O$1,0),"ERROR")</f>
        <v>2234</v>
      </c>
      <c r="P44" s="225">
        <f t="shared" si="3"/>
        <v>0.74765729585006691</v>
      </c>
      <c r="Q44" s="229">
        <f>IFERROR(VLOOKUP($B44,MMWR_TRAD_AGG_RO_COMP[],Q$1,0),"ERROR")</f>
        <v>1</v>
      </c>
      <c r="R44" s="229">
        <f>IFERROR(VLOOKUP($B44,MMWR_TRAD_AGG_RO_COMP[],R$1,0),"ERROR")</f>
        <v>159</v>
      </c>
      <c r="S44" s="203">
        <f>IFERROR(VLOOKUP($B44,MMWR_APP_RO[],S$1,0),"ERROR")</f>
        <v>5254</v>
      </c>
      <c r="T44" s="28"/>
    </row>
    <row r="45" spans="1:20" x14ac:dyDescent="0.2">
      <c r="A45" s="28"/>
      <c r="B45" s="108" t="s">
        <v>27</v>
      </c>
      <c r="C45" s="221">
        <f>IFERROR(VLOOKUP($B45,MMWR_TRAD_AGG_RO_COMP[],C$1,0),"ERROR")</f>
        <v>2094</v>
      </c>
      <c r="D45" s="222">
        <f>IFERROR(VLOOKUP($B45,MMWR_TRAD_AGG_RO_COMP[],D$1,0),"ERROR")</f>
        <v>123.69149952239999</v>
      </c>
      <c r="E45" s="223">
        <f>IFERROR(VLOOKUP($B45,MMWR_TRAD_AGG_RO_COMP[],E$1,0),"ERROR")</f>
        <v>6682</v>
      </c>
      <c r="F45" s="224">
        <f>IFERROR(VLOOKUP($B45,MMWR_TRAD_AGG_RO_COMP[],F$1,0),"ERROR")</f>
        <v>1381</v>
      </c>
      <c r="G45" s="225">
        <f t="shared" si="0"/>
        <v>0.20667464830888954</v>
      </c>
      <c r="H45" s="226">
        <f>IFERROR(VLOOKUP($B45,MMWR_TRAD_AGG_RO_COMP[],H$1,0),"ERROR")</f>
        <v>9514</v>
      </c>
      <c r="I45" s="224">
        <f>IFERROR(VLOOKUP($B45,MMWR_TRAD_AGG_RO_COMP[],I$1,0),"ERROR")</f>
        <v>2561</v>
      </c>
      <c r="J45" s="225">
        <f t="shared" si="1"/>
        <v>0.26918225772545723</v>
      </c>
      <c r="K45" s="227">
        <f>IFERROR(VLOOKUP($B45,MMWR_TRAD_AGG_RO_COMP[],K$1,0),"ERROR")</f>
        <v>912</v>
      </c>
      <c r="L45" s="228">
        <f>IFERROR(VLOOKUP($B45,MMWR_TRAD_AGG_RO_COMP[],L$1,0),"ERROR")</f>
        <v>475</v>
      </c>
      <c r="M45" s="225">
        <f t="shared" si="2"/>
        <v>0.52083333333333337</v>
      </c>
      <c r="N45" s="227">
        <f>IFERROR(VLOOKUP($B45,MMWR_TRAD_AGG_RO_COMP[],N$1,0),"ERROR")</f>
        <v>588</v>
      </c>
      <c r="O45" s="228">
        <f>IFERROR(VLOOKUP($B45,MMWR_TRAD_AGG_RO_COMP[],O$1,0),"ERROR")</f>
        <v>227</v>
      </c>
      <c r="P45" s="225">
        <f t="shared" si="3"/>
        <v>0.38605442176870747</v>
      </c>
      <c r="Q45" s="229">
        <f>IFERROR(VLOOKUP($B45,MMWR_TRAD_AGG_RO_COMP[],Q$1,0),"ERROR")</f>
        <v>1</v>
      </c>
      <c r="R45" s="229">
        <f>IFERROR(VLOOKUP($B45,MMWR_TRAD_AGG_RO_COMP[],R$1,0),"ERROR")</f>
        <v>65</v>
      </c>
      <c r="S45" s="203">
        <f>IFERROR(VLOOKUP($B45,MMWR_APP_RO[],S$1,0),"ERROR")</f>
        <v>3965</v>
      </c>
      <c r="T45" s="28"/>
    </row>
    <row r="46" spans="1:20" x14ac:dyDescent="0.2">
      <c r="A46" s="28"/>
      <c r="B46" s="108" t="s">
        <v>62</v>
      </c>
      <c r="C46" s="221">
        <f>IFERROR(VLOOKUP($B46,MMWR_TRAD_AGG_RO_COMP[],C$1,0),"ERROR")</f>
        <v>5600</v>
      </c>
      <c r="D46" s="222">
        <f>IFERROR(VLOOKUP($B46,MMWR_TRAD_AGG_RO_COMP[],D$1,0),"ERROR")</f>
        <v>399.49250000000001</v>
      </c>
      <c r="E46" s="223">
        <f>IFERROR(VLOOKUP($B46,MMWR_TRAD_AGG_RO_COMP[],E$1,0),"ERROR")</f>
        <v>5558</v>
      </c>
      <c r="F46" s="224">
        <f>IFERROR(VLOOKUP($B46,MMWR_TRAD_AGG_RO_COMP[],F$1,0),"ERROR")</f>
        <v>1164</v>
      </c>
      <c r="G46" s="225">
        <f t="shared" si="0"/>
        <v>0.2094278517452321</v>
      </c>
      <c r="H46" s="226">
        <f>IFERROR(VLOOKUP($B46,MMWR_TRAD_AGG_RO_COMP[],H$1,0),"ERROR")</f>
        <v>7052</v>
      </c>
      <c r="I46" s="224">
        <f>IFERROR(VLOOKUP($B46,MMWR_TRAD_AGG_RO_COMP[],I$1,0),"ERROR")</f>
        <v>4348</v>
      </c>
      <c r="J46" s="225">
        <f t="shared" si="1"/>
        <v>0.6165626772546795</v>
      </c>
      <c r="K46" s="227">
        <f>IFERROR(VLOOKUP($B46,MMWR_TRAD_AGG_RO_COMP[],K$1,0),"ERROR")</f>
        <v>601</v>
      </c>
      <c r="L46" s="228">
        <f>IFERROR(VLOOKUP($B46,MMWR_TRAD_AGG_RO_COMP[],L$1,0),"ERROR")</f>
        <v>465</v>
      </c>
      <c r="M46" s="225">
        <f t="shared" si="2"/>
        <v>0.77371048252911812</v>
      </c>
      <c r="N46" s="227">
        <f>IFERROR(VLOOKUP($B46,MMWR_TRAD_AGG_RO_COMP[],N$1,0),"ERROR")</f>
        <v>958</v>
      </c>
      <c r="O46" s="228">
        <f>IFERROR(VLOOKUP($B46,MMWR_TRAD_AGG_RO_COMP[],O$1,0),"ERROR")</f>
        <v>450</v>
      </c>
      <c r="P46" s="225">
        <f t="shared" si="3"/>
        <v>0.46972860125260962</v>
      </c>
      <c r="Q46" s="229">
        <f>IFERROR(VLOOKUP($B46,MMWR_TRAD_AGG_RO_COMP[],Q$1,0),"ERROR")</f>
        <v>3</v>
      </c>
      <c r="R46" s="229">
        <f>IFERROR(VLOOKUP($B46,MMWR_TRAD_AGG_RO_COMP[],R$1,0),"ERROR")</f>
        <v>304</v>
      </c>
      <c r="S46" s="203">
        <f>IFERROR(VLOOKUP($B46,MMWR_APP_RO[],S$1,0),"ERROR")</f>
        <v>5784</v>
      </c>
      <c r="T46" s="28"/>
    </row>
    <row r="47" spans="1:20" x14ac:dyDescent="0.2">
      <c r="A47" s="28"/>
      <c r="B47" s="108" t="s">
        <v>73</v>
      </c>
      <c r="C47" s="221">
        <f>IFERROR(VLOOKUP($B47,MMWR_TRAD_AGG_RO_COMP[],C$1,0),"ERROR")</f>
        <v>7908</v>
      </c>
      <c r="D47" s="222">
        <f>IFERROR(VLOOKUP($B47,MMWR_TRAD_AGG_RO_COMP[],D$1,0),"ERROR")</f>
        <v>210.17981790589999</v>
      </c>
      <c r="E47" s="223">
        <f>IFERROR(VLOOKUP($B47,MMWR_TRAD_AGG_RO_COMP[],E$1,0),"ERROR")</f>
        <v>5243</v>
      </c>
      <c r="F47" s="224">
        <f>IFERROR(VLOOKUP($B47,MMWR_TRAD_AGG_RO_COMP[],F$1,0),"ERROR")</f>
        <v>656</v>
      </c>
      <c r="G47" s="225">
        <f t="shared" si="0"/>
        <v>0.12511920656112913</v>
      </c>
      <c r="H47" s="226">
        <f>IFERROR(VLOOKUP($B47,MMWR_TRAD_AGG_RO_COMP[],H$1,0),"ERROR")</f>
        <v>17001</v>
      </c>
      <c r="I47" s="224">
        <f>IFERROR(VLOOKUP($B47,MMWR_TRAD_AGG_RO_COMP[],I$1,0),"ERROR")</f>
        <v>7031</v>
      </c>
      <c r="J47" s="225">
        <f t="shared" si="1"/>
        <v>0.41356390800541143</v>
      </c>
      <c r="K47" s="227">
        <f>IFERROR(VLOOKUP($B47,MMWR_TRAD_AGG_RO_COMP[],K$1,0),"ERROR")</f>
        <v>832</v>
      </c>
      <c r="L47" s="228">
        <f>IFERROR(VLOOKUP($B47,MMWR_TRAD_AGG_RO_COMP[],L$1,0),"ERROR")</f>
        <v>425</v>
      </c>
      <c r="M47" s="225">
        <f t="shared" si="2"/>
        <v>0.51081730769230771</v>
      </c>
      <c r="N47" s="227">
        <f>IFERROR(VLOOKUP($B47,MMWR_TRAD_AGG_RO_COMP[],N$1,0),"ERROR")</f>
        <v>104</v>
      </c>
      <c r="O47" s="228">
        <f>IFERROR(VLOOKUP($B47,MMWR_TRAD_AGG_RO_COMP[],O$1,0),"ERROR")</f>
        <v>38</v>
      </c>
      <c r="P47" s="225">
        <f t="shared" si="3"/>
        <v>0.36538461538461536</v>
      </c>
      <c r="Q47" s="229">
        <f>IFERROR(VLOOKUP($B47,MMWR_TRAD_AGG_RO_COMP[],Q$1,0),"ERROR")</f>
        <v>0</v>
      </c>
      <c r="R47" s="229">
        <f>IFERROR(VLOOKUP($B47,MMWR_TRAD_AGG_RO_COMP[],R$1,0),"ERROR")</f>
        <v>5</v>
      </c>
      <c r="S47" s="203">
        <f>IFERROR(VLOOKUP($B47,MMWR_APP_RO[],S$1,0),"ERROR")</f>
        <v>468</v>
      </c>
      <c r="T47" s="28"/>
    </row>
    <row r="48" spans="1:20" x14ac:dyDescent="0.2">
      <c r="A48" s="28"/>
      <c r="B48" s="116" t="s">
        <v>82</v>
      </c>
      <c r="C48" s="230">
        <f>IFERROR(VLOOKUP($B48,MMWR_TRAD_AGG_RO_COMP[],C$1,0),"ERROR")</f>
        <v>13555</v>
      </c>
      <c r="D48" s="231">
        <f>IFERROR(VLOOKUP($B48,MMWR_TRAD_AGG_RO_COMP[],D$1,0),"ERROR")</f>
        <v>308.17919586869999</v>
      </c>
      <c r="E48" s="232">
        <f>IFERROR(VLOOKUP($B48,MMWR_TRAD_AGG_RO_COMP[],E$1,0),"ERROR")</f>
        <v>17146</v>
      </c>
      <c r="F48" s="233">
        <f>IFERROR(VLOOKUP($B48,MMWR_TRAD_AGG_RO_COMP[],F$1,0),"ERROR")</f>
        <v>3845</v>
      </c>
      <c r="G48" s="234">
        <f t="shared" si="0"/>
        <v>0.22425055406508806</v>
      </c>
      <c r="H48" s="235">
        <f>IFERROR(VLOOKUP($B48,MMWR_TRAD_AGG_RO_COMP[],H$1,0),"ERROR")</f>
        <v>16313</v>
      </c>
      <c r="I48" s="233">
        <f>IFERROR(VLOOKUP($B48,MMWR_TRAD_AGG_RO_COMP[],I$1,0),"ERROR")</f>
        <v>9076</v>
      </c>
      <c r="J48" s="234">
        <f t="shared" si="1"/>
        <v>0.55636608839575796</v>
      </c>
      <c r="K48" s="236">
        <f>IFERROR(VLOOKUP($B48,MMWR_TRAD_AGG_RO_COMP[],K$1,0),"ERROR")</f>
        <v>1691</v>
      </c>
      <c r="L48" s="237">
        <f>IFERROR(VLOOKUP($B48,MMWR_TRAD_AGG_RO_COMP[],L$1,0),"ERROR")</f>
        <v>1279</v>
      </c>
      <c r="M48" s="234">
        <f t="shared" si="2"/>
        <v>0.75635718509757544</v>
      </c>
      <c r="N48" s="236">
        <f>IFERROR(VLOOKUP($B48,MMWR_TRAD_AGG_RO_COMP[],N$1,0),"ERROR")</f>
        <v>3187</v>
      </c>
      <c r="O48" s="237">
        <f>IFERROR(VLOOKUP($B48,MMWR_TRAD_AGG_RO_COMP[],O$1,0),"ERROR")</f>
        <v>1329</v>
      </c>
      <c r="P48" s="234">
        <f t="shared" si="3"/>
        <v>0.41700658926890494</v>
      </c>
      <c r="Q48" s="238">
        <f>IFERROR(VLOOKUP($B48,MMWR_TRAD_AGG_RO_COMP[],Q$1,0),"ERROR")</f>
        <v>0</v>
      </c>
      <c r="R48" s="238">
        <f>IFERROR(VLOOKUP($B48,MMWR_TRAD_AGG_RO_COMP[],R$1,0),"ERROR")</f>
        <v>227</v>
      </c>
      <c r="S48" s="203">
        <f>IFERROR(VLOOKUP($B48,MMWR_APP_RO[],S$1,0),"ERROR")</f>
        <v>19491</v>
      </c>
      <c r="T48" s="28"/>
    </row>
    <row r="49" spans="1:20" x14ac:dyDescent="0.2">
      <c r="A49" s="28"/>
      <c r="B49" s="101" t="s">
        <v>412</v>
      </c>
      <c r="C49" s="214">
        <f>IFERROR(VLOOKUP($B49,MMWR_TRAD_AGG_DISTRICT_COMP[],C$1,0),"ERROR")</f>
        <v>63097</v>
      </c>
      <c r="D49" s="199">
        <f>IFERROR(VLOOKUP($B49,MMWR_TRAD_AGG_DISTRICT_COMP[],D$1,0),"ERROR")</f>
        <v>366.68656196019998</v>
      </c>
      <c r="E49" s="215">
        <f>IFERROR(VLOOKUP($B49,MMWR_TRAD_AGG_DISTRICT_COMP[],E$1,0),"ERROR")</f>
        <v>62847</v>
      </c>
      <c r="F49" s="220">
        <f>IFERROR(VLOOKUP($B49,MMWR_TRAD_AGG_DISTRICT_COMP[],F$1,0),"ERROR")</f>
        <v>14840</v>
      </c>
      <c r="G49" s="216">
        <f t="shared" si="0"/>
        <v>0.2361290117268923</v>
      </c>
      <c r="H49" s="220">
        <f>IFERROR(VLOOKUP($B49,MMWR_TRAD_AGG_DISTRICT_COMP[],H$1,0),"ERROR")</f>
        <v>88169</v>
      </c>
      <c r="I49" s="220">
        <f>IFERROR(VLOOKUP($B49,MMWR_TRAD_AGG_DISTRICT_COMP[],I$1,0),"ERROR")</f>
        <v>53987</v>
      </c>
      <c r="J49" s="216">
        <f t="shared" si="1"/>
        <v>0.61231271762183992</v>
      </c>
      <c r="K49" s="214">
        <f>IFERROR(VLOOKUP($B49,MMWR_TRAD_AGG_DISTRICT_COMP[],K$1,0),"ERROR")</f>
        <v>19216</v>
      </c>
      <c r="L49" s="214">
        <f>IFERROR(VLOOKUP($B49,MMWR_TRAD_AGG_DISTRICT_COMP[],L$1,0),"ERROR")</f>
        <v>15740</v>
      </c>
      <c r="M49" s="216">
        <f t="shared" si="2"/>
        <v>0.81910907577019154</v>
      </c>
      <c r="N49" s="214">
        <f>IFERROR(VLOOKUP($B49,MMWR_TRAD_AGG_DISTRICT_COMP[],N$1,0),"ERROR")</f>
        <v>22690</v>
      </c>
      <c r="O49" s="214">
        <f>IFERROR(VLOOKUP($B49,MMWR_TRAD_AGG_DISTRICT_COMP[],O$1,0),"ERROR")</f>
        <v>16286</v>
      </c>
      <c r="P49" s="216">
        <f t="shared" si="3"/>
        <v>0.71776112825033056</v>
      </c>
      <c r="Q49" s="214">
        <f>IFERROR(VLOOKUP($B49,MMWR_TRAD_AGG_DISTRICT_COMP[],Q$1,0),"ERROR")</f>
        <v>347</v>
      </c>
      <c r="R49" s="217">
        <f>IFERROR(VLOOKUP($B49,MMWR_TRAD_AGG_DISTRICT_COMP[],R$1,0),"ERROR")</f>
        <v>731</v>
      </c>
      <c r="S49" s="217">
        <f>IFERROR(VLOOKUP($B49,MMWR_APP_RO[],S$1,0),"ERROR")</f>
        <v>42949</v>
      </c>
      <c r="T49" s="28"/>
    </row>
    <row r="50" spans="1:20" x14ac:dyDescent="0.2">
      <c r="A50" s="28"/>
      <c r="B50" s="108" t="s">
        <v>34</v>
      </c>
      <c r="C50" s="221">
        <f>IFERROR(VLOOKUP($B50,MMWR_TRAD_AGG_RO_COMP[],C$1,0),"ERROR")</f>
        <v>1182</v>
      </c>
      <c r="D50" s="222">
        <f>IFERROR(VLOOKUP($B50,MMWR_TRAD_AGG_RO_COMP[],D$1,0),"ERROR")</f>
        <v>115.7047377327</v>
      </c>
      <c r="E50" s="223">
        <f>IFERROR(VLOOKUP($B50,MMWR_TRAD_AGG_RO_COMP[],E$1,0),"ERROR")</f>
        <v>2916</v>
      </c>
      <c r="F50" s="224">
        <f>IFERROR(VLOOKUP($B50,MMWR_TRAD_AGG_RO_COMP[],F$1,0),"ERROR")</f>
        <v>742</v>
      </c>
      <c r="G50" s="225">
        <f t="shared" si="0"/>
        <v>0.2544581618655693</v>
      </c>
      <c r="H50" s="226">
        <f>IFERROR(VLOOKUP($B50,MMWR_TRAD_AGG_RO_COMP[],H$1,0),"ERROR")</f>
        <v>1706</v>
      </c>
      <c r="I50" s="224">
        <f>IFERROR(VLOOKUP($B50,MMWR_TRAD_AGG_RO_COMP[],I$1,0),"ERROR")</f>
        <v>351</v>
      </c>
      <c r="J50" s="225">
        <f t="shared" si="1"/>
        <v>0.20574443141852286</v>
      </c>
      <c r="K50" s="227">
        <f>IFERROR(VLOOKUP($B50,MMWR_TRAD_AGG_RO_COMP[],K$1,0),"ERROR")</f>
        <v>192</v>
      </c>
      <c r="L50" s="228">
        <f>IFERROR(VLOOKUP($B50,MMWR_TRAD_AGG_RO_COMP[],L$1,0),"ERROR")</f>
        <v>97</v>
      </c>
      <c r="M50" s="225">
        <f t="shared" si="2"/>
        <v>0.50520833333333337</v>
      </c>
      <c r="N50" s="227">
        <f>IFERROR(VLOOKUP($B50,MMWR_TRAD_AGG_RO_COMP[],N$1,0),"ERROR")</f>
        <v>301</v>
      </c>
      <c r="O50" s="228">
        <f>IFERROR(VLOOKUP($B50,MMWR_TRAD_AGG_RO_COMP[],O$1,0),"ERROR")</f>
        <v>145</v>
      </c>
      <c r="P50" s="225">
        <f t="shared" si="3"/>
        <v>0.48172757475083056</v>
      </c>
      <c r="Q50" s="229">
        <f>IFERROR(VLOOKUP($B50,MMWR_TRAD_AGG_RO_COMP[],Q$1,0),"ERROR")</f>
        <v>0</v>
      </c>
      <c r="R50" s="229">
        <f>IFERROR(VLOOKUP($B50,MMWR_TRAD_AGG_RO_COMP[],R$1,0),"ERROR")</f>
        <v>20</v>
      </c>
      <c r="S50" s="203">
        <f>IFERROR(VLOOKUP($B50,MMWR_APP_RO[],S$1,0),"ERROR")</f>
        <v>1830</v>
      </c>
      <c r="T50" s="28"/>
    </row>
    <row r="51" spans="1:20" x14ac:dyDescent="0.2">
      <c r="A51" s="28"/>
      <c r="B51" s="108" t="s">
        <v>35</v>
      </c>
      <c r="C51" s="221">
        <f>IFERROR(VLOOKUP($B51,MMWR_TRAD_AGG_RO_COMP[],C$1,0),"ERROR")</f>
        <v>2132</v>
      </c>
      <c r="D51" s="222">
        <f>IFERROR(VLOOKUP($B51,MMWR_TRAD_AGG_RO_COMP[],D$1,0),"ERROR")</f>
        <v>457.70215759849998</v>
      </c>
      <c r="E51" s="223">
        <f>IFERROR(VLOOKUP($B51,MMWR_TRAD_AGG_RO_COMP[],E$1,0),"ERROR")</f>
        <v>877</v>
      </c>
      <c r="F51" s="224">
        <f>IFERROR(VLOOKUP($B51,MMWR_TRAD_AGG_RO_COMP[],F$1,0),"ERROR")</f>
        <v>73</v>
      </c>
      <c r="G51" s="225">
        <f t="shared" si="0"/>
        <v>8.3238312428734321E-2</v>
      </c>
      <c r="H51" s="226">
        <f>IFERROR(VLOOKUP($B51,MMWR_TRAD_AGG_RO_COMP[],H$1,0),"ERROR")</f>
        <v>2807</v>
      </c>
      <c r="I51" s="224">
        <f>IFERROR(VLOOKUP($B51,MMWR_TRAD_AGG_RO_COMP[],I$1,0),"ERROR")</f>
        <v>1935</v>
      </c>
      <c r="J51" s="225">
        <f t="shared" si="1"/>
        <v>0.68934805842536517</v>
      </c>
      <c r="K51" s="227">
        <f>IFERROR(VLOOKUP($B51,MMWR_TRAD_AGG_RO_COMP[],K$1,0),"ERROR")</f>
        <v>1902</v>
      </c>
      <c r="L51" s="228">
        <f>IFERROR(VLOOKUP($B51,MMWR_TRAD_AGG_RO_COMP[],L$1,0),"ERROR")</f>
        <v>1771</v>
      </c>
      <c r="M51" s="225">
        <f t="shared" si="2"/>
        <v>0.93112513144058884</v>
      </c>
      <c r="N51" s="227">
        <f>IFERROR(VLOOKUP($B51,MMWR_TRAD_AGG_RO_COMP[],N$1,0),"ERROR")</f>
        <v>241</v>
      </c>
      <c r="O51" s="228">
        <f>IFERROR(VLOOKUP($B51,MMWR_TRAD_AGG_RO_COMP[],O$1,0),"ERROR")</f>
        <v>109</v>
      </c>
      <c r="P51" s="225">
        <f t="shared" si="3"/>
        <v>0.45228215767634855</v>
      </c>
      <c r="Q51" s="229">
        <f>IFERROR(VLOOKUP($B51,MMWR_TRAD_AGG_RO_COMP[],Q$1,0),"ERROR")</f>
        <v>0</v>
      </c>
      <c r="R51" s="229">
        <f>IFERROR(VLOOKUP($B51,MMWR_TRAD_AGG_RO_COMP[],R$1,0),"ERROR")</f>
        <v>2</v>
      </c>
      <c r="S51" s="203">
        <f>IFERROR(VLOOKUP($B51,MMWR_APP_RO[],S$1,0),"ERROR")</f>
        <v>223</v>
      </c>
      <c r="T51" s="28"/>
    </row>
    <row r="52" spans="1:20" x14ac:dyDescent="0.2">
      <c r="A52" s="28"/>
      <c r="B52" s="108" t="s">
        <v>37</v>
      </c>
      <c r="C52" s="221">
        <f>IFERROR(VLOOKUP($B52,MMWR_TRAD_AGG_RO_COMP[],C$1,0),"ERROR")</f>
        <v>297</v>
      </c>
      <c r="D52" s="222">
        <f>IFERROR(VLOOKUP($B52,MMWR_TRAD_AGG_RO_COMP[],D$1,0),"ERROR")</f>
        <v>68.417508417500002</v>
      </c>
      <c r="E52" s="223">
        <f>IFERROR(VLOOKUP($B52,MMWR_TRAD_AGG_RO_COMP[],E$1,0),"ERROR")</f>
        <v>1485</v>
      </c>
      <c r="F52" s="224">
        <f>IFERROR(VLOOKUP($B52,MMWR_TRAD_AGG_RO_COMP[],F$1,0),"ERROR")</f>
        <v>292</v>
      </c>
      <c r="G52" s="225">
        <f t="shared" si="0"/>
        <v>0.19663299663299663</v>
      </c>
      <c r="H52" s="226">
        <f>IFERROR(VLOOKUP($B52,MMWR_TRAD_AGG_RO_COMP[],H$1,0),"ERROR")</f>
        <v>614</v>
      </c>
      <c r="I52" s="224">
        <f>IFERROR(VLOOKUP($B52,MMWR_TRAD_AGG_RO_COMP[],I$1,0),"ERROR")</f>
        <v>74</v>
      </c>
      <c r="J52" s="225">
        <f t="shared" si="1"/>
        <v>0.12052117263843648</v>
      </c>
      <c r="K52" s="227">
        <f>IFERROR(VLOOKUP($B52,MMWR_TRAD_AGG_RO_COMP[],K$1,0),"ERROR")</f>
        <v>95</v>
      </c>
      <c r="L52" s="228">
        <f>IFERROR(VLOOKUP($B52,MMWR_TRAD_AGG_RO_COMP[],L$1,0),"ERROR")</f>
        <v>16</v>
      </c>
      <c r="M52" s="225">
        <f t="shared" si="2"/>
        <v>0.16842105263157894</v>
      </c>
      <c r="N52" s="227">
        <f>IFERROR(VLOOKUP($B52,MMWR_TRAD_AGG_RO_COMP[],N$1,0),"ERROR")</f>
        <v>110</v>
      </c>
      <c r="O52" s="228">
        <f>IFERROR(VLOOKUP($B52,MMWR_TRAD_AGG_RO_COMP[],O$1,0),"ERROR")</f>
        <v>42</v>
      </c>
      <c r="P52" s="225">
        <f t="shared" si="3"/>
        <v>0.38181818181818183</v>
      </c>
      <c r="Q52" s="229">
        <f>IFERROR(VLOOKUP($B52,MMWR_TRAD_AGG_RO_COMP[],Q$1,0),"ERROR")</f>
        <v>0</v>
      </c>
      <c r="R52" s="229">
        <f>IFERROR(VLOOKUP($B52,MMWR_TRAD_AGG_RO_COMP[],R$1,0),"ERROR")</f>
        <v>11</v>
      </c>
      <c r="S52" s="203">
        <f>IFERROR(VLOOKUP($B52,MMWR_APP_RO[],S$1,0),"ERROR")</f>
        <v>905</v>
      </c>
      <c r="T52" s="28"/>
    </row>
    <row r="53" spans="1:20" x14ac:dyDescent="0.2">
      <c r="A53" s="28"/>
      <c r="B53" s="108" t="s">
        <v>48</v>
      </c>
      <c r="C53" s="221">
        <f>IFERROR(VLOOKUP($B53,MMWR_TRAD_AGG_RO_COMP[],C$1,0),"ERROR")</f>
        <v>1982</v>
      </c>
      <c r="D53" s="222">
        <f>IFERROR(VLOOKUP($B53,MMWR_TRAD_AGG_RO_COMP[],D$1,0),"ERROR")</f>
        <v>221.69576185669999</v>
      </c>
      <c r="E53" s="223">
        <f>IFERROR(VLOOKUP($B53,MMWR_TRAD_AGG_RO_COMP[],E$1,0),"ERROR")</f>
        <v>2593</v>
      </c>
      <c r="F53" s="224">
        <f>IFERROR(VLOOKUP($B53,MMWR_TRAD_AGG_RO_COMP[],F$1,0),"ERROR")</f>
        <v>527</v>
      </c>
      <c r="G53" s="225">
        <f t="shared" si="0"/>
        <v>0.20323949093713845</v>
      </c>
      <c r="H53" s="226">
        <f>IFERROR(VLOOKUP($B53,MMWR_TRAD_AGG_RO_COMP[],H$1,0),"ERROR")</f>
        <v>2640</v>
      </c>
      <c r="I53" s="224">
        <f>IFERROR(VLOOKUP($B53,MMWR_TRAD_AGG_RO_COMP[],I$1,0),"ERROR")</f>
        <v>1426</v>
      </c>
      <c r="J53" s="225">
        <f t="shared" si="1"/>
        <v>0.54015151515151516</v>
      </c>
      <c r="K53" s="227">
        <f>IFERROR(VLOOKUP($B53,MMWR_TRAD_AGG_RO_COMP[],K$1,0),"ERROR")</f>
        <v>419</v>
      </c>
      <c r="L53" s="228">
        <f>IFERROR(VLOOKUP($B53,MMWR_TRAD_AGG_RO_COMP[],L$1,0),"ERROR")</f>
        <v>335</v>
      </c>
      <c r="M53" s="225">
        <f t="shared" si="2"/>
        <v>0.7995226730310262</v>
      </c>
      <c r="N53" s="227">
        <f>IFERROR(VLOOKUP($B53,MMWR_TRAD_AGG_RO_COMP[],N$1,0),"ERROR")</f>
        <v>84</v>
      </c>
      <c r="O53" s="228">
        <f>IFERROR(VLOOKUP($B53,MMWR_TRAD_AGG_RO_COMP[],O$1,0),"ERROR")</f>
        <v>58</v>
      </c>
      <c r="P53" s="225">
        <f t="shared" si="3"/>
        <v>0.69047619047619047</v>
      </c>
      <c r="Q53" s="229">
        <f>IFERROR(VLOOKUP($B53,MMWR_TRAD_AGG_RO_COMP[],Q$1,0),"ERROR")</f>
        <v>0</v>
      </c>
      <c r="R53" s="229">
        <f>IFERROR(VLOOKUP($B53,MMWR_TRAD_AGG_RO_COMP[],R$1,0),"ERROR")</f>
        <v>0</v>
      </c>
      <c r="S53" s="203">
        <f>IFERROR(VLOOKUP($B53,MMWR_APP_RO[],S$1,0),"ERROR")</f>
        <v>1271</v>
      </c>
      <c r="T53" s="28"/>
    </row>
    <row r="54" spans="1:20" x14ac:dyDescent="0.2">
      <c r="A54" s="28"/>
      <c r="B54" s="108" t="s">
        <v>55</v>
      </c>
      <c r="C54" s="221">
        <f>IFERROR(VLOOKUP($B54,MMWR_TRAD_AGG_RO_COMP[],C$1,0),"ERROR")</f>
        <v>7407</v>
      </c>
      <c r="D54" s="222">
        <f>IFERROR(VLOOKUP($B54,MMWR_TRAD_AGG_RO_COMP[],D$1,0),"ERROR")</f>
        <v>395.58323207780001</v>
      </c>
      <c r="E54" s="223">
        <f>IFERROR(VLOOKUP($B54,MMWR_TRAD_AGG_RO_COMP[],E$1,0),"ERROR")</f>
        <v>9629</v>
      </c>
      <c r="F54" s="224">
        <f>IFERROR(VLOOKUP($B54,MMWR_TRAD_AGG_RO_COMP[],F$1,0),"ERROR")</f>
        <v>2855</v>
      </c>
      <c r="G54" s="225">
        <f t="shared" si="0"/>
        <v>0.29650015577941635</v>
      </c>
      <c r="H54" s="226">
        <f>IFERROR(VLOOKUP($B54,MMWR_TRAD_AGG_RO_COMP[],H$1,0),"ERROR")</f>
        <v>9220</v>
      </c>
      <c r="I54" s="224">
        <f>IFERROR(VLOOKUP($B54,MMWR_TRAD_AGG_RO_COMP[],I$1,0),"ERROR")</f>
        <v>6123</v>
      </c>
      <c r="J54" s="225">
        <f t="shared" si="1"/>
        <v>0.6640997830802603</v>
      </c>
      <c r="K54" s="227">
        <f>IFERROR(VLOOKUP($B54,MMWR_TRAD_AGG_RO_COMP[],K$1,0),"ERROR")</f>
        <v>878</v>
      </c>
      <c r="L54" s="228">
        <f>IFERROR(VLOOKUP($B54,MMWR_TRAD_AGG_RO_COMP[],L$1,0),"ERROR")</f>
        <v>838</v>
      </c>
      <c r="M54" s="225">
        <f t="shared" si="2"/>
        <v>0.95444191343963558</v>
      </c>
      <c r="N54" s="227">
        <f>IFERROR(VLOOKUP($B54,MMWR_TRAD_AGG_RO_COMP[],N$1,0),"ERROR")</f>
        <v>5455</v>
      </c>
      <c r="O54" s="228">
        <f>IFERROR(VLOOKUP($B54,MMWR_TRAD_AGG_RO_COMP[],O$1,0),"ERROR")</f>
        <v>3824</v>
      </c>
      <c r="P54" s="225">
        <f t="shared" si="3"/>
        <v>0.70100824931255734</v>
      </c>
      <c r="Q54" s="229">
        <f>IFERROR(VLOOKUP($B54,MMWR_TRAD_AGG_RO_COMP[],Q$1,0),"ERROR")</f>
        <v>2</v>
      </c>
      <c r="R54" s="229">
        <f>IFERROR(VLOOKUP($B54,MMWR_TRAD_AGG_RO_COMP[],R$1,0),"ERROR")</f>
        <v>33</v>
      </c>
      <c r="S54" s="203">
        <f>IFERROR(VLOOKUP($B54,MMWR_APP_RO[],S$1,0),"ERROR")</f>
        <v>4517</v>
      </c>
      <c r="T54" s="28"/>
    </row>
    <row r="55" spans="1:20" x14ac:dyDescent="0.2">
      <c r="A55" s="28"/>
      <c r="B55" s="108" t="s">
        <v>58</v>
      </c>
      <c r="C55" s="221">
        <f>IFERROR(VLOOKUP($B55,MMWR_TRAD_AGG_RO_COMP[],C$1,0),"ERROR")</f>
        <v>790</v>
      </c>
      <c r="D55" s="222">
        <f>IFERROR(VLOOKUP($B55,MMWR_TRAD_AGG_RO_COMP[],D$1,0),"ERROR")</f>
        <v>140.417721519</v>
      </c>
      <c r="E55" s="223">
        <f>IFERROR(VLOOKUP($B55,MMWR_TRAD_AGG_RO_COMP[],E$1,0),"ERROR")</f>
        <v>917</v>
      </c>
      <c r="F55" s="224">
        <f>IFERROR(VLOOKUP($B55,MMWR_TRAD_AGG_RO_COMP[],F$1,0),"ERROR")</f>
        <v>275</v>
      </c>
      <c r="G55" s="225">
        <f t="shared" si="0"/>
        <v>0.2998909487459106</v>
      </c>
      <c r="H55" s="226">
        <f>IFERROR(VLOOKUP($B55,MMWR_TRAD_AGG_RO_COMP[],H$1,0),"ERROR")</f>
        <v>995</v>
      </c>
      <c r="I55" s="224">
        <f>IFERROR(VLOOKUP($B55,MMWR_TRAD_AGG_RO_COMP[],I$1,0),"ERROR")</f>
        <v>387</v>
      </c>
      <c r="J55" s="225">
        <f t="shared" si="1"/>
        <v>0.38894472361809046</v>
      </c>
      <c r="K55" s="227">
        <f>IFERROR(VLOOKUP($B55,MMWR_TRAD_AGG_RO_COMP[],K$1,0),"ERROR")</f>
        <v>134</v>
      </c>
      <c r="L55" s="228">
        <f>IFERROR(VLOOKUP($B55,MMWR_TRAD_AGG_RO_COMP[],L$1,0),"ERROR")</f>
        <v>104</v>
      </c>
      <c r="M55" s="225">
        <f t="shared" si="2"/>
        <v>0.77611940298507465</v>
      </c>
      <c r="N55" s="227">
        <f>IFERROR(VLOOKUP($B55,MMWR_TRAD_AGG_RO_COMP[],N$1,0),"ERROR")</f>
        <v>747</v>
      </c>
      <c r="O55" s="228">
        <f>IFERROR(VLOOKUP($B55,MMWR_TRAD_AGG_RO_COMP[],O$1,0),"ERROR")</f>
        <v>444</v>
      </c>
      <c r="P55" s="225">
        <f t="shared" si="3"/>
        <v>0.59437751004016059</v>
      </c>
      <c r="Q55" s="229">
        <f>IFERROR(VLOOKUP($B55,MMWR_TRAD_AGG_RO_COMP[],Q$1,0),"ERROR")</f>
        <v>343</v>
      </c>
      <c r="R55" s="229">
        <f>IFERROR(VLOOKUP($B55,MMWR_TRAD_AGG_RO_COMP[],R$1,0),"ERROR")</f>
        <v>141</v>
      </c>
      <c r="S55" s="203">
        <f>IFERROR(VLOOKUP($B55,MMWR_APP_RO[],S$1,0),"ERROR")</f>
        <v>1033</v>
      </c>
      <c r="T55" s="28"/>
    </row>
    <row r="56" spans="1:20" x14ac:dyDescent="0.2">
      <c r="A56" s="28"/>
      <c r="B56" s="108" t="s">
        <v>65</v>
      </c>
      <c r="C56" s="221">
        <f>IFERROR(VLOOKUP($B56,MMWR_TRAD_AGG_RO_COMP[],C$1,0),"ERROR")</f>
        <v>11308</v>
      </c>
      <c r="D56" s="222">
        <f>IFERROR(VLOOKUP($B56,MMWR_TRAD_AGG_RO_COMP[],D$1,0),"ERROR")</f>
        <v>378.70879023700002</v>
      </c>
      <c r="E56" s="223">
        <f>IFERROR(VLOOKUP($B56,MMWR_TRAD_AGG_RO_COMP[],E$1,0),"ERROR")</f>
        <v>11108</v>
      </c>
      <c r="F56" s="224">
        <f>IFERROR(VLOOKUP($B56,MMWR_TRAD_AGG_RO_COMP[],F$1,0),"ERROR")</f>
        <v>2705</v>
      </c>
      <c r="G56" s="225">
        <f t="shared" si="0"/>
        <v>0.24351818509182571</v>
      </c>
      <c r="H56" s="226">
        <f>IFERROR(VLOOKUP($B56,MMWR_TRAD_AGG_RO_COMP[],H$1,0),"ERROR")</f>
        <v>14775</v>
      </c>
      <c r="I56" s="224">
        <f>IFERROR(VLOOKUP($B56,MMWR_TRAD_AGG_RO_COMP[],I$1,0),"ERROR")</f>
        <v>10048</v>
      </c>
      <c r="J56" s="225">
        <f t="shared" si="1"/>
        <v>0.68006768189509303</v>
      </c>
      <c r="K56" s="227">
        <f>IFERROR(VLOOKUP($B56,MMWR_TRAD_AGG_RO_COMP[],K$1,0),"ERROR")</f>
        <v>5182</v>
      </c>
      <c r="L56" s="228">
        <f>IFERROR(VLOOKUP($B56,MMWR_TRAD_AGG_RO_COMP[],L$1,0),"ERROR")</f>
        <v>3835</v>
      </c>
      <c r="M56" s="225">
        <f t="shared" si="2"/>
        <v>0.74006175221922033</v>
      </c>
      <c r="N56" s="227">
        <f>IFERROR(VLOOKUP($B56,MMWR_TRAD_AGG_RO_COMP[],N$1,0),"ERROR")</f>
        <v>3484</v>
      </c>
      <c r="O56" s="228">
        <f>IFERROR(VLOOKUP($B56,MMWR_TRAD_AGG_RO_COMP[],O$1,0),"ERROR")</f>
        <v>2558</v>
      </c>
      <c r="P56" s="225">
        <f t="shared" si="3"/>
        <v>0.73421354764638347</v>
      </c>
      <c r="Q56" s="229">
        <f>IFERROR(VLOOKUP($B56,MMWR_TRAD_AGG_RO_COMP[],Q$1,0),"ERROR")</f>
        <v>0</v>
      </c>
      <c r="R56" s="229">
        <f>IFERROR(VLOOKUP($B56,MMWR_TRAD_AGG_RO_COMP[],R$1,0),"ERROR")</f>
        <v>46</v>
      </c>
      <c r="S56" s="203">
        <f>IFERROR(VLOOKUP($B56,MMWR_APP_RO[],S$1,0),"ERROR")</f>
        <v>8905</v>
      </c>
      <c r="T56" s="28"/>
    </row>
    <row r="57" spans="1:20" x14ac:dyDescent="0.2">
      <c r="A57" s="28"/>
      <c r="B57" s="108" t="s">
        <v>67</v>
      </c>
      <c r="C57" s="221">
        <f>IFERROR(VLOOKUP($B57,MMWR_TRAD_AGG_RO_COMP[],C$1,0),"ERROR")</f>
        <v>5213</v>
      </c>
      <c r="D57" s="222">
        <f>IFERROR(VLOOKUP($B57,MMWR_TRAD_AGG_RO_COMP[],D$1,0),"ERROR")</f>
        <v>268.86456934590001</v>
      </c>
      <c r="E57" s="223">
        <f>IFERROR(VLOOKUP($B57,MMWR_TRAD_AGG_RO_COMP[],E$1,0),"ERROR")</f>
        <v>4974</v>
      </c>
      <c r="F57" s="224">
        <f>IFERROR(VLOOKUP($B57,MMWR_TRAD_AGG_RO_COMP[],F$1,0),"ERROR")</f>
        <v>1016</v>
      </c>
      <c r="G57" s="225">
        <f t="shared" si="0"/>
        <v>0.20426216324889426</v>
      </c>
      <c r="H57" s="226">
        <f>IFERROR(VLOOKUP($B57,MMWR_TRAD_AGG_RO_COMP[],H$1,0),"ERROR")</f>
        <v>6173</v>
      </c>
      <c r="I57" s="224">
        <f>IFERROR(VLOOKUP($B57,MMWR_TRAD_AGG_RO_COMP[],I$1,0),"ERROR")</f>
        <v>3440</v>
      </c>
      <c r="J57" s="225">
        <f t="shared" si="1"/>
        <v>0.55726551109671152</v>
      </c>
      <c r="K57" s="227">
        <f>IFERROR(VLOOKUP($B57,MMWR_TRAD_AGG_RO_COMP[],K$1,0),"ERROR")</f>
        <v>279</v>
      </c>
      <c r="L57" s="228">
        <f>IFERROR(VLOOKUP($B57,MMWR_TRAD_AGG_RO_COMP[],L$1,0),"ERROR")</f>
        <v>201</v>
      </c>
      <c r="M57" s="225">
        <f t="shared" si="2"/>
        <v>0.72043010752688175</v>
      </c>
      <c r="N57" s="227">
        <f>IFERROR(VLOOKUP($B57,MMWR_TRAD_AGG_RO_COMP[],N$1,0),"ERROR")</f>
        <v>2688</v>
      </c>
      <c r="O57" s="228">
        <f>IFERROR(VLOOKUP($B57,MMWR_TRAD_AGG_RO_COMP[],O$1,0),"ERROR")</f>
        <v>2119</v>
      </c>
      <c r="P57" s="225">
        <f t="shared" si="3"/>
        <v>0.78831845238095233</v>
      </c>
      <c r="Q57" s="229">
        <f>IFERROR(VLOOKUP($B57,MMWR_TRAD_AGG_RO_COMP[],Q$1,0),"ERROR")</f>
        <v>2</v>
      </c>
      <c r="R57" s="229">
        <f>IFERROR(VLOOKUP($B57,MMWR_TRAD_AGG_RO_COMP[],R$1,0),"ERROR")</f>
        <v>70</v>
      </c>
      <c r="S57" s="203">
        <f>IFERROR(VLOOKUP($B57,MMWR_APP_RO[],S$1,0),"ERROR")</f>
        <v>7034</v>
      </c>
      <c r="T57" s="28"/>
    </row>
    <row r="58" spans="1:20" x14ac:dyDescent="0.2">
      <c r="A58" s="28"/>
      <c r="B58" s="108" t="s">
        <v>69</v>
      </c>
      <c r="C58" s="221">
        <f>IFERROR(VLOOKUP($B58,MMWR_TRAD_AGG_RO_COMP[],C$1,0),"ERROR")</f>
        <v>8137</v>
      </c>
      <c r="D58" s="222">
        <f>IFERROR(VLOOKUP($B58,MMWR_TRAD_AGG_RO_COMP[],D$1,0),"ERROR")</f>
        <v>401.9430994224</v>
      </c>
      <c r="E58" s="223">
        <f>IFERROR(VLOOKUP($B58,MMWR_TRAD_AGG_RO_COMP[],E$1,0),"ERROR")</f>
        <v>4853</v>
      </c>
      <c r="F58" s="224">
        <f>IFERROR(VLOOKUP($B58,MMWR_TRAD_AGG_RO_COMP[],F$1,0),"ERROR")</f>
        <v>1724</v>
      </c>
      <c r="G58" s="225">
        <f t="shared" si="0"/>
        <v>0.35524417885843806</v>
      </c>
      <c r="H58" s="226">
        <f>IFERROR(VLOOKUP($B58,MMWR_TRAD_AGG_RO_COMP[],H$1,0),"ERROR")</f>
        <v>10245</v>
      </c>
      <c r="I58" s="224">
        <f>IFERROR(VLOOKUP($B58,MMWR_TRAD_AGG_RO_COMP[],I$1,0),"ERROR")</f>
        <v>7395</v>
      </c>
      <c r="J58" s="225">
        <f t="shared" si="1"/>
        <v>0.72181551976573943</v>
      </c>
      <c r="K58" s="227">
        <f>IFERROR(VLOOKUP($B58,MMWR_TRAD_AGG_RO_COMP[],K$1,0),"ERROR")</f>
        <v>3873</v>
      </c>
      <c r="L58" s="228">
        <f>IFERROR(VLOOKUP($B58,MMWR_TRAD_AGG_RO_COMP[],L$1,0),"ERROR")</f>
        <v>3273</v>
      </c>
      <c r="M58" s="225">
        <f t="shared" si="2"/>
        <v>0.84508133230054217</v>
      </c>
      <c r="N58" s="227">
        <f>IFERROR(VLOOKUP($B58,MMWR_TRAD_AGG_RO_COMP[],N$1,0),"ERROR")</f>
        <v>1587</v>
      </c>
      <c r="O58" s="228">
        <f>IFERROR(VLOOKUP($B58,MMWR_TRAD_AGG_RO_COMP[],O$1,0),"ERROR")</f>
        <v>677</v>
      </c>
      <c r="P58" s="225">
        <f t="shared" si="3"/>
        <v>0.42659105229993699</v>
      </c>
      <c r="Q58" s="229">
        <f>IFERROR(VLOOKUP($B58,MMWR_TRAD_AGG_RO_COMP[],Q$1,0),"ERROR")</f>
        <v>0</v>
      </c>
      <c r="R58" s="229">
        <f>IFERROR(VLOOKUP($B58,MMWR_TRAD_AGG_RO_COMP[],R$1,0),"ERROR")</f>
        <v>76</v>
      </c>
      <c r="S58" s="203">
        <f>IFERROR(VLOOKUP($B58,MMWR_APP_RO[],S$1,0),"ERROR")</f>
        <v>5432</v>
      </c>
      <c r="T58" s="28"/>
    </row>
    <row r="59" spans="1:20" x14ac:dyDescent="0.2">
      <c r="A59" s="28"/>
      <c r="B59" s="108" t="s">
        <v>71</v>
      </c>
      <c r="C59" s="221">
        <f>IFERROR(VLOOKUP($B59,MMWR_TRAD_AGG_RO_COMP[],C$1,0),"ERROR")</f>
        <v>3617</v>
      </c>
      <c r="D59" s="222">
        <f>IFERROR(VLOOKUP($B59,MMWR_TRAD_AGG_RO_COMP[],D$1,0),"ERROR")</f>
        <v>473.07520044239999</v>
      </c>
      <c r="E59" s="223">
        <f>IFERROR(VLOOKUP($B59,MMWR_TRAD_AGG_RO_COMP[],E$1,0),"ERROR")</f>
        <v>3570</v>
      </c>
      <c r="F59" s="224">
        <f>IFERROR(VLOOKUP($B59,MMWR_TRAD_AGG_RO_COMP[],F$1,0),"ERROR")</f>
        <v>1090</v>
      </c>
      <c r="G59" s="225">
        <f t="shared" si="0"/>
        <v>0.30532212885154064</v>
      </c>
      <c r="H59" s="226">
        <f>IFERROR(VLOOKUP($B59,MMWR_TRAD_AGG_RO_COMP[],H$1,0),"ERROR")</f>
        <v>4293</v>
      </c>
      <c r="I59" s="224">
        <f>IFERROR(VLOOKUP($B59,MMWR_TRAD_AGG_RO_COMP[],I$1,0),"ERROR")</f>
        <v>2914</v>
      </c>
      <c r="J59" s="225">
        <f t="shared" si="1"/>
        <v>0.67877940833915673</v>
      </c>
      <c r="K59" s="227">
        <f>IFERROR(VLOOKUP($B59,MMWR_TRAD_AGG_RO_COMP[],K$1,0),"ERROR")</f>
        <v>395</v>
      </c>
      <c r="L59" s="228">
        <f>IFERROR(VLOOKUP($B59,MMWR_TRAD_AGG_RO_COMP[],L$1,0),"ERROR")</f>
        <v>352</v>
      </c>
      <c r="M59" s="225">
        <f t="shared" si="2"/>
        <v>0.89113924050632909</v>
      </c>
      <c r="N59" s="227">
        <f>IFERROR(VLOOKUP($B59,MMWR_TRAD_AGG_RO_COMP[],N$1,0),"ERROR")</f>
        <v>1169</v>
      </c>
      <c r="O59" s="228">
        <f>IFERROR(VLOOKUP($B59,MMWR_TRAD_AGG_RO_COMP[],O$1,0),"ERROR")</f>
        <v>706</v>
      </c>
      <c r="P59" s="225">
        <f t="shared" si="3"/>
        <v>0.60393498716852012</v>
      </c>
      <c r="Q59" s="229">
        <f>IFERROR(VLOOKUP($B59,MMWR_TRAD_AGG_RO_COMP[],Q$1,0),"ERROR")</f>
        <v>0</v>
      </c>
      <c r="R59" s="229">
        <f>IFERROR(VLOOKUP($B59,MMWR_TRAD_AGG_RO_COMP[],R$1,0),"ERROR")</f>
        <v>115</v>
      </c>
      <c r="S59" s="203">
        <f>IFERROR(VLOOKUP($B59,MMWR_APP_RO[],S$1,0),"ERROR")</f>
        <v>2854</v>
      </c>
      <c r="T59" s="28"/>
    </row>
    <row r="60" spans="1:20" x14ac:dyDescent="0.2">
      <c r="A60" s="28"/>
      <c r="B60" s="108" t="s">
        <v>74</v>
      </c>
      <c r="C60" s="221">
        <f>IFERROR(VLOOKUP($B60,MMWR_TRAD_AGG_RO_COMP[],C$1,0),"ERROR")</f>
        <v>7401</v>
      </c>
      <c r="D60" s="222">
        <f>IFERROR(VLOOKUP($B60,MMWR_TRAD_AGG_RO_COMP[],D$1,0),"ERROR")</f>
        <v>322.54208890690001</v>
      </c>
      <c r="E60" s="223">
        <f>IFERROR(VLOOKUP($B60,MMWR_TRAD_AGG_RO_COMP[],E$1,0),"ERROR")</f>
        <v>12610</v>
      </c>
      <c r="F60" s="224">
        <f>IFERROR(VLOOKUP($B60,MMWR_TRAD_AGG_RO_COMP[],F$1,0),"ERROR")</f>
        <v>2005</v>
      </c>
      <c r="G60" s="225">
        <f t="shared" si="0"/>
        <v>0.15900079302141157</v>
      </c>
      <c r="H60" s="226">
        <f>IFERROR(VLOOKUP($B60,MMWR_TRAD_AGG_RO_COMP[],H$1,0),"ERROR")</f>
        <v>15541</v>
      </c>
      <c r="I60" s="224">
        <f>IFERROR(VLOOKUP($B60,MMWR_TRAD_AGG_RO_COMP[],I$1,0),"ERROR")</f>
        <v>6543</v>
      </c>
      <c r="J60" s="225">
        <f t="shared" si="1"/>
        <v>0.42101537867576089</v>
      </c>
      <c r="K60" s="227">
        <f>IFERROR(VLOOKUP($B60,MMWR_TRAD_AGG_RO_COMP[],K$1,0),"ERROR")</f>
        <v>1919</v>
      </c>
      <c r="L60" s="228">
        <f>IFERROR(VLOOKUP($B60,MMWR_TRAD_AGG_RO_COMP[],L$1,0),"ERROR")</f>
        <v>1351</v>
      </c>
      <c r="M60" s="225">
        <f t="shared" si="2"/>
        <v>0.70401250651380931</v>
      </c>
      <c r="N60" s="227">
        <f>IFERROR(VLOOKUP($B60,MMWR_TRAD_AGG_RO_COMP[],N$1,0),"ERROR")</f>
        <v>1995</v>
      </c>
      <c r="O60" s="228">
        <f>IFERROR(VLOOKUP($B60,MMWR_TRAD_AGG_RO_COMP[],O$1,0),"ERROR")</f>
        <v>1399</v>
      </c>
      <c r="P60" s="225">
        <f t="shared" si="3"/>
        <v>0.70125313283208024</v>
      </c>
      <c r="Q60" s="229">
        <f>IFERROR(VLOOKUP($B60,MMWR_TRAD_AGG_RO_COMP[],Q$1,0),"ERROR")</f>
        <v>0</v>
      </c>
      <c r="R60" s="229">
        <f>IFERROR(VLOOKUP($B60,MMWR_TRAD_AGG_RO_COMP[],R$1,0),"ERROR")</f>
        <v>69</v>
      </c>
      <c r="S60" s="203">
        <f>IFERROR(VLOOKUP($B60,MMWR_APP_RO[],S$1,0),"ERROR")</f>
        <v>4168</v>
      </c>
      <c r="T60" s="28"/>
    </row>
    <row r="61" spans="1:20" x14ac:dyDescent="0.2">
      <c r="A61" s="28"/>
      <c r="B61" s="116" t="s">
        <v>76</v>
      </c>
      <c r="C61" s="230">
        <f>IFERROR(VLOOKUP($B61,MMWR_TRAD_AGG_RO_COMP[],C$1,0),"ERROR")</f>
        <v>13631</v>
      </c>
      <c r="D61" s="231">
        <f>IFERROR(VLOOKUP($B61,MMWR_TRAD_AGG_RO_COMP[],D$1,0),"ERROR")</f>
        <v>401.33621891280001</v>
      </c>
      <c r="E61" s="232">
        <f>IFERROR(VLOOKUP($B61,MMWR_TRAD_AGG_RO_COMP[],E$1,0),"ERROR")</f>
        <v>7315</v>
      </c>
      <c r="F61" s="233">
        <f>IFERROR(VLOOKUP($B61,MMWR_TRAD_AGG_RO_COMP[],F$1,0),"ERROR")</f>
        <v>1536</v>
      </c>
      <c r="G61" s="234">
        <f t="shared" si="0"/>
        <v>0.20997949419002052</v>
      </c>
      <c r="H61" s="235">
        <f>IFERROR(VLOOKUP($B61,MMWR_TRAD_AGG_RO_COMP[],H$1,0),"ERROR")</f>
        <v>19160</v>
      </c>
      <c r="I61" s="233">
        <f>IFERROR(VLOOKUP($B61,MMWR_TRAD_AGG_RO_COMP[],I$1,0),"ERROR")</f>
        <v>13351</v>
      </c>
      <c r="J61" s="234">
        <f t="shared" si="1"/>
        <v>0.6968162839248434</v>
      </c>
      <c r="K61" s="236">
        <f>IFERROR(VLOOKUP($B61,MMWR_TRAD_AGG_RO_COMP[],K$1,0),"ERROR")</f>
        <v>3948</v>
      </c>
      <c r="L61" s="237">
        <f>IFERROR(VLOOKUP($B61,MMWR_TRAD_AGG_RO_COMP[],L$1,0),"ERROR")</f>
        <v>3567</v>
      </c>
      <c r="M61" s="234">
        <f t="shared" si="2"/>
        <v>0.90349544072948329</v>
      </c>
      <c r="N61" s="236">
        <f>IFERROR(VLOOKUP($B61,MMWR_TRAD_AGG_RO_COMP[],N$1,0),"ERROR")</f>
        <v>4829</v>
      </c>
      <c r="O61" s="237">
        <f>IFERROR(VLOOKUP($B61,MMWR_TRAD_AGG_RO_COMP[],O$1,0),"ERROR")</f>
        <v>4205</v>
      </c>
      <c r="P61" s="234">
        <f t="shared" si="3"/>
        <v>0.87078069993787532</v>
      </c>
      <c r="Q61" s="238">
        <f>IFERROR(VLOOKUP($B61,MMWR_TRAD_AGG_RO_COMP[],Q$1,0),"ERROR")</f>
        <v>0</v>
      </c>
      <c r="R61" s="238">
        <f>IFERROR(VLOOKUP($B61,MMWR_TRAD_AGG_RO_COMP[],R$1,0),"ERROR")</f>
        <v>148</v>
      </c>
      <c r="S61" s="203">
        <f>IFERROR(VLOOKUP($B61,MMWR_APP_RO[],S$1,0),"ERROR")</f>
        <v>4777</v>
      </c>
      <c r="T61" s="28"/>
    </row>
    <row r="62" spans="1:20" x14ac:dyDescent="0.2">
      <c r="A62" s="28"/>
      <c r="B62" s="101" t="s">
        <v>388</v>
      </c>
      <c r="C62" s="214">
        <f>IFERROR(VLOOKUP($B62,MMWR_TRAD_AGG_DISTRICT_COMP[],C$1,0),"ERROR")</f>
        <v>69816</v>
      </c>
      <c r="D62" s="199">
        <f>IFERROR(VLOOKUP($B62,MMWR_TRAD_AGG_DISTRICT_COMP[],D$1,0),"ERROR")</f>
        <v>334.67511745159999</v>
      </c>
      <c r="E62" s="215">
        <f>IFERROR(VLOOKUP($B62,MMWR_TRAD_AGG_DISTRICT_COMP[],E$1,0),"ERROR")</f>
        <v>73188</v>
      </c>
      <c r="F62" s="220">
        <f>IFERROR(VLOOKUP($B62,MMWR_TRAD_AGG_DISTRICT_COMP[],F$1,0),"ERROR")</f>
        <v>18483</v>
      </c>
      <c r="G62" s="216">
        <f t="shared" si="0"/>
        <v>0.25254140022954585</v>
      </c>
      <c r="H62" s="220">
        <f>IFERROR(VLOOKUP($B62,MMWR_TRAD_AGG_DISTRICT_COMP[],H$1,0),"ERROR")</f>
        <v>99296</v>
      </c>
      <c r="I62" s="220">
        <f>IFERROR(VLOOKUP($B62,MMWR_TRAD_AGG_DISTRICT_COMP[],I$1,0),"ERROR")</f>
        <v>60550</v>
      </c>
      <c r="J62" s="216">
        <f t="shared" si="1"/>
        <v>0.60979294231388981</v>
      </c>
      <c r="K62" s="214">
        <f>IFERROR(VLOOKUP($B62,MMWR_TRAD_AGG_DISTRICT_COMP[],K$1,0),"ERROR")</f>
        <v>20032</v>
      </c>
      <c r="L62" s="214">
        <f>IFERROR(VLOOKUP($B62,MMWR_TRAD_AGG_DISTRICT_COMP[],L$1,0),"ERROR")</f>
        <v>15515</v>
      </c>
      <c r="M62" s="216">
        <f t="shared" si="2"/>
        <v>0.77451078274760388</v>
      </c>
      <c r="N62" s="214">
        <f>IFERROR(VLOOKUP($B62,MMWR_TRAD_AGG_DISTRICT_COMP[],N$1,0),"ERROR")</f>
        <v>38706</v>
      </c>
      <c r="O62" s="214">
        <f>IFERROR(VLOOKUP($B62,MMWR_TRAD_AGG_DISTRICT_COMP[],O$1,0),"ERROR")</f>
        <v>22492</v>
      </c>
      <c r="P62" s="216">
        <f t="shared" si="3"/>
        <v>0.58109853769441433</v>
      </c>
      <c r="Q62" s="214">
        <f>IFERROR(VLOOKUP($B62,MMWR_TRAD_AGG_DISTRICT_COMP[],Q$1,0),"ERROR")</f>
        <v>163</v>
      </c>
      <c r="R62" s="217">
        <f>IFERROR(VLOOKUP($B62,MMWR_TRAD_AGG_DISTRICT_COMP[],R$1,0),"ERROR")</f>
        <v>1182</v>
      </c>
      <c r="S62" s="217">
        <f>IFERROR(VLOOKUP($B62,MMWR_APP_RO[],S$1,0),"ERROR")</f>
        <v>83846</v>
      </c>
      <c r="T62" s="28"/>
    </row>
    <row r="63" spans="1:20" x14ac:dyDescent="0.2">
      <c r="A63" s="28"/>
      <c r="B63" s="108" t="s">
        <v>25</v>
      </c>
      <c r="C63" s="221">
        <f>IFERROR(VLOOKUP($B63,MMWR_TRAD_AGG_RO_COMP[],C$1,0),"ERROR")</f>
        <v>13409</v>
      </c>
      <c r="D63" s="222">
        <f>IFERROR(VLOOKUP($B63,MMWR_TRAD_AGG_RO_COMP[],D$1,0),"ERROR")</f>
        <v>329.28726974419999</v>
      </c>
      <c r="E63" s="223">
        <f>IFERROR(VLOOKUP($B63,MMWR_TRAD_AGG_RO_COMP[],E$1,0),"ERROR")</f>
        <v>17283</v>
      </c>
      <c r="F63" s="224">
        <f>IFERROR(VLOOKUP($B63,MMWR_TRAD_AGG_RO_COMP[],F$1,0),"ERROR")</f>
        <v>3781</v>
      </c>
      <c r="G63" s="225">
        <f t="shared" si="0"/>
        <v>0.21876988948677892</v>
      </c>
      <c r="H63" s="226">
        <f>IFERROR(VLOOKUP($B63,MMWR_TRAD_AGG_RO_COMP[],H$1,0),"ERROR")</f>
        <v>18533</v>
      </c>
      <c r="I63" s="224">
        <f>IFERROR(VLOOKUP($B63,MMWR_TRAD_AGG_RO_COMP[],I$1,0),"ERROR")</f>
        <v>12155</v>
      </c>
      <c r="J63" s="225">
        <f t="shared" si="1"/>
        <v>0.65585711973236926</v>
      </c>
      <c r="K63" s="227">
        <f>IFERROR(VLOOKUP($B63,MMWR_TRAD_AGG_RO_COMP[],K$1,0),"ERROR")</f>
        <v>4647</v>
      </c>
      <c r="L63" s="228">
        <f>IFERROR(VLOOKUP($B63,MMWR_TRAD_AGG_RO_COMP[],L$1,0),"ERROR")</f>
        <v>3988</v>
      </c>
      <c r="M63" s="225">
        <f t="shared" si="2"/>
        <v>0.85818807833010546</v>
      </c>
      <c r="N63" s="227">
        <f>IFERROR(VLOOKUP($B63,MMWR_TRAD_AGG_RO_COMP[],N$1,0),"ERROR")</f>
        <v>20440</v>
      </c>
      <c r="O63" s="228">
        <f>IFERROR(VLOOKUP($B63,MMWR_TRAD_AGG_RO_COMP[],O$1,0),"ERROR")</f>
        <v>10137</v>
      </c>
      <c r="P63" s="225">
        <f t="shared" si="3"/>
        <v>0.4959393346379648</v>
      </c>
      <c r="Q63" s="229">
        <f>IFERROR(VLOOKUP($B63,MMWR_TRAD_AGG_RO_COMP[],Q$1,0),"ERROR")</f>
        <v>63</v>
      </c>
      <c r="R63" s="229">
        <f>IFERROR(VLOOKUP($B63,MMWR_TRAD_AGG_RO_COMP[],R$1,0),"ERROR")</f>
        <v>24</v>
      </c>
      <c r="S63" s="203">
        <f>IFERROR(VLOOKUP($B63,MMWR_APP_RO[],S$1,0),"ERROR")</f>
        <v>16299</v>
      </c>
      <c r="T63" s="28"/>
    </row>
    <row r="64" spans="1:20" x14ac:dyDescent="0.2">
      <c r="A64" s="28"/>
      <c r="B64" s="108" t="s">
        <v>42</v>
      </c>
      <c r="C64" s="221">
        <f>IFERROR(VLOOKUP($B64,MMWR_TRAD_AGG_RO_COMP[],C$1,0),"ERROR")</f>
        <v>11624</v>
      </c>
      <c r="D64" s="222">
        <f>IFERROR(VLOOKUP($B64,MMWR_TRAD_AGG_RO_COMP[],D$1,0),"ERROR")</f>
        <v>293.70836200960002</v>
      </c>
      <c r="E64" s="223">
        <f>IFERROR(VLOOKUP($B64,MMWR_TRAD_AGG_RO_COMP[],E$1,0),"ERROR")</f>
        <v>8558</v>
      </c>
      <c r="F64" s="224">
        <f>IFERROR(VLOOKUP($B64,MMWR_TRAD_AGG_RO_COMP[],F$1,0),"ERROR")</f>
        <v>2159</v>
      </c>
      <c r="G64" s="225">
        <f t="shared" si="0"/>
        <v>0.25227856975928953</v>
      </c>
      <c r="H64" s="226">
        <f>IFERROR(VLOOKUP($B64,MMWR_TRAD_AGG_RO_COMP[],H$1,0),"ERROR")</f>
        <v>21547</v>
      </c>
      <c r="I64" s="224">
        <f>IFERROR(VLOOKUP($B64,MMWR_TRAD_AGG_RO_COMP[],I$1,0),"ERROR")</f>
        <v>11977</v>
      </c>
      <c r="J64" s="225">
        <f t="shared" si="1"/>
        <v>0.55585464333781964</v>
      </c>
      <c r="K64" s="227">
        <f>IFERROR(VLOOKUP($B64,MMWR_TRAD_AGG_RO_COMP[],K$1,0),"ERROR")</f>
        <v>2984</v>
      </c>
      <c r="L64" s="228">
        <f>IFERROR(VLOOKUP($B64,MMWR_TRAD_AGG_RO_COMP[],L$1,0),"ERROR")</f>
        <v>1320</v>
      </c>
      <c r="M64" s="225">
        <f t="shared" si="2"/>
        <v>0.44235924932975873</v>
      </c>
      <c r="N64" s="227">
        <f>IFERROR(VLOOKUP($B64,MMWR_TRAD_AGG_RO_COMP[],N$1,0),"ERROR")</f>
        <v>1502</v>
      </c>
      <c r="O64" s="228">
        <f>IFERROR(VLOOKUP($B64,MMWR_TRAD_AGG_RO_COMP[],O$1,0),"ERROR")</f>
        <v>1149</v>
      </c>
      <c r="P64" s="225">
        <f t="shared" si="3"/>
        <v>0.76498002663115849</v>
      </c>
      <c r="Q64" s="229">
        <f>IFERROR(VLOOKUP($B64,MMWR_TRAD_AGG_RO_COMP[],Q$1,0),"ERROR")</f>
        <v>2</v>
      </c>
      <c r="R64" s="229">
        <f>IFERROR(VLOOKUP($B64,MMWR_TRAD_AGG_RO_COMP[],R$1,0),"ERROR")</f>
        <v>57</v>
      </c>
      <c r="S64" s="203">
        <f>IFERROR(VLOOKUP($B64,MMWR_APP_RO[],S$1,0),"ERROR")</f>
        <v>12060</v>
      </c>
      <c r="T64" s="28"/>
    </row>
    <row r="65" spans="1:20" x14ac:dyDescent="0.2">
      <c r="A65" s="28"/>
      <c r="B65" s="108" t="s">
        <v>56</v>
      </c>
      <c r="C65" s="221">
        <f>IFERROR(VLOOKUP($B65,MMWR_TRAD_AGG_RO_COMP[],C$1,0),"ERROR")</f>
        <v>9728</v>
      </c>
      <c r="D65" s="222">
        <f>IFERROR(VLOOKUP($B65,MMWR_TRAD_AGG_RO_COMP[],D$1,0),"ERROR")</f>
        <v>490.67444490129998</v>
      </c>
      <c r="E65" s="223">
        <f>IFERROR(VLOOKUP($B65,MMWR_TRAD_AGG_RO_COMP[],E$1,0),"ERROR")</f>
        <v>6120</v>
      </c>
      <c r="F65" s="224">
        <f>IFERROR(VLOOKUP($B65,MMWR_TRAD_AGG_RO_COMP[],F$1,0),"ERROR")</f>
        <v>2560</v>
      </c>
      <c r="G65" s="225">
        <f t="shared" si="0"/>
        <v>0.41830065359477125</v>
      </c>
      <c r="H65" s="226">
        <f>IFERROR(VLOOKUP($B65,MMWR_TRAD_AGG_RO_COMP[],H$1,0),"ERROR")</f>
        <v>14182</v>
      </c>
      <c r="I65" s="224">
        <f>IFERROR(VLOOKUP($B65,MMWR_TRAD_AGG_RO_COMP[],I$1,0),"ERROR")</f>
        <v>9151</v>
      </c>
      <c r="J65" s="225">
        <f t="shared" si="1"/>
        <v>0.64525454801861515</v>
      </c>
      <c r="K65" s="227">
        <f>IFERROR(VLOOKUP($B65,MMWR_TRAD_AGG_RO_COMP[],K$1,0),"ERROR")</f>
        <v>3175</v>
      </c>
      <c r="L65" s="228">
        <f>IFERROR(VLOOKUP($B65,MMWR_TRAD_AGG_RO_COMP[],L$1,0),"ERROR")</f>
        <v>2541</v>
      </c>
      <c r="M65" s="225">
        <f t="shared" si="2"/>
        <v>0.80031496062992125</v>
      </c>
      <c r="N65" s="227">
        <f>IFERROR(VLOOKUP($B65,MMWR_TRAD_AGG_RO_COMP[],N$1,0),"ERROR")</f>
        <v>584</v>
      </c>
      <c r="O65" s="228">
        <f>IFERROR(VLOOKUP($B65,MMWR_TRAD_AGG_RO_COMP[],O$1,0),"ERROR")</f>
        <v>388</v>
      </c>
      <c r="P65" s="225">
        <f t="shared" si="3"/>
        <v>0.66438356164383561</v>
      </c>
      <c r="Q65" s="229">
        <f>IFERROR(VLOOKUP($B65,MMWR_TRAD_AGG_RO_COMP[],Q$1,0),"ERROR")</f>
        <v>80</v>
      </c>
      <c r="R65" s="229">
        <f>IFERROR(VLOOKUP($B65,MMWR_TRAD_AGG_RO_COMP[],R$1,0),"ERROR")</f>
        <v>253</v>
      </c>
      <c r="S65" s="203">
        <f>IFERROR(VLOOKUP($B65,MMWR_APP_RO[],S$1,0),"ERROR")</f>
        <v>4591</v>
      </c>
      <c r="T65" s="28"/>
    </row>
    <row r="66" spans="1:20" x14ac:dyDescent="0.2">
      <c r="A66" s="28"/>
      <c r="B66" s="108" t="s">
        <v>60</v>
      </c>
      <c r="C66" s="221">
        <f>IFERROR(VLOOKUP($B66,MMWR_TRAD_AGG_RO_COMP[],C$1,0),"ERROR")</f>
        <v>12621</v>
      </c>
      <c r="D66" s="222">
        <f>IFERROR(VLOOKUP($B66,MMWR_TRAD_AGG_RO_COMP[],D$1,0),"ERROR")</f>
        <v>364.93693051259999</v>
      </c>
      <c r="E66" s="223">
        <f>IFERROR(VLOOKUP($B66,MMWR_TRAD_AGG_RO_COMP[],E$1,0),"ERROR")</f>
        <v>7617</v>
      </c>
      <c r="F66" s="224">
        <f>IFERROR(VLOOKUP($B66,MMWR_TRAD_AGG_RO_COMP[],F$1,0),"ERROR")</f>
        <v>1053</v>
      </c>
      <c r="G66" s="225">
        <f t="shared" si="0"/>
        <v>0.13824340291453327</v>
      </c>
      <c r="H66" s="226">
        <f>IFERROR(VLOOKUP($B66,MMWR_TRAD_AGG_RO_COMP[],H$1,0),"ERROR")</f>
        <v>14167</v>
      </c>
      <c r="I66" s="224">
        <f>IFERROR(VLOOKUP($B66,MMWR_TRAD_AGG_RO_COMP[],I$1,0),"ERROR")</f>
        <v>9896</v>
      </c>
      <c r="J66" s="225">
        <f t="shared" si="1"/>
        <v>0.698524740594339</v>
      </c>
      <c r="K66" s="227">
        <f>IFERROR(VLOOKUP($B66,MMWR_TRAD_AGG_RO_COMP[],K$1,0),"ERROR")</f>
        <v>4259</v>
      </c>
      <c r="L66" s="228">
        <f>IFERROR(VLOOKUP($B66,MMWR_TRAD_AGG_RO_COMP[],L$1,0),"ERROR")</f>
        <v>3914</v>
      </c>
      <c r="M66" s="225">
        <f t="shared" si="2"/>
        <v>0.91899506926508567</v>
      </c>
      <c r="N66" s="227">
        <f>IFERROR(VLOOKUP($B66,MMWR_TRAD_AGG_RO_COMP[],N$1,0),"ERROR")</f>
        <v>2208</v>
      </c>
      <c r="O66" s="228">
        <f>IFERROR(VLOOKUP($B66,MMWR_TRAD_AGG_RO_COMP[],O$1,0),"ERROR")</f>
        <v>1618</v>
      </c>
      <c r="P66" s="225">
        <f t="shared" si="3"/>
        <v>0.73278985507246375</v>
      </c>
      <c r="Q66" s="229">
        <f>IFERROR(VLOOKUP($B66,MMWR_TRAD_AGG_RO_COMP[],Q$1,0),"ERROR")</f>
        <v>3</v>
      </c>
      <c r="R66" s="229">
        <f>IFERROR(VLOOKUP($B66,MMWR_TRAD_AGG_RO_COMP[],R$1,0),"ERROR")</f>
        <v>372</v>
      </c>
      <c r="S66" s="203">
        <f>IFERROR(VLOOKUP($B66,MMWR_APP_RO[],S$1,0),"ERROR")</f>
        <v>10333</v>
      </c>
      <c r="T66" s="28"/>
    </row>
    <row r="67" spans="1:20" x14ac:dyDescent="0.2">
      <c r="A67" s="28"/>
      <c r="B67" s="108" t="s">
        <v>61</v>
      </c>
      <c r="C67" s="221">
        <f>IFERROR(VLOOKUP($B67,MMWR_TRAD_AGG_RO_COMP[],C$1,0),"ERROR")</f>
        <v>5233</v>
      </c>
      <c r="D67" s="222">
        <f>IFERROR(VLOOKUP($B67,MMWR_TRAD_AGG_RO_COMP[],D$1,0),"ERROR")</f>
        <v>217.4452512899</v>
      </c>
      <c r="E67" s="223">
        <f>IFERROR(VLOOKUP($B67,MMWR_TRAD_AGG_RO_COMP[],E$1,0),"ERROR")</f>
        <v>8955</v>
      </c>
      <c r="F67" s="224">
        <f>IFERROR(VLOOKUP($B67,MMWR_TRAD_AGG_RO_COMP[],F$1,0),"ERROR")</f>
        <v>1986</v>
      </c>
      <c r="G67" s="225">
        <f t="shared" si="0"/>
        <v>0.22177554438860972</v>
      </c>
      <c r="H67" s="226">
        <f>IFERROR(VLOOKUP($B67,MMWR_TRAD_AGG_RO_COMP[],H$1,0),"ERROR")</f>
        <v>8573</v>
      </c>
      <c r="I67" s="224">
        <f>IFERROR(VLOOKUP($B67,MMWR_TRAD_AGG_RO_COMP[],I$1,0),"ERROR")</f>
        <v>3983</v>
      </c>
      <c r="J67" s="225">
        <f t="shared" si="1"/>
        <v>0.46459815700454915</v>
      </c>
      <c r="K67" s="227">
        <f>IFERROR(VLOOKUP($B67,MMWR_TRAD_AGG_RO_COMP[],K$1,0),"ERROR")</f>
        <v>1868</v>
      </c>
      <c r="L67" s="228">
        <f>IFERROR(VLOOKUP($B67,MMWR_TRAD_AGG_RO_COMP[],L$1,0),"ERROR")</f>
        <v>1529</v>
      </c>
      <c r="M67" s="225">
        <f t="shared" si="2"/>
        <v>0.81852248394004279</v>
      </c>
      <c r="N67" s="227">
        <f>IFERROR(VLOOKUP($B67,MMWR_TRAD_AGG_RO_COMP[],N$1,0),"ERROR")</f>
        <v>1643</v>
      </c>
      <c r="O67" s="228">
        <f>IFERROR(VLOOKUP($B67,MMWR_TRAD_AGG_RO_COMP[],O$1,0),"ERROR")</f>
        <v>1290</v>
      </c>
      <c r="P67" s="225">
        <f t="shared" si="3"/>
        <v>0.78514911746804628</v>
      </c>
      <c r="Q67" s="229">
        <f>IFERROR(VLOOKUP($B67,MMWR_TRAD_AGG_RO_COMP[],Q$1,0),"ERROR")</f>
        <v>5</v>
      </c>
      <c r="R67" s="229">
        <f>IFERROR(VLOOKUP($B67,MMWR_TRAD_AGG_RO_COMP[],R$1,0),"ERROR")</f>
        <v>223</v>
      </c>
      <c r="S67" s="203">
        <f>IFERROR(VLOOKUP($B67,MMWR_APP_RO[],S$1,0),"ERROR")</f>
        <v>6399</v>
      </c>
      <c r="T67" s="28"/>
    </row>
    <row r="68" spans="1:20" x14ac:dyDescent="0.2">
      <c r="A68" s="28"/>
      <c r="B68" s="108" t="s">
        <v>75</v>
      </c>
      <c r="C68" s="221">
        <f>IFERROR(VLOOKUP($B68,MMWR_TRAD_AGG_RO_COMP[],C$1,0),"ERROR")</f>
        <v>2211</v>
      </c>
      <c r="D68" s="222">
        <f>IFERROR(VLOOKUP($B68,MMWR_TRAD_AGG_RO_COMP[],D$1,0),"ERROR")</f>
        <v>249.39258254180001</v>
      </c>
      <c r="E68" s="223">
        <f>IFERROR(VLOOKUP($B68,MMWR_TRAD_AGG_RO_COMP[],E$1,0),"ERROR")</f>
        <v>2944</v>
      </c>
      <c r="F68" s="224">
        <f>IFERROR(VLOOKUP($B68,MMWR_TRAD_AGG_RO_COMP[],F$1,0),"ERROR")</f>
        <v>780</v>
      </c>
      <c r="G68" s="225">
        <f t="shared" si="0"/>
        <v>0.26494565217391303</v>
      </c>
      <c r="H68" s="226">
        <f>IFERROR(VLOOKUP($B68,MMWR_TRAD_AGG_RO_COMP[],H$1,0),"ERROR")</f>
        <v>3648</v>
      </c>
      <c r="I68" s="224">
        <f>IFERROR(VLOOKUP($B68,MMWR_TRAD_AGG_RO_COMP[],I$1,0),"ERROR")</f>
        <v>2573</v>
      </c>
      <c r="J68" s="225">
        <f t="shared" si="1"/>
        <v>0.7053179824561403</v>
      </c>
      <c r="K68" s="227">
        <f>IFERROR(VLOOKUP($B68,MMWR_TRAD_AGG_RO_COMP[],K$1,0),"ERROR")</f>
        <v>686</v>
      </c>
      <c r="L68" s="228">
        <f>IFERROR(VLOOKUP($B68,MMWR_TRAD_AGG_RO_COMP[],L$1,0),"ERROR")</f>
        <v>618</v>
      </c>
      <c r="M68" s="225">
        <f t="shared" si="2"/>
        <v>0.9008746355685131</v>
      </c>
      <c r="N68" s="227">
        <f>IFERROR(VLOOKUP($B68,MMWR_TRAD_AGG_RO_COMP[],N$1,0),"ERROR")</f>
        <v>1272</v>
      </c>
      <c r="O68" s="228">
        <f>IFERROR(VLOOKUP($B68,MMWR_TRAD_AGG_RO_COMP[],O$1,0),"ERROR")</f>
        <v>652</v>
      </c>
      <c r="P68" s="225">
        <f t="shared" si="3"/>
        <v>0.51257861635220126</v>
      </c>
      <c r="Q68" s="229">
        <f>IFERROR(VLOOKUP($B68,MMWR_TRAD_AGG_RO_COMP[],Q$1,0),"ERROR")</f>
        <v>0</v>
      </c>
      <c r="R68" s="229">
        <f>IFERROR(VLOOKUP($B68,MMWR_TRAD_AGG_RO_COMP[],R$1,0),"ERROR")</f>
        <v>6</v>
      </c>
      <c r="S68" s="203">
        <f>IFERROR(VLOOKUP($B68,MMWR_APP_RO[],S$1,0),"ERROR")</f>
        <v>6202</v>
      </c>
      <c r="T68" s="28"/>
    </row>
    <row r="69" spans="1:20" x14ac:dyDescent="0.2">
      <c r="A69" s="28"/>
      <c r="B69" s="116" t="s">
        <v>80</v>
      </c>
      <c r="C69" s="230">
        <f>IFERROR(VLOOKUP($B69,MMWR_TRAD_AGG_RO_COMP[],C$1,0),"ERROR")</f>
        <v>14990</v>
      </c>
      <c r="D69" s="231">
        <f>IFERROR(VLOOKUP($B69,MMWR_TRAD_AGG_RO_COMP[],D$1,0),"ERROR")</f>
        <v>298.04876584390001</v>
      </c>
      <c r="E69" s="232">
        <f>IFERROR(VLOOKUP($B69,MMWR_TRAD_AGG_RO_COMP[],E$1,0),"ERROR")</f>
        <v>21711</v>
      </c>
      <c r="F69" s="233">
        <f>IFERROR(VLOOKUP($B69,MMWR_TRAD_AGG_RO_COMP[],F$1,0),"ERROR")</f>
        <v>6164</v>
      </c>
      <c r="G69" s="234">
        <f t="shared" si="0"/>
        <v>0.28391138132743771</v>
      </c>
      <c r="H69" s="235">
        <f>IFERROR(VLOOKUP($B69,MMWR_TRAD_AGG_RO_COMP[],H$1,0),"ERROR")</f>
        <v>18646</v>
      </c>
      <c r="I69" s="233">
        <f>IFERROR(VLOOKUP($B69,MMWR_TRAD_AGG_RO_COMP[],I$1,0),"ERROR")</f>
        <v>10815</v>
      </c>
      <c r="J69" s="234">
        <f t="shared" si="1"/>
        <v>0.58001716185777108</v>
      </c>
      <c r="K69" s="236">
        <f>IFERROR(VLOOKUP($B69,MMWR_TRAD_AGG_RO_COMP[],K$1,0),"ERROR")</f>
        <v>2413</v>
      </c>
      <c r="L69" s="237">
        <f>IFERROR(VLOOKUP($B69,MMWR_TRAD_AGG_RO_COMP[],L$1,0),"ERROR")</f>
        <v>1605</v>
      </c>
      <c r="M69" s="234">
        <f t="shared" si="2"/>
        <v>0.66514711976792373</v>
      </c>
      <c r="N69" s="236">
        <f>IFERROR(VLOOKUP($B69,MMWR_TRAD_AGG_RO_COMP[],N$1,0),"ERROR")</f>
        <v>11057</v>
      </c>
      <c r="O69" s="237">
        <f>IFERROR(VLOOKUP($B69,MMWR_TRAD_AGG_RO_COMP[],O$1,0),"ERROR")</f>
        <v>7258</v>
      </c>
      <c r="P69" s="234">
        <f t="shared" si="3"/>
        <v>0.65641674957040785</v>
      </c>
      <c r="Q69" s="238">
        <f>IFERROR(VLOOKUP($B69,MMWR_TRAD_AGG_RO_COMP[],Q$1,0),"ERROR")</f>
        <v>10</v>
      </c>
      <c r="R69" s="238">
        <f>IFERROR(VLOOKUP($B69,MMWR_TRAD_AGG_RO_COMP[],R$1,0),"ERROR")</f>
        <v>247</v>
      </c>
      <c r="S69" s="203">
        <f>IFERROR(VLOOKUP($B69,MMWR_APP_RO[],S$1,0),"ERROR")</f>
        <v>27962</v>
      </c>
      <c r="T69" s="28"/>
    </row>
    <row r="70" spans="1:20" x14ac:dyDescent="0.2">
      <c r="A70" s="28"/>
      <c r="B70" s="101" t="s">
        <v>8</v>
      </c>
      <c r="C70" s="214">
        <f>IFERROR(VLOOKUP($B70,MMWR_TRAD_AGG_RO_COMP[],C$1,0),"ERROR")</f>
        <v>50</v>
      </c>
      <c r="D70" s="199">
        <f>IFERROR(VLOOKUP($B70,MMWR_TRAD_AGG_RO_COMP[],D$1,0),"ERROR")</f>
        <v>809.88</v>
      </c>
      <c r="E70" s="215">
        <f>IFERROR(VLOOKUP($B70,MMWR_TRAD_AGG_RO_COMP[],E$1,0),"ERROR")</f>
        <v>1</v>
      </c>
      <c r="F70" s="220">
        <f>IFERROR(VLOOKUP($B70,MMWR_TRAD_AGG_RO_COMP[],F$1,0),"ERROR")</f>
        <v>0</v>
      </c>
      <c r="G70" s="216">
        <f>IFERROR(F70/E70,"0%")</f>
        <v>0</v>
      </c>
      <c r="H70" s="220">
        <f>IFERROR(VLOOKUP($B70,MMWR_TRAD_AGG_RO_COMP[],H$1,0),"ERROR")</f>
        <v>51</v>
      </c>
      <c r="I70" s="220">
        <f>IFERROR(VLOOKUP($B70,MMWR_TRAD_AGG_RO_COMP[],I$1,0),"ERROR")</f>
        <v>51</v>
      </c>
      <c r="J70" s="216">
        <f>IFERROR(I70/H70,"0%")</f>
        <v>1</v>
      </c>
      <c r="K70" s="214">
        <f>IFERROR(VLOOKUP($B70,MMWR_TRAD_AGG_RO_COMP[],K$1,0),"ERROR")</f>
        <v>2</v>
      </c>
      <c r="L70" s="214">
        <f>IFERROR(VLOOKUP($B70,MMWR_TRAD_AGG_RO_COMP[],L$1,0),"ERROR")</f>
        <v>1</v>
      </c>
      <c r="M70" s="216">
        <f>IFERROR(L70/K70,"0%")</f>
        <v>0.5</v>
      </c>
      <c r="N70" s="214">
        <f>IFERROR(VLOOKUP($B70,MMWR_TRAD_AGG_RO_COMP[],N$1,0),"ERROR")</f>
        <v>21347</v>
      </c>
      <c r="O70" s="214">
        <f>IFERROR(VLOOKUP($B70,MMWR_TRAD_AGG_RO_COMP[],O$1,0),"ERROR")</f>
        <v>7219</v>
      </c>
      <c r="P70" s="216">
        <f>IFERROR(O70/N70,"0%")</f>
        <v>0.33817398229259382</v>
      </c>
      <c r="Q70" s="214">
        <f>IFERROR(VLOOKUP($B70,MMWR_TRAD_AGG_RO_COMP[],Q$1,0),"ERROR")</f>
        <v>0</v>
      </c>
      <c r="R70" s="217">
        <f>IFERROR(VLOOKUP($B70,MMWR_TRAD_AGG_RO_COMP[],R$1,0),"ERROR")</f>
        <v>0</v>
      </c>
      <c r="S70" s="217">
        <f>IFERROR(VLOOKUP($B70,MMWR_APP_RO[],S$1,0),"ERROR")</f>
        <v>12522</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3" t="s">
        <v>495</v>
      </c>
      <c r="D72" s="454"/>
      <c r="E72" s="454"/>
      <c r="F72" s="454"/>
      <c r="G72" s="454"/>
      <c r="H72" s="454"/>
      <c r="I72" s="454"/>
      <c r="J72" s="454"/>
      <c r="K72" s="454"/>
      <c r="L72" s="454"/>
      <c r="M72" s="454"/>
      <c r="N72" s="454"/>
      <c r="O72" s="454"/>
      <c r="P72" s="454"/>
      <c r="Q72" s="454"/>
      <c r="R72" s="454"/>
      <c r="S72" s="455"/>
      <c r="T72" s="28"/>
    </row>
    <row r="73" spans="1:20" x14ac:dyDescent="0.2">
      <c r="A73" s="25"/>
      <c r="B73" s="117"/>
      <c r="C73" s="456" t="s">
        <v>231</v>
      </c>
      <c r="D73" s="457"/>
      <c r="E73" s="458" t="s">
        <v>211</v>
      </c>
      <c r="F73" s="459"/>
      <c r="G73" s="460"/>
      <c r="H73" s="458" t="s">
        <v>7</v>
      </c>
      <c r="I73" s="459"/>
      <c r="J73" s="460"/>
      <c r="K73" s="458" t="s">
        <v>33</v>
      </c>
      <c r="L73" s="459"/>
      <c r="M73" s="460"/>
      <c r="N73" s="458" t="s">
        <v>8</v>
      </c>
      <c r="O73" s="459"/>
      <c r="P73" s="460"/>
      <c r="Q73" s="81" t="s">
        <v>9</v>
      </c>
      <c r="R73" s="82" t="s">
        <v>10</v>
      </c>
      <c r="S73" s="82" t="s">
        <v>11</v>
      </c>
      <c r="T73" s="28"/>
    </row>
    <row r="74" spans="1:20" ht="38.25" x14ac:dyDescent="0.2">
      <c r="A74" s="91"/>
      <c r="B74" s="118"/>
      <c r="C74" s="84" t="s">
        <v>12</v>
      </c>
      <c r="D74" s="85" t="s">
        <v>140</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496</v>
      </c>
      <c r="T74" s="28"/>
    </row>
    <row r="75" spans="1:20" x14ac:dyDescent="0.2">
      <c r="A75" s="25"/>
      <c r="B75" s="101" t="s">
        <v>470</v>
      </c>
      <c r="C75" s="239">
        <f>IFERROR(VLOOKUP($B75,MMWR_TRAD_AGG_RO_PEN[],C$1,0),"ERROR")</f>
        <v>16939</v>
      </c>
      <c r="D75" s="240">
        <f>IFERROR(VLOOKUP($B75,MMWR_TRAD_AGG_RO_PEN[],D$1,0),"ERROR")</f>
        <v>88.463309522399996</v>
      </c>
      <c r="E75" s="239">
        <f>IFERROR(VLOOKUP($B75,MMWR_TRAD_AGG_RO_PEN[],E$1,0),"ERROR")</f>
        <v>26397</v>
      </c>
      <c r="F75" s="239">
        <f>IFERROR(VLOOKUP($B75,MMWR_TRAD_AGG_RO_PEN[],F$1,0),"ERROR")</f>
        <v>3990</v>
      </c>
      <c r="G75" s="241">
        <f>IFERROR(F75/E75,"0%")</f>
        <v>0.15115354017501989</v>
      </c>
      <c r="H75" s="239">
        <f>IFERROR(VLOOKUP($B75,MMWR_TRAD_AGG_RO_PEN[],H$1,0),"ERROR")</f>
        <v>28527</v>
      </c>
      <c r="I75" s="239">
        <f>IFERROR(VLOOKUP($B75,MMWR_TRAD_AGG_RO_PEN[],I$1,0),"ERROR")</f>
        <v>6556</v>
      </c>
      <c r="J75" s="241">
        <f>IFERROR(I75/H75,"0%")</f>
        <v>0.22981736600413644</v>
      </c>
      <c r="K75" s="239">
        <f>IFERROR(VLOOKUP($B75,MMWR_TRAD_AGG_RO_PEN[],K$1,0),"ERROR")</f>
        <v>709</v>
      </c>
      <c r="L75" s="239">
        <f>IFERROR(VLOOKUP($B75,MMWR_TRAD_AGG_RO_PEN[],L$1,0),"ERROR")</f>
        <v>655</v>
      </c>
      <c r="M75" s="241">
        <f>IFERROR(L75/K75,"0%")</f>
        <v>0.92383638928067702</v>
      </c>
      <c r="N75" s="239">
        <f>IFERROR(VLOOKUP($B75,MMWR_TRAD_AGG_RO_PEN[],N$1,0),"ERROR")</f>
        <v>2694</v>
      </c>
      <c r="O75" s="239">
        <f>IFERROR(VLOOKUP($B75,MMWR_TRAD_AGG_RO_PEN[],O$1,0),"ERROR")</f>
        <v>724</v>
      </c>
      <c r="P75" s="241">
        <f>IFERROR(O75/N75,"0%")</f>
        <v>0.26874536005939126</v>
      </c>
      <c r="Q75" s="239">
        <f>IFERROR(VLOOKUP($B75,MMWR_TRAD_AGG_RO_PEN[],Q$1,0),"ERROR")</f>
        <v>10690</v>
      </c>
      <c r="R75" s="242">
        <f>IFERROR(VLOOKUP($B75,MMWR_TRAD_AGG_RO_PEN[],R$1,0),"ERROR")</f>
        <v>5183</v>
      </c>
      <c r="S75" s="242">
        <f>IFERROR(VLOOKUP($B75,MMWR_APP_RO[],S$1,0),"ERROR")</f>
        <v>5566</v>
      </c>
      <c r="T75" s="28"/>
    </row>
    <row r="76" spans="1:20" x14ac:dyDescent="0.2">
      <c r="A76" s="107"/>
      <c r="B76" s="122" t="s">
        <v>216</v>
      </c>
      <c r="C76" s="243">
        <f>IFERROR(VLOOKUP($B76,MMWR_TRAD_AGG_RO_PEN[],C$1,0),"ERROR")</f>
        <v>12118</v>
      </c>
      <c r="D76" s="244">
        <f>IFERROR(VLOOKUP($B76,MMWR_TRAD_AGG_RO_PEN[],D$1,0),"ERROR")</f>
        <v>103.4619574187</v>
      </c>
      <c r="E76" s="243">
        <f>IFERROR(VLOOKUP($B76,MMWR_TRAD_AGG_RO_PEN[],E$1,0),"ERROR")</f>
        <v>12653</v>
      </c>
      <c r="F76" s="243">
        <f>IFERROR(VLOOKUP($B76,MMWR_TRAD_AGG_RO_PEN[],F$1,0),"ERROR")</f>
        <v>3262</v>
      </c>
      <c r="G76" s="225">
        <f>IFERROR(F76/E76,"0%")</f>
        <v>0.2578044732474512</v>
      </c>
      <c r="H76" s="243">
        <f>IFERROR(VLOOKUP($B76,MMWR_TRAD_AGG_RO_PEN[],H$1,0),"ERROR")</f>
        <v>18644</v>
      </c>
      <c r="I76" s="243">
        <f>IFERROR(VLOOKUP($B76,MMWR_TRAD_AGG_RO_PEN[],I$1,0),"ERROR")</f>
        <v>5504</v>
      </c>
      <c r="J76" s="225">
        <f>IFERROR(I76/H76,"0%")</f>
        <v>0.29521561896588716</v>
      </c>
      <c r="K76" s="243">
        <f>IFERROR(VLOOKUP($B76,MMWR_TRAD_AGG_RO_PEN[],K$1,0),"ERROR")</f>
        <v>394</v>
      </c>
      <c r="L76" s="243">
        <f>IFERROR(VLOOKUP($B76,MMWR_TRAD_AGG_RO_PEN[],L$1,0),"ERROR")</f>
        <v>371</v>
      </c>
      <c r="M76" s="225">
        <f>IFERROR(L76/K76,"0%")</f>
        <v>0.94162436548223349</v>
      </c>
      <c r="N76" s="243">
        <f>IFERROR(VLOOKUP($B76,MMWR_TRAD_AGG_RO_PEN[],N$1,0),"ERROR")</f>
        <v>1921</v>
      </c>
      <c r="O76" s="243">
        <f>IFERROR(VLOOKUP($B76,MMWR_TRAD_AGG_RO_PEN[],O$1,0),"ERROR")</f>
        <v>371</v>
      </c>
      <c r="P76" s="225">
        <f>IFERROR(O76/N76,"0%")</f>
        <v>0.1931285788651744</v>
      </c>
      <c r="Q76" s="243">
        <f>IFERROR(VLOOKUP($B76,MMWR_TRAD_AGG_RO_PEN[],Q$1,0),"ERROR")</f>
        <v>1375</v>
      </c>
      <c r="R76" s="243">
        <f>IFERROR(VLOOKUP($B76,MMWR_TRAD_AGG_RO_PEN[],R$1,0),"ERROR")</f>
        <v>3686</v>
      </c>
      <c r="S76" s="245">
        <f>IFERROR(VLOOKUP($B76,MMWR_APP_RO[],S$1,0),"ERROR")</f>
        <v>2762</v>
      </c>
      <c r="T76" s="28"/>
    </row>
    <row r="77" spans="1:20" x14ac:dyDescent="0.2">
      <c r="A77" s="107"/>
      <c r="B77" s="122" t="s">
        <v>215</v>
      </c>
      <c r="C77" s="243">
        <f>IFERROR(VLOOKUP($B77,MMWR_TRAD_AGG_RO_PEN[],C$1,0),"ERROR")</f>
        <v>3047</v>
      </c>
      <c r="D77" s="244">
        <f>IFERROR(VLOOKUP($B77,MMWR_TRAD_AGG_RO_PEN[],D$1,0),"ERROR")</f>
        <v>60.528716770599999</v>
      </c>
      <c r="E77" s="243">
        <f>IFERROR(VLOOKUP($B77,MMWR_TRAD_AGG_RO_PEN[],E$1,0),"ERROR")</f>
        <v>6544</v>
      </c>
      <c r="F77" s="243">
        <f>IFERROR(VLOOKUP($B77,MMWR_TRAD_AGG_RO_PEN[],F$1,0),"ERROR")</f>
        <v>427</v>
      </c>
      <c r="G77" s="225">
        <f>IFERROR(F77/E77,"0%")</f>
        <v>6.5250611246943771E-2</v>
      </c>
      <c r="H77" s="243">
        <f>IFERROR(VLOOKUP($B77,MMWR_TRAD_AGG_RO_PEN[],H$1,0),"ERROR")</f>
        <v>5787</v>
      </c>
      <c r="I77" s="243">
        <f>IFERROR(VLOOKUP($B77,MMWR_TRAD_AGG_RO_PEN[],I$1,0),"ERROR")</f>
        <v>327</v>
      </c>
      <c r="J77" s="225">
        <f>IFERROR(I77/H77,"0%")</f>
        <v>5.6505961638154481E-2</v>
      </c>
      <c r="K77" s="243">
        <f>IFERROR(VLOOKUP($B77,MMWR_TRAD_AGG_RO_PEN[],K$1,0),"ERROR")</f>
        <v>16</v>
      </c>
      <c r="L77" s="243">
        <f>IFERROR(VLOOKUP($B77,MMWR_TRAD_AGG_RO_PEN[],L$1,0),"ERROR")</f>
        <v>16</v>
      </c>
      <c r="M77" s="225">
        <f>IFERROR(L77/K77,"0%")</f>
        <v>1</v>
      </c>
      <c r="N77" s="243">
        <f>IFERROR(VLOOKUP($B77,MMWR_TRAD_AGG_RO_PEN[],N$1,0),"ERROR")</f>
        <v>385</v>
      </c>
      <c r="O77" s="243">
        <f>IFERROR(VLOOKUP($B77,MMWR_TRAD_AGG_RO_PEN[],O$1,0),"ERROR")</f>
        <v>72</v>
      </c>
      <c r="P77" s="225">
        <f>IFERROR(O77/N77,"0%")</f>
        <v>0.18701298701298702</v>
      </c>
      <c r="Q77" s="243">
        <f>IFERROR(VLOOKUP($B77,MMWR_TRAD_AGG_RO_PEN[],Q$1,0),"ERROR")</f>
        <v>4673</v>
      </c>
      <c r="R77" s="243">
        <f>IFERROR(VLOOKUP($B77,MMWR_TRAD_AGG_RO_PEN[],R$1,0),"ERROR")</f>
        <v>475</v>
      </c>
      <c r="S77" s="245">
        <f>IFERROR(VLOOKUP($B77,MMWR_APP_RO[],S$1,0),"ERROR")</f>
        <v>1896</v>
      </c>
      <c r="T77" s="28"/>
    </row>
    <row r="78" spans="1:20" x14ac:dyDescent="0.2">
      <c r="A78" s="107"/>
      <c r="B78" s="122" t="s">
        <v>218</v>
      </c>
      <c r="C78" s="243">
        <f>IFERROR(VLOOKUP($B78,MMWR_TRAD_AGG_RO_PEN[],C$1,0),"ERROR")</f>
        <v>1774</v>
      </c>
      <c r="D78" s="244">
        <f>IFERROR(VLOOKUP($B78,MMWR_TRAD_AGG_RO_PEN[],D$1,0),"ERROR")</f>
        <v>33.989289740700002</v>
      </c>
      <c r="E78" s="243">
        <f>IFERROR(VLOOKUP($B78,MMWR_TRAD_AGG_RO_PEN[],E$1,0),"ERROR")</f>
        <v>6959</v>
      </c>
      <c r="F78" s="243">
        <f>IFERROR(VLOOKUP($B78,MMWR_TRAD_AGG_RO_PEN[],F$1,0),"ERROR")</f>
        <v>211</v>
      </c>
      <c r="G78" s="225">
        <f>IFERROR(F78/E78,"0%")</f>
        <v>3.0320448340278777E-2</v>
      </c>
      <c r="H78" s="243">
        <f>IFERROR(VLOOKUP($B78,MMWR_TRAD_AGG_RO_PEN[],H$1,0),"ERROR")</f>
        <v>3233</v>
      </c>
      <c r="I78" s="243">
        <f>IFERROR(VLOOKUP($B78,MMWR_TRAD_AGG_RO_PEN[],I$1,0),"ERROR")</f>
        <v>23</v>
      </c>
      <c r="J78" s="225">
        <f>IFERROR(I78/H78,"0%")</f>
        <v>7.1141354778843178E-3</v>
      </c>
      <c r="K78" s="243">
        <f>IFERROR(VLOOKUP($B78,MMWR_TRAD_AGG_RO_PEN[],K$1,0),"ERROR")</f>
        <v>24</v>
      </c>
      <c r="L78" s="243">
        <f>IFERROR(VLOOKUP($B78,MMWR_TRAD_AGG_RO_PEN[],L$1,0),"ERROR")</f>
        <v>1</v>
      </c>
      <c r="M78" s="225">
        <f>IFERROR(L78/K78,"0%")</f>
        <v>4.1666666666666664E-2</v>
      </c>
      <c r="N78" s="243">
        <f>IFERROR(VLOOKUP($B78,MMWR_TRAD_AGG_RO_PEN[],N$1,0),"ERROR")</f>
        <v>91</v>
      </c>
      <c r="O78" s="243">
        <f>IFERROR(VLOOKUP($B78,MMWR_TRAD_AGG_RO_PEN[],O$1,0),"ERROR")</f>
        <v>39</v>
      </c>
      <c r="P78" s="225">
        <f>IFERROR(O78/N78,"0%")</f>
        <v>0.42857142857142855</v>
      </c>
      <c r="Q78" s="243">
        <f>IFERROR(VLOOKUP($B78,MMWR_TRAD_AGG_RO_PEN[],Q$1,0),"ERROR")</f>
        <v>4530</v>
      </c>
      <c r="R78" s="243">
        <f>IFERROR(VLOOKUP($B78,MMWR_TRAD_AGG_RO_PEN[],R$1,0),"ERROR")</f>
        <v>1022</v>
      </c>
      <c r="S78" s="245">
        <f>IFERROR(VLOOKUP($B78,MMWR_APP_RO[],S$1,0),"ERROR")</f>
        <v>908</v>
      </c>
      <c r="T78" s="28"/>
    </row>
    <row r="79" spans="1:20" x14ac:dyDescent="0.2">
      <c r="A79" s="92"/>
      <c r="B79" s="101" t="s">
        <v>230</v>
      </c>
      <c r="C79" s="220">
        <f>IFERROR(VLOOKUP($B79,MMWR_TRAD_AGG_RO_PEN[],C$1,0),"ERROR")</f>
        <v>0</v>
      </c>
      <c r="D79" s="191">
        <f>IFERROR(VLOOKUP($B79,MMWR_TRAD_AGG_RO_PEN[],D$1,0),"ERROR")</f>
        <v>0</v>
      </c>
      <c r="E79" s="220">
        <f>IFERROR(VLOOKUP($B79,MMWR_TRAD_AGG_RO_PEN[],E$1,0),"ERROR")</f>
        <v>241</v>
      </c>
      <c r="F79" s="220">
        <f>IFERROR(VLOOKUP($B79,MMWR_TRAD_AGG_RO_PEN[],F$1,0),"ERROR")</f>
        <v>90</v>
      </c>
      <c r="G79" s="216">
        <f>IFERROR(F79/E79,"0%")</f>
        <v>0.37344398340248963</v>
      </c>
      <c r="H79" s="220">
        <f>IFERROR(VLOOKUP($B79,MMWR_TRAD_AGG_RO_PEN[],H$1,0),"ERROR")</f>
        <v>863</v>
      </c>
      <c r="I79" s="220">
        <f>IFERROR(VLOOKUP($B79,MMWR_TRAD_AGG_RO_PEN[],I$1,0),"ERROR")</f>
        <v>702</v>
      </c>
      <c r="J79" s="216">
        <f>IFERROR(I79/H79,"0%")</f>
        <v>0.81344148319814602</v>
      </c>
      <c r="K79" s="220">
        <f>IFERROR(VLOOKUP($B79,MMWR_TRAD_AGG_RO_PEN[],K$1,0),"ERROR")</f>
        <v>275</v>
      </c>
      <c r="L79" s="220">
        <f>IFERROR(VLOOKUP($B79,MMWR_TRAD_AGG_RO_PEN[],L$1,0),"ERROR")</f>
        <v>267</v>
      </c>
      <c r="M79" s="216">
        <f>IFERROR(L79/K79,"0%")</f>
        <v>0.97090909090909094</v>
      </c>
      <c r="N79" s="220">
        <f>IFERROR(VLOOKUP($B79,MMWR_TRAD_AGG_RO_PEN[],N$1,0),"ERROR")</f>
        <v>297</v>
      </c>
      <c r="O79" s="220">
        <f>IFERROR(VLOOKUP($B79,MMWR_TRAD_AGG_RO_PEN[],O$1,0),"ERROR")</f>
        <v>242</v>
      </c>
      <c r="P79" s="216">
        <f>IFERROR(O79/N79,"0%")</f>
        <v>0.81481481481481477</v>
      </c>
      <c r="Q79" s="220">
        <f>IFERROR(VLOOKUP($B79,MMWR_TRAD_AGG_RO_PEN[],Q$1,0),"ERROR")</f>
        <v>112</v>
      </c>
      <c r="R79" s="246">
        <f>IFERROR(VLOOKUP($B79,MMWR_TRAD_AGG_RO_PEN[],R$1,0),"ERROR")</f>
        <v>0</v>
      </c>
      <c r="S79" s="246"/>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3" t="str">
        <f>UPPER("INVENTORY BY STATE "&amp;Transformation!B4)</f>
        <v>INVENTORY BY STATE AS OF: SEPTEMBER 19, 2015</v>
      </c>
      <c r="D2" s="454"/>
      <c r="E2" s="454"/>
      <c r="F2" s="454"/>
      <c r="G2" s="454"/>
      <c r="H2" s="454"/>
      <c r="I2" s="454"/>
      <c r="J2" s="454"/>
      <c r="K2" s="454"/>
      <c r="L2" s="454"/>
      <c r="M2" s="454"/>
      <c r="N2" s="454"/>
      <c r="O2" s="454"/>
      <c r="P2" s="454"/>
      <c r="Q2" s="454"/>
      <c r="R2" s="454"/>
      <c r="S2" s="455"/>
      <c r="T2" s="28"/>
    </row>
    <row r="3" spans="1:20" s="123" customFormat="1" x14ac:dyDescent="0.2">
      <c r="A3" s="25"/>
      <c r="B3" s="26"/>
      <c r="C3" s="461" t="s">
        <v>231</v>
      </c>
      <c r="D3" s="461"/>
      <c r="E3" s="458" t="s">
        <v>211</v>
      </c>
      <c r="F3" s="459"/>
      <c r="G3" s="460"/>
      <c r="H3" s="458" t="s">
        <v>7</v>
      </c>
      <c r="I3" s="459"/>
      <c r="J3" s="460"/>
      <c r="K3" s="458" t="s">
        <v>33</v>
      </c>
      <c r="L3" s="459"/>
      <c r="M3" s="460"/>
      <c r="N3" s="458" t="s">
        <v>8</v>
      </c>
      <c r="O3" s="459"/>
      <c r="P3" s="460"/>
      <c r="Q3" s="81" t="s">
        <v>9</v>
      </c>
      <c r="R3" s="82" t="s">
        <v>10</v>
      </c>
      <c r="S3" s="82" t="s">
        <v>11</v>
      </c>
      <c r="T3" s="28"/>
    </row>
    <row r="4" spans="1:20" s="123" customFormat="1"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496</v>
      </c>
      <c r="T4" s="28"/>
    </row>
    <row r="5" spans="1:20" s="123" customFormat="1" ht="26.25" x14ac:dyDescent="0.4">
      <c r="A5" s="25"/>
      <c r="B5" s="124"/>
      <c r="C5" s="453" t="s">
        <v>494</v>
      </c>
      <c r="D5" s="454"/>
      <c r="E5" s="454"/>
      <c r="F5" s="454"/>
      <c r="G5" s="454"/>
      <c r="H5" s="454"/>
      <c r="I5" s="454"/>
      <c r="J5" s="454"/>
      <c r="K5" s="454"/>
      <c r="L5" s="454"/>
      <c r="M5" s="454"/>
      <c r="N5" s="454"/>
      <c r="O5" s="454"/>
      <c r="P5" s="454"/>
      <c r="Q5" s="454"/>
      <c r="R5" s="454"/>
      <c r="S5" s="455"/>
      <c r="T5" s="28"/>
    </row>
    <row r="6" spans="1:20" s="123" customFormat="1" x14ac:dyDescent="0.2">
      <c r="A6" s="92"/>
      <c r="B6" s="125" t="s">
        <v>469</v>
      </c>
      <c r="C6" s="94">
        <f>IFERROR(VLOOKUP($B6,MMWR_TRAD_AGG_ST_DISTRICT_COMP[],C$1,0),"ERROR")</f>
        <v>347185</v>
      </c>
      <c r="D6" s="95">
        <f>IFERROR(VLOOKUP($B6,MMWR_TRAD_AGG_ST_DISTRICT_COMP[],D$1,0),"ERROR")</f>
        <v>373.86808761899999</v>
      </c>
      <c r="E6" s="96">
        <f>IFERROR(VLOOKUP($B6,MMWR_TRAD_AGG_ST_DISTRICT_COMP[],E$1,0),"ERROR")</f>
        <v>342116</v>
      </c>
      <c r="F6" s="97">
        <f>IFERROR(VLOOKUP($B6,MMWR_TRAD_AGG_ST_DISTRICT_COMP[],F$1,0),"ERROR")</f>
        <v>80520</v>
      </c>
      <c r="G6" s="98">
        <f t="shared" ref="G6:G37" si="0">IFERROR(F6/E6,"0%")</f>
        <v>0.23535876720176782</v>
      </c>
      <c r="H6" s="96">
        <f>IFERROR(VLOOKUP($B6,MMWR_TRAD_AGG_ST_DISTRICT_COMP[],H$1,0),"ERROR")</f>
        <v>495440</v>
      </c>
      <c r="I6" s="97">
        <f>IFERROR(VLOOKUP($B6,MMWR_TRAD_AGG_ST_DISTRICT_COMP[],I$1,0),"ERROR")</f>
        <v>299659</v>
      </c>
      <c r="J6" s="99">
        <f t="shared" ref="J6:J37" si="1">IFERROR(I6/H6,"0%")</f>
        <v>0.60483408687227513</v>
      </c>
      <c r="K6" s="96">
        <f>IFERROR(VLOOKUP($B6,MMWR_TRAD_AGG_ST_DISTRICT_COMP[],K$1,0),"ERROR")</f>
        <v>84678</v>
      </c>
      <c r="L6" s="97">
        <f>IFERROR(VLOOKUP($B6,MMWR_TRAD_AGG_ST_DISTRICT_COMP[],L$1,0),"ERROR")</f>
        <v>65652</v>
      </c>
      <c r="M6" s="99">
        <f t="shared" ref="M6:M37" si="2">IFERROR(L6/K6,"0%")</f>
        <v>0.77531354070714942</v>
      </c>
      <c r="N6" s="96">
        <f>IFERROR(VLOOKUP($B6,MMWR_TRAD_AGG_ST_DISTRICT_COMP[],N$1,0),"ERROR")</f>
        <v>158697</v>
      </c>
      <c r="O6" s="97">
        <f>IFERROR(VLOOKUP($B6,MMWR_TRAD_AGG_ST_DISTRICT_COMP[],O$1,0),"ERROR")</f>
        <v>98552</v>
      </c>
      <c r="P6" s="99">
        <f t="shared" ref="P6:P37" si="3">IFERROR(O6/N6,"0%")</f>
        <v>0.62100732843090922</v>
      </c>
      <c r="Q6" s="100">
        <f>IFERROR(VLOOKUP($B6,MMWR_TRAD_AGG_ST_DISTRICT_COMP[],Q$1,0),"ERROR")</f>
        <v>9995</v>
      </c>
      <c r="R6" s="100">
        <f>IFERROR(VLOOKUP($B6,MMWR_TRAD_AGG_ST_DISTRICT_COMP[],R$1,0),"ERROR")</f>
        <v>4438</v>
      </c>
      <c r="S6" s="100">
        <f>S7+S23+S36+S46+S56+S64</f>
        <v>305951</v>
      </c>
      <c r="T6" s="28"/>
    </row>
    <row r="7" spans="1:20" s="123" customFormat="1" x14ac:dyDescent="0.2">
      <c r="A7" s="92"/>
      <c r="B7" s="126" t="s">
        <v>377</v>
      </c>
      <c r="C7" s="102">
        <f>IF(SUM(C8:C22)&lt;&gt;VLOOKUP($B7,MMWR_TRAD_AGG_ST_DISTRICT_COMP[],C$1,0),"ERROR",
VLOOKUP($B7,MMWR_TRAD_AGG_ST_DISTRICT_COMP[],C$1,0))</f>
        <v>74120</v>
      </c>
      <c r="D7" s="103">
        <f>IFERROR(VLOOKUP($B7,MMWR_TRAD_AGG_ST_DISTRICT_COMP[],D$1,0),"ERROR")</f>
        <v>402.45029681599999</v>
      </c>
      <c r="E7" s="102">
        <f>IF(SUM(E8:E22)&lt;&gt;VLOOKUP($B7,MMWR_TRAD_AGG_ST_DISTRICT_COMP[],E$1,0),"ERROR",
VLOOKUP($B7,MMWR_TRAD_AGG_ST_DISTRICT_COMP[],E$1,0))</f>
        <v>74173</v>
      </c>
      <c r="F7" s="102">
        <f>IFERROR(VLOOKUP($B7,MMWR_TRAD_AGG_ST_DISTRICT_COMP[],F$1,0),"ERROR")</f>
        <v>17809</v>
      </c>
      <c r="G7" s="104">
        <f t="shared" si="0"/>
        <v>0.2401008453210737</v>
      </c>
      <c r="H7" s="102">
        <f>IF(SUM(H8:H22)&lt;&gt;VLOOKUP($B7,MMWR_TRAD_AGG_ST_DISTRICT_COMP[],H$1,0),"ERROR",
VLOOKUP($B7,MMWR_TRAD_AGG_ST_DISTRICT_COMP[],H$1,0))</f>
        <v>104457</v>
      </c>
      <c r="I7" s="102">
        <f>IF(SUM(I8:I22)&lt;&gt;VLOOKUP($B7,MMWR_TRAD_AGG_ST_DISTRICT_COMP[],I$1,0),"ERROR",
VLOOKUP($B7,MMWR_TRAD_AGG_ST_DISTRICT_COMP[],I$1,0))</f>
        <v>63475</v>
      </c>
      <c r="J7" s="105">
        <f t="shared" si="1"/>
        <v>0.60766631245392844</v>
      </c>
      <c r="K7" s="102">
        <f>IF(SUM(K8:K22)&lt;&gt;VLOOKUP($B7,MMWR_TRAD_AGG_ST_DISTRICT_COMP[],K$1,0),"ERROR",
VLOOKUP($B7,MMWR_TRAD_AGG_ST_DISTRICT_COMP[],K$1,0))</f>
        <v>20629</v>
      </c>
      <c r="L7" s="102">
        <f>IF(SUM(L8:L22)&lt;&gt;VLOOKUP($B7,MMWR_TRAD_AGG_ST_DISTRICT_COMP[],L$1,0),"ERROR",
VLOOKUP($B7,MMWR_TRAD_AGG_ST_DISTRICT_COMP[],L$1,0))</f>
        <v>15718</v>
      </c>
      <c r="M7" s="105">
        <f t="shared" si="2"/>
        <v>0.76193707886955253</v>
      </c>
      <c r="N7" s="102">
        <f>IF(SUM(N8:N22)&lt;&gt;VLOOKUP($B7,MMWR_TRAD_AGG_ST_DISTRICT_COMP[],N$1,0),"ERROR",
VLOOKUP($B7,MMWR_TRAD_AGG_ST_DISTRICT_COMP[],N$1,0))</f>
        <v>34215</v>
      </c>
      <c r="O7" s="102">
        <f>IF(SUM(O8:O22)&lt;&gt;VLOOKUP($B7,MMWR_TRAD_AGG_ST_DISTRICT_COMP[],O$1,0),"ERROR",
VLOOKUP($B7,MMWR_TRAD_AGG_ST_DISTRICT_COMP[],O$1,0))</f>
        <v>22148</v>
      </c>
      <c r="P7" s="105">
        <f t="shared" si="3"/>
        <v>0.64731842759023817</v>
      </c>
      <c r="Q7" s="102">
        <f>IF(SUM(Q8:Q22)&lt;&gt;VLOOKUP($B7,MMWR_TRAD_AGG_ST_DISTRICT_COMP[],Q$1,0),"ERROR",
VLOOKUP($B7,MMWR_TRAD_AGG_ST_DISTRICT_COMP[],Q$1,0))</f>
        <v>6261</v>
      </c>
      <c r="R7" s="106">
        <f>IFERROR(VLOOKUP($B7,MMWR_TRAD_AGG_ST_DISTRICT_COMP[],R$1,0),"ERROR")</f>
        <v>159</v>
      </c>
      <c r="S7" s="106">
        <f>SUM(S8:S22)</f>
        <v>55732</v>
      </c>
      <c r="T7" s="28"/>
    </row>
    <row r="8" spans="1:20" s="123" customFormat="1" x14ac:dyDescent="0.2">
      <c r="A8" s="107"/>
      <c r="B8" s="127" t="s">
        <v>381</v>
      </c>
      <c r="C8" s="109">
        <f>IFERROR(VLOOKUP($B8,MMWR_TRAD_AGG_STATE_COMP[],C$1,0),"ERROR")</f>
        <v>1817</v>
      </c>
      <c r="D8" s="110">
        <f>IFERROR(VLOOKUP($B8,MMWR_TRAD_AGG_STATE_COMP[],D$1,0),"ERROR")</f>
        <v>268.417721519</v>
      </c>
      <c r="E8" s="111">
        <f>IFERROR(VLOOKUP($B8,MMWR_TRAD_AGG_STATE_COMP[],E$1,0),"ERROR")</f>
        <v>1826</v>
      </c>
      <c r="F8" s="112">
        <f>IFERROR(VLOOKUP($B8,MMWR_TRAD_AGG_STATE_COMP[],F$1,0),"ERROR")</f>
        <v>384</v>
      </c>
      <c r="G8" s="113">
        <f t="shared" si="0"/>
        <v>0.21029572836801752</v>
      </c>
      <c r="H8" s="111">
        <f>IFERROR(VLOOKUP($B8,MMWR_TRAD_AGG_STATE_COMP[],H$1,0),"ERROR")</f>
        <v>3537</v>
      </c>
      <c r="I8" s="112">
        <f>IFERROR(VLOOKUP($B8,MMWR_TRAD_AGG_STATE_COMP[],I$1,0),"ERROR")</f>
        <v>1721</v>
      </c>
      <c r="J8" s="114">
        <f t="shared" si="1"/>
        <v>0.48657054000565453</v>
      </c>
      <c r="K8" s="111">
        <f>IFERROR(VLOOKUP($B8,MMWR_TRAD_AGG_STATE_COMP[],K$1,0),"ERROR")</f>
        <v>397</v>
      </c>
      <c r="L8" s="112">
        <f>IFERROR(VLOOKUP($B8,MMWR_TRAD_AGG_STATE_COMP[],L$1,0),"ERROR")</f>
        <v>282</v>
      </c>
      <c r="M8" s="114">
        <f t="shared" si="2"/>
        <v>0.7103274559193955</v>
      </c>
      <c r="N8" s="111">
        <f>IFERROR(VLOOKUP($B8,MMWR_TRAD_AGG_STATE_COMP[],N$1,0),"ERROR")</f>
        <v>813</v>
      </c>
      <c r="O8" s="112">
        <f>IFERROR(VLOOKUP($B8,MMWR_TRAD_AGG_STATE_COMP[],O$1,0),"ERROR")</f>
        <v>504</v>
      </c>
      <c r="P8" s="114">
        <f t="shared" si="3"/>
        <v>0.61992619926199266</v>
      </c>
      <c r="Q8" s="115">
        <f>IFERROR(VLOOKUP($B8,MMWR_TRAD_AGG_STATE_COMP[],Q$1,0),"ERROR")</f>
        <v>228</v>
      </c>
      <c r="R8" s="115">
        <f>IFERROR(VLOOKUP($B8,MMWR_TRAD_AGG_STATE_COMP[],R$1,0),"ERROR")</f>
        <v>3</v>
      </c>
      <c r="S8" s="115">
        <f>IFERROR(VLOOKUP($B8,MMWR_APP_STATE_COMP[],S$1,0),"ERROR")</f>
        <v>944</v>
      </c>
      <c r="T8" s="28"/>
    </row>
    <row r="9" spans="1:20" s="123" customFormat="1" x14ac:dyDescent="0.2">
      <c r="A9" s="107"/>
      <c r="B9" s="127" t="s">
        <v>431</v>
      </c>
      <c r="C9" s="109">
        <f>IFERROR(VLOOKUP($B9,MMWR_TRAD_AGG_STATE_COMP[],C$1,0),"ERROR")</f>
        <v>1054</v>
      </c>
      <c r="D9" s="110">
        <f>IFERROR(VLOOKUP($B9,MMWR_TRAD_AGG_STATE_COMP[],D$1,0),"ERROR")</f>
        <v>358.1328273245</v>
      </c>
      <c r="E9" s="111">
        <f>IFERROR(VLOOKUP($B9,MMWR_TRAD_AGG_STATE_COMP[],E$1,0),"ERROR")</f>
        <v>974</v>
      </c>
      <c r="F9" s="112">
        <f>IFERROR(VLOOKUP($B9,MMWR_TRAD_AGG_STATE_COMP[],F$1,0),"ERROR")</f>
        <v>270</v>
      </c>
      <c r="G9" s="113">
        <f t="shared" si="0"/>
        <v>0.27720739219712526</v>
      </c>
      <c r="H9" s="111">
        <f>IFERROR(VLOOKUP($B9,MMWR_TRAD_AGG_STATE_COMP[],H$1,0),"ERROR")</f>
        <v>1269</v>
      </c>
      <c r="I9" s="112">
        <f>IFERROR(VLOOKUP($B9,MMWR_TRAD_AGG_STATE_COMP[],I$1,0),"ERROR")</f>
        <v>697</v>
      </c>
      <c r="J9" s="114">
        <f t="shared" si="1"/>
        <v>0.5492513790386131</v>
      </c>
      <c r="K9" s="111">
        <f>IFERROR(VLOOKUP($B9,MMWR_TRAD_AGG_STATE_COMP[],K$1,0),"ERROR")</f>
        <v>66</v>
      </c>
      <c r="L9" s="112">
        <f>IFERROR(VLOOKUP($B9,MMWR_TRAD_AGG_STATE_COMP[],L$1,0),"ERROR")</f>
        <v>50</v>
      </c>
      <c r="M9" s="114">
        <f t="shared" si="2"/>
        <v>0.75757575757575757</v>
      </c>
      <c r="N9" s="111">
        <f>IFERROR(VLOOKUP($B9,MMWR_TRAD_AGG_STATE_COMP[],N$1,0),"ERROR")</f>
        <v>398</v>
      </c>
      <c r="O9" s="112">
        <f>IFERROR(VLOOKUP($B9,MMWR_TRAD_AGG_STATE_COMP[],O$1,0),"ERROR")</f>
        <v>195</v>
      </c>
      <c r="P9" s="114">
        <f t="shared" si="3"/>
        <v>0.4899497487437186</v>
      </c>
      <c r="Q9" s="115">
        <f>IFERROR(VLOOKUP($B9,MMWR_TRAD_AGG_STATE_COMP[],Q$1,0),"ERROR")</f>
        <v>51</v>
      </c>
      <c r="R9" s="115">
        <f>IFERROR(VLOOKUP($B9,MMWR_TRAD_AGG_STATE_COMP[],R$1,0),"ERROR")</f>
        <v>1</v>
      </c>
      <c r="S9" s="115">
        <f>IFERROR(VLOOKUP($B9,MMWR_APP_STATE_COMP[],S$1,0),"ERROR")</f>
        <v>496</v>
      </c>
      <c r="T9" s="28"/>
    </row>
    <row r="10" spans="1:20" s="123" customFormat="1" x14ac:dyDescent="0.2">
      <c r="A10" s="107"/>
      <c r="B10" s="127" t="s">
        <v>422</v>
      </c>
      <c r="C10" s="109">
        <f>IFERROR(VLOOKUP($B10,MMWR_TRAD_AGG_STATE_COMP[],C$1,0),"ERROR")</f>
        <v>520</v>
      </c>
      <c r="D10" s="110">
        <f>IFERROR(VLOOKUP($B10,MMWR_TRAD_AGG_STATE_COMP[],D$1,0),"ERROR")</f>
        <v>486.15769230770002</v>
      </c>
      <c r="E10" s="111">
        <f>IFERROR(VLOOKUP($B10,MMWR_TRAD_AGG_STATE_COMP[],E$1,0),"ERROR")</f>
        <v>476</v>
      </c>
      <c r="F10" s="112">
        <f>IFERROR(VLOOKUP($B10,MMWR_TRAD_AGG_STATE_COMP[],F$1,0),"ERROR")</f>
        <v>128</v>
      </c>
      <c r="G10" s="113">
        <f t="shared" si="0"/>
        <v>0.26890756302521007</v>
      </c>
      <c r="H10" s="111">
        <f>IFERROR(VLOOKUP($B10,MMWR_TRAD_AGG_STATE_COMP[],H$1,0),"ERROR")</f>
        <v>709</v>
      </c>
      <c r="I10" s="112">
        <f>IFERROR(VLOOKUP($B10,MMWR_TRAD_AGG_STATE_COMP[],I$1,0),"ERROR")</f>
        <v>473</v>
      </c>
      <c r="J10" s="114">
        <f t="shared" si="1"/>
        <v>0.66713681241184764</v>
      </c>
      <c r="K10" s="111">
        <f>IFERROR(VLOOKUP($B10,MMWR_TRAD_AGG_STATE_COMP[],K$1,0),"ERROR")</f>
        <v>134</v>
      </c>
      <c r="L10" s="112">
        <f>IFERROR(VLOOKUP($B10,MMWR_TRAD_AGG_STATE_COMP[],L$1,0),"ERROR")</f>
        <v>110</v>
      </c>
      <c r="M10" s="114">
        <f t="shared" si="2"/>
        <v>0.82089552238805974</v>
      </c>
      <c r="N10" s="111">
        <f>IFERROR(VLOOKUP($B10,MMWR_TRAD_AGG_STATE_COMP[],N$1,0),"ERROR")</f>
        <v>323</v>
      </c>
      <c r="O10" s="112">
        <f>IFERROR(VLOOKUP($B10,MMWR_TRAD_AGG_STATE_COMP[],O$1,0),"ERROR")</f>
        <v>235</v>
      </c>
      <c r="P10" s="114">
        <f t="shared" si="3"/>
        <v>0.72755417956656343</v>
      </c>
      <c r="Q10" s="115">
        <f>IFERROR(VLOOKUP($B10,MMWR_TRAD_AGG_STATE_COMP[],Q$1,0),"ERROR")</f>
        <v>20</v>
      </c>
      <c r="R10" s="115">
        <f>IFERROR(VLOOKUP($B10,MMWR_TRAD_AGG_STATE_COMP[],R$1,0),"ERROR")</f>
        <v>1</v>
      </c>
      <c r="S10" s="115">
        <f>IFERROR(VLOOKUP($B10,MMWR_APP_STATE_COMP[],S$1,0),"ERROR")</f>
        <v>577</v>
      </c>
      <c r="T10" s="28"/>
    </row>
    <row r="11" spans="1:20" s="123" customFormat="1" x14ac:dyDescent="0.2">
      <c r="A11" s="107"/>
      <c r="B11" s="127" t="s">
        <v>424</v>
      </c>
      <c r="C11" s="109">
        <f>IFERROR(VLOOKUP($B11,MMWR_TRAD_AGG_STATE_COMP[],C$1,0),"ERROR")</f>
        <v>1533</v>
      </c>
      <c r="D11" s="110">
        <f>IFERROR(VLOOKUP($B11,MMWR_TRAD_AGG_STATE_COMP[],D$1,0),"ERROR")</f>
        <v>270.93933463799999</v>
      </c>
      <c r="E11" s="111">
        <f>IFERROR(VLOOKUP($B11,MMWR_TRAD_AGG_STATE_COMP[],E$1,0),"ERROR")</f>
        <v>1239</v>
      </c>
      <c r="F11" s="112">
        <f>IFERROR(VLOOKUP($B11,MMWR_TRAD_AGG_STATE_COMP[],F$1,0),"ERROR")</f>
        <v>168</v>
      </c>
      <c r="G11" s="113">
        <f t="shared" si="0"/>
        <v>0.13559322033898305</v>
      </c>
      <c r="H11" s="111">
        <f>IFERROR(VLOOKUP($B11,MMWR_TRAD_AGG_STATE_COMP[],H$1,0),"ERROR")</f>
        <v>2180</v>
      </c>
      <c r="I11" s="112">
        <f>IFERROR(VLOOKUP($B11,MMWR_TRAD_AGG_STATE_COMP[],I$1,0),"ERROR")</f>
        <v>1022</v>
      </c>
      <c r="J11" s="114">
        <f t="shared" si="1"/>
        <v>0.46880733944954128</v>
      </c>
      <c r="K11" s="111">
        <f>IFERROR(VLOOKUP($B11,MMWR_TRAD_AGG_STATE_COMP[],K$1,0),"ERROR")</f>
        <v>929</v>
      </c>
      <c r="L11" s="112">
        <f>IFERROR(VLOOKUP($B11,MMWR_TRAD_AGG_STATE_COMP[],L$1,0),"ERROR")</f>
        <v>530</v>
      </c>
      <c r="M11" s="114">
        <f t="shared" si="2"/>
        <v>0.57050592034445635</v>
      </c>
      <c r="N11" s="111">
        <f>IFERROR(VLOOKUP($B11,MMWR_TRAD_AGG_STATE_COMP[],N$1,0),"ERROR")</f>
        <v>298</v>
      </c>
      <c r="O11" s="112">
        <f>IFERROR(VLOOKUP($B11,MMWR_TRAD_AGG_STATE_COMP[],O$1,0),"ERROR")</f>
        <v>164</v>
      </c>
      <c r="P11" s="114">
        <f t="shared" si="3"/>
        <v>0.55033557046979864</v>
      </c>
      <c r="Q11" s="115">
        <f>IFERROR(VLOOKUP($B11,MMWR_TRAD_AGG_STATE_COMP[],Q$1,0),"ERROR")</f>
        <v>257</v>
      </c>
      <c r="R11" s="115">
        <f>IFERROR(VLOOKUP($B11,MMWR_TRAD_AGG_STATE_COMP[],R$1,0),"ERROR")</f>
        <v>2</v>
      </c>
      <c r="S11" s="115">
        <f>IFERROR(VLOOKUP($B11,MMWR_APP_STATE_COMP[],S$1,0),"ERROR")</f>
        <v>437</v>
      </c>
      <c r="T11" s="28"/>
    </row>
    <row r="12" spans="1:20" s="123" customFormat="1" x14ac:dyDescent="0.2">
      <c r="A12" s="107"/>
      <c r="B12" s="127" t="s">
        <v>384</v>
      </c>
      <c r="C12" s="109">
        <f>IFERROR(VLOOKUP($B12,MMWR_TRAD_AGG_STATE_COMP[],C$1,0),"ERROR")</f>
        <v>8953</v>
      </c>
      <c r="D12" s="110">
        <f>IFERROR(VLOOKUP($B12,MMWR_TRAD_AGG_STATE_COMP[],D$1,0),"ERROR")</f>
        <v>588.27063554120002</v>
      </c>
      <c r="E12" s="111">
        <f>IFERROR(VLOOKUP($B12,MMWR_TRAD_AGG_STATE_COMP[],E$1,0),"ERROR")</f>
        <v>5844</v>
      </c>
      <c r="F12" s="112">
        <f>IFERROR(VLOOKUP($B12,MMWR_TRAD_AGG_STATE_COMP[],F$1,0),"ERROR")</f>
        <v>1225</v>
      </c>
      <c r="G12" s="113">
        <f t="shared" si="0"/>
        <v>0.2096167008898015</v>
      </c>
      <c r="H12" s="111">
        <f>IFERROR(VLOOKUP($B12,MMWR_TRAD_AGG_STATE_COMP[],H$1,0),"ERROR")</f>
        <v>11090</v>
      </c>
      <c r="I12" s="112">
        <f>IFERROR(VLOOKUP($B12,MMWR_TRAD_AGG_STATE_COMP[],I$1,0),"ERROR")</f>
        <v>8205</v>
      </c>
      <c r="J12" s="114">
        <f t="shared" si="1"/>
        <v>0.73985572587917048</v>
      </c>
      <c r="K12" s="111">
        <f>IFERROR(VLOOKUP($B12,MMWR_TRAD_AGG_STATE_COMP[],K$1,0),"ERROR")</f>
        <v>1207</v>
      </c>
      <c r="L12" s="112">
        <f>IFERROR(VLOOKUP($B12,MMWR_TRAD_AGG_STATE_COMP[],L$1,0),"ERROR")</f>
        <v>1008</v>
      </c>
      <c r="M12" s="114">
        <f t="shared" si="2"/>
        <v>0.83512841756420875</v>
      </c>
      <c r="N12" s="111">
        <f>IFERROR(VLOOKUP($B12,MMWR_TRAD_AGG_STATE_COMP[],N$1,0),"ERROR")</f>
        <v>6337</v>
      </c>
      <c r="O12" s="112">
        <f>IFERROR(VLOOKUP($B12,MMWR_TRAD_AGG_STATE_COMP[],O$1,0),"ERROR")</f>
        <v>5204</v>
      </c>
      <c r="P12" s="114">
        <f t="shared" si="3"/>
        <v>0.82120877386776081</v>
      </c>
      <c r="Q12" s="115">
        <f>IFERROR(VLOOKUP($B12,MMWR_TRAD_AGG_STATE_COMP[],Q$1,0),"ERROR")</f>
        <v>339</v>
      </c>
      <c r="R12" s="115">
        <f>IFERROR(VLOOKUP($B12,MMWR_TRAD_AGG_STATE_COMP[],R$1,0),"ERROR")</f>
        <v>8</v>
      </c>
      <c r="S12" s="115">
        <f>IFERROR(VLOOKUP($B12,MMWR_APP_STATE_COMP[],S$1,0),"ERROR")</f>
        <v>5369</v>
      </c>
      <c r="T12" s="28"/>
    </row>
    <row r="13" spans="1:20" s="123" customFormat="1" x14ac:dyDescent="0.2">
      <c r="A13" s="107"/>
      <c r="B13" s="127" t="s">
        <v>379</v>
      </c>
      <c r="C13" s="109">
        <f>IFERROR(VLOOKUP($B13,MMWR_TRAD_AGG_STATE_COMP[],C$1,0),"ERROR")</f>
        <v>4945</v>
      </c>
      <c r="D13" s="110">
        <f>IFERROR(VLOOKUP($B13,MMWR_TRAD_AGG_STATE_COMP[],D$1,0),"ERROR")</f>
        <v>498.06370070780002</v>
      </c>
      <c r="E13" s="111">
        <f>IFERROR(VLOOKUP($B13,MMWR_TRAD_AGG_STATE_COMP[],E$1,0),"ERROR")</f>
        <v>4488</v>
      </c>
      <c r="F13" s="112">
        <f>IFERROR(VLOOKUP($B13,MMWR_TRAD_AGG_STATE_COMP[],F$1,0),"ERROR")</f>
        <v>1161</v>
      </c>
      <c r="G13" s="113">
        <f t="shared" si="0"/>
        <v>0.25868983957219249</v>
      </c>
      <c r="H13" s="111">
        <f>IFERROR(VLOOKUP($B13,MMWR_TRAD_AGG_STATE_COMP[],H$1,0),"ERROR")</f>
        <v>7774</v>
      </c>
      <c r="I13" s="112">
        <f>IFERROR(VLOOKUP($B13,MMWR_TRAD_AGG_STATE_COMP[],I$1,0),"ERROR")</f>
        <v>4885</v>
      </c>
      <c r="J13" s="114">
        <f t="shared" si="1"/>
        <v>0.62837664008232574</v>
      </c>
      <c r="K13" s="111">
        <f>IFERROR(VLOOKUP($B13,MMWR_TRAD_AGG_STATE_COMP[],K$1,0),"ERROR")</f>
        <v>2738</v>
      </c>
      <c r="L13" s="112">
        <f>IFERROR(VLOOKUP($B13,MMWR_TRAD_AGG_STATE_COMP[],L$1,0),"ERROR")</f>
        <v>1864</v>
      </c>
      <c r="M13" s="114">
        <f t="shared" si="2"/>
        <v>0.68078889700511325</v>
      </c>
      <c r="N13" s="111">
        <f>IFERROR(VLOOKUP($B13,MMWR_TRAD_AGG_STATE_COMP[],N$1,0),"ERROR")</f>
        <v>1288</v>
      </c>
      <c r="O13" s="112">
        <f>IFERROR(VLOOKUP($B13,MMWR_TRAD_AGG_STATE_COMP[],O$1,0),"ERROR")</f>
        <v>992</v>
      </c>
      <c r="P13" s="114">
        <f t="shared" si="3"/>
        <v>0.77018633540372672</v>
      </c>
      <c r="Q13" s="115">
        <f>IFERROR(VLOOKUP($B13,MMWR_TRAD_AGG_STATE_COMP[],Q$1,0),"ERROR")</f>
        <v>529</v>
      </c>
      <c r="R13" s="115">
        <f>IFERROR(VLOOKUP($B13,MMWR_TRAD_AGG_STATE_COMP[],R$1,0),"ERROR")</f>
        <v>13</v>
      </c>
      <c r="S13" s="115">
        <f>IFERROR(VLOOKUP($B13,MMWR_APP_STATE_COMP[],S$1,0),"ERROR")</f>
        <v>3495</v>
      </c>
      <c r="T13" s="28"/>
    </row>
    <row r="14" spans="1:20" s="123" customFormat="1" x14ac:dyDescent="0.2">
      <c r="A14" s="107"/>
      <c r="B14" s="127" t="s">
        <v>423</v>
      </c>
      <c r="C14" s="109">
        <f>IFERROR(VLOOKUP($B14,MMWR_TRAD_AGG_STATE_COMP[],C$1,0),"ERROR")</f>
        <v>1792</v>
      </c>
      <c r="D14" s="110">
        <f>IFERROR(VLOOKUP($B14,MMWR_TRAD_AGG_STATE_COMP[],D$1,0),"ERROR")</f>
        <v>386.02008928570001</v>
      </c>
      <c r="E14" s="111">
        <f>IFERROR(VLOOKUP($B14,MMWR_TRAD_AGG_STATE_COMP[],E$1,0),"ERROR")</f>
        <v>1228</v>
      </c>
      <c r="F14" s="112">
        <f>IFERROR(VLOOKUP($B14,MMWR_TRAD_AGG_STATE_COMP[],F$1,0),"ERROR")</f>
        <v>264</v>
      </c>
      <c r="G14" s="113">
        <f t="shared" si="0"/>
        <v>0.21498371335504887</v>
      </c>
      <c r="H14" s="111">
        <f>IFERROR(VLOOKUP($B14,MMWR_TRAD_AGG_STATE_COMP[],H$1,0),"ERROR")</f>
        <v>2503</v>
      </c>
      <c r="I14" s="112">
        <f>IFERROR(VLOOKUP($B14,MMWR_TRAD_AGG_STATE_COMP[],I$1,0),"ERROR")</f>
        <v>1547</v>
      </c>
      <c r="J14" s="114">
        <f t="shared" si="1"/>
        <v>0.61805833000399524</v>
      </c>
      <c r="K14" s="111">
        <f>IFERROR(VLOOKUP($B14,MMWR_TRAD_AGG_STATE_COMP[],K$1,0),"ERROR")</f>
        <v>663</v>
      </c>
      <c r="L14" s="112">
        <f>IFERROR(VLOOKUP($B14,MMWR_TRAD_AGG_STATE_COMP[],L$1,0),"ERROR")</f>
        <v>506</v>
      </c>
      <c r="M14" s="114">
        <f t="shared" si="2"/>
        <v>0.76319758672699844</v>
      </c>
      <c r="N14" s="111">
        <f>IFERROR(VLOOKUP($B14,MMWR_TRAD_AGG_STATE_COMP[],N$1,0),"ERROR")</f>
        <v>172</v>
      </c>
      <c r="O14" s="112">
        <f>IFERROR(VLOOKUP($B14,MMWR_TRAD_AGG_STATE_COMP[],O$1,0),"ERROR")</f>
        <v>91</v>
      </c>
      <c r="P14" s="114">
        <f t="shared" si="3"/>
        <v>0.52906976744186052</v>
      </c>
      <c r="Q14" s="115">
        <f>IFERROR(VLOOKUP($B14,MMWR_TRAD_AGG_STATE_COMP[],Q$1,0),"ERROR")</f>
        <v>123</v>
      </c>
      <c r="R14" s="115">
        <f>IFERROR(VLOOKUP($B14,MMWR_TRAD_AGG_STATE_COMP[],R$1,0),"ERROR")</f>
        <v>3</v>
      </c>
      <c r="S14" s="115">
        <f>IFERROR(VLOOKUP($B14,MMWR_APP_STATE_COMP[],S$1,0),"ERROR")</f>
        <v>694</v>
      </c>
      <c r="T14" s="28"/>
    </row>
    <row r="15" spans="1:20" s="123" customFormat="1" x14ac:dyDescent="0.2">
      <c r="A15" s="107"/>
      <c r="B15" s="127" t="s">
        <v>382</v>
      </c>
      <c r="C15" s="109">
        <f>IFERROR(VLOOKUP($B15,MMWR_TRAD_AGG_STATE_COMP[],C$1,0),"ERROR")</f>
        <v>2657</v>
      </c>
      <c r="D15" s="110">
        <f>IFERROR(VLOOKUP($B15,MMWR_TRAD_AGG_STATE_COMP[],D$1,0),"ERROR")</f>
        <v>264.3406097102</v>
      </c>
      <c r="E15" s="111">
        <f>IFERROR(VLOOKUP($B15,MMWR_TRAD_AGG_STATE_COMP[],E$1,0),"ERROR")</f>
        <v>4118</v>
      </c>
      <c r="F15" s="112">
        <f>IFERROR(VLOOKUP($B15,MMWR_TRAD_AGG_STATE_COMP[],F$1,0),"ERROR")</f>
        <v>1022</v>
      </c>
      <c r="G15" s="113">
        <f t="shared" si="0"/>
        <v>0.24817872753763964</v>
      </c>
      <c r="H15" s="111">
        <f>IFERROR(VLOOKUP($B15,MMWR_TRAD_AGG_STATE_COMP[],H$1,0),"ERROR")</f>
        <v>4332</v>
      </c>
      <c r="I15" s="112">
        <f>IFERROR(VLOOKUP($B15,MMWR_TRAD_AGG_STATE_COMP[],I$1,0),"ERROR")</f>
        <v>1967</v>
      </c>
      <c r="J15" s="114">
        <f t="shared" si="1"/>
        <v>0.45406278855032317</v>
      </c>
      <c r="K15" s="111">
        <f>IFERROR(VLOOKUP($B15,MMWR_TRAD_AGG_STATE_COMP[],K$1,0),"ERROR")</f>
        <v>901</v>
      </c>
      <c r="L15" s="112">
        <f>IFERROR(VLOOKUP($B15,MMWR_TRAD_AGG_STATE_COMP[],L$1,0),"ERROR")</f>
        <v>403</v>
      </c>
      <c r="M15" s="114">
        <f t="shared" si="2"/>
        <v>0.44728079911209767</v>
      </c>
      <c r="N15" s="111">
        <f>IFERROR(VLOOKUP($B15,MMWR_TRAD_AGG_STATE_COMP[],N$1,0),"ERROR")</f>
        <v>2078</v>
      </c>
      <c r="O15" s="112">
        <f>IFERROR(VLOOKUP($B15,MMWR_TRAD_AGG_STATE_COMP[],O$1,0),"ERROR")</f>
        <v>1114</v>
      </c>
      <c r="P15" s="114">
        <f t="shared" si="3"/>
        <v>0.53609239653512997</v>
      </c>
      <c r="Q15" s="115">
        <f>IFERROR(VLOOKUP($B15,MMWR_TRAD_AGG_STATE_COMP[],Q$1,0),"ERROR")</f>
        <v>544</v>
      </c>
      <c r="R15" s="115">
        <f>IFERROR(VLOOKUP($B15,MMWR_TRAD_AGG_STATE_COMP[],R$1,0),"ERROR")</f>
        <v>4</v>
      </c>
      <c r="S15" s="115">
        <f>IFERROR(VLOOKUP($B15,MMWR_APP_STATE_COMP[],S$1,0),"ERROR")</f>
        <v>4096</v>
      </c>
      <c r="T15" s="28"/>
    </row>
    <row r="16" spans="1:20" s="123" customFormat="1" x14ac:dyDescent="0.2">
      <c r="A16" s="107"/>
      <c r="B16" s="127" t="s">
        <v>63</v>
      </c>
      <c r="C16" s="109">
        <f>IFERROR(VLOOKUP($B16,MMWR_TRAD_AGG_STATE_COMP[],C$1,0),"ERROR")</f>
        <v>5425</v>
      </c>
      <c r="D16" s="110">
        <f>IFERROR(VLOOKUP($B16,MMWR_TRAD_AGG_STATE_COMP[],D$1,0),"ERROR")</f>
        <v>268.79870967739998</v>
      </c>
      <c r="E16" s="111">
        <f>IFERROR(VLOOKUP($B16,MMWR_TRAD_AGG_STATE_COMP[],E$1,0),"ERROR")</f>
        <v>9378</v>
      </c>
      <c r="F16" s="112">
        <f>IFERROR(VLOOKUP($B16,MMWR_TRAD_AGG_STATE_COMP[],F$1,0),"ERROR")</f>
        <v>2076</v>
      </c>
      <c r="G16" s="113">
        <f t="shared" si="0"/>
        <v>0.22136916186820219</v>
      </c>
      <c r="H16" s="111">
        <f>IFERROR(VLOOKUP($B16,MMWR_TRAD_AGG_STATE_COMP[],H$1,0),"ERROR")</f>
        <v>8604</v>
      </c>
      <c r="I16" s="112">
        <f>IFERROR(VLOOKUP($B16,MMWR_TRAD_AGG_STATE_COMP[],I$1,0),"ERROR")</f>
        <v>4186</v>
      </c>
      <c r="J16" s="114">
        <f t="shared" si="1"/>
        <v>0.48651789865178985</v>
      </c>
      <c r="K16" s="111">
        <f>IFERROR(VLOOKUP($B16,MMWR_TRAD_AGG_STATE_COMP[],K$1,0),"ERROR")</f>
        <v>1996</v>
      </c>
      <c r="L16" s="112">
        <f>IFERROR(VLOOKUP($B16,MMWR_TRAD_AGG_STATE_COMP[],L$1,0),"ERROR")</f>
        <v>1274</v>
      </c>
      <c r="M16" s="114">
        <f t="shared" si="2"/>
        <v>0.63827655310621245</v>
      </c>
      <c r="N16" s="111">
        <f>IFERROR(VLOOKUP($B16,MMWR_TRAD_AGG_STATE_COMP[],N$1,0),"ERROR")</f>
        <v>1624</v>
      </c>
      <c r="O16" s="112">
        <f>IFERROR(VLOOKUP($B16,MMWR_TRAD_AGG_STATE_COMP[],O$1,0),"ERROR")</f>
        <v>819</v>
      </c>
      <c r="P16" s="114">
        <f t="shared" si="3"/>
        <v>0.50431034482758619</v>
      </c>
      <c r="Q16" s="115">
        <f>IFERROR(VLOOKUP($B16,MMWR_TRAD_AGG_STATE_COMP[],Q$1,0),"ERROR")</f>
        <v>1100</v>
      </c>
      <c r="R16" s="115">
        <f>IFERROR(VLOOKUP($B16,MMWR_TRAD_AGG_STATE_COMP[],R$1,0),"ERROR")</f>
        <v>18</v>
      </c>
      <c r="S16" s="115">
        <f>IFERROR(VLOOKUP($B16,MMWR_APP_STATE_COMP[],S$1,0),"ERROR")</f>
        <v>5500</v>
      </c>
      <c r="T16" s="28"/>
    </row>
    <row r="17" spans="1:20" s="123" customFormat="1" x14ac:dyDescent="0.2">
      <c r="A17" s="107"/>
      <c r="B17" s="127" t="s">
        <v>390</v>
      </c>
      <c r="C17" s="109">
        <f>IFERROR(VLOOKUP($B17,MMWR_TRAD_AGG_STATE_COMP[],C$1,0),"ERROR")</f>
        <v>16312</v>
      </c>
      <c r="D17" s="110">
        <f>IFERROR(VLOOKUP($B17,MMWR_TRAD_AGG_STATE_COMP[],D$1,0),"ERROR")</f>
        <v>322.70659637080001</v>
      </c>
      <c r="E17" s="111">
        <f>IFERROR(VLOOKUP($B17,MMWR_TRAD_AGG_STATE_COMP[],E$1,0),"ERROR")</f>
        <v>19085</v>
      </c>
      <c r="F17" s="112">
        <f>IFERROR(VLOOKUP($B17,MMWR_TRAD_AGG_STATE_COMP[],F$1,0),"ERROR")</f>
        <v>4946</v>
      </c>
      <c r="G17" s="113">
        <f t="shared" si="0"/>
        <v>0.25915640555410008</v>
      </c>
      <c r="H17" s="111">
        <f>IFERROR(VLOOKUP($B17,MMWR_TRAD_AGG_STATE_COMP[],H$1,0),"ERROR")</f>
        <v>22572</v>
      </c>
      <c r="I17" s="112">
        <f>IFERROR(VLOOKUP($B17,MMWR_TRAD_AGG_STATE_COMP[],I$1,0),"ERROR")</f>
        <v>13377</v>
      </c>
      <c r="J17" s="114">
        <f t="shared" si="1"/>
        <v>0.59263689526847418</v>
      </c>
      <c r="K17" s="111">
        <f>IFERROR(VLOOKUP($B17,MMWR_TRAD_AGG_STATE_COMP[],K$1,0),"ERROR")</f>
        <v>4339</v>
      </c>
      <c r="L17" s="112">
        <f>IFERROR(VLOOKUP($B17,MMWR_TRAD_AGG_STATE_COMP[],L$1,0),"ERROR")</f>
        <v>3485</v>
      </c>
      <c r="M17" s="114">
        <f t="shared" si="2"/>
        <v>0.8031804563263425</v>
      </c>
      <c r="N17" s="111">
        <f>IFERROR(VLOOKUP($B17,MMWR_TRAD_AGG_STATE_COMP[],N$1,0),"ERROR")</f>
        <v>7949</v>
      </c>
      <c r="O17" s="112">
        <f>IFERROR(VLOOKUP($B17,MMWR_TRAD_AGG_STATE_COMP[],O$1,0),"ERROR")</f>
        <v>4739</v>
      </c>
      <c r="P17" s="114">
        <f t="shared" si="3"/>
        <v>0.59617561957478926</v>
      </c>
      <c r="Q17" s="115">
        <f>IFERROR(VLOOKUP($B17,MMWR_TRAD_AGG_STATE_COMP[],Q$1,0),"ERROR")</f>
        <v>888</v>
      </c>
      <c r="R17" s="115">
        <f>IFERROR(VLOOKUP($B17,MMWR_TRAD_AGG_STATE_COMP[],R$1,0),"ERROR")</f>
        <v>44</v>
      </c>
      <c r="S17" s="115">
        <f>IFERROR(VLOOKUP($B17,MMWR_APP_STATE_COMP[],S$1,0),"ERROR")</f>
        <v>10361</v>
      </c>
      <c r="T17" s="28"/>
    </row>
    <row r="18" spans="1:20" s="123" customFormat="1" x14ac:dyDescent="0.2">
      <c r="A18" s="107"/>
      <c r="B18" s="127" t="s">
        <v>383</v>
      </c>
      <c r="C18" s="109">
        <f>IFERROR(VLOOKUP($B18,MMWR_TRAD_AGG_STATE_COMP[],C$1,0),"ERROR")</f>
        <v>7802</v>
      </c>
      <c r="D18" s="110">
        <f>IFERROR(VLOOKUP($B18,MMWR_TRAD_AGG_STATE_COMP[],D$1,0),"ERROR")</f>
        <v>395.85875416559998</v>
      </c>
      <c r="E18" s="111">
        <f>IFERROR(VLOOKUP($B18,MMWR_TRAD_AGG_STATE_COMP[],E$1,0),"ERROR")</f>
        <v>9396</v>
      </c>
      <c r="F18" s="112">
        <f>IFERROR(VLOOKUP($B18,MMWR_TRAD_AGG_STATE_COMP[],F$1,0),"ERROR")</f>
        <v>2792</v>
      </c>
      <c r="G18" s="113">
        <f t="shared" si="0"/>
        <v>0.29714772243507875</v>
      </c>
      <c r="H18" s="111">
        <f>IFERROR(VLOOKUP($B18,MMWR_TRAD_AGG_STATE_COMP[],H$1,0),"ERROR")</f>
        <v>11818</v>
      </c>
      <c r="I18" s="112">
        <f>IFERROR(VLOOKUP($B18,MMWR_TRAD_AGG_STATE_COMP[],I$1,0),"ERROR")</f>
        <v>7749</v>
      </c>
      <c r="J18" s="114">
        <f t="shared" si="1"/>
        <v>0.65569470299543064</v>
      </c>
      <c r="K18" s="111">
        <f>IFERROR(VLOOKUP($B18,MMWR_TRAD_AGG_STATE_COMP[],K$1,0),"ERROR")</f>
        <v>932</v>
      </c>
      <c r="L18" s="112">
        <f>IFERROR(VLOOKUP($B18,MMWR_TRAD_AGG_STATE_COMP[],L$1,0),"ERROR")</f>
        <v>737</v>
      </c>
      <c r="M18" s="114">
        <f t="shared" si="2"/>
        <v>0.79077253218884125</v>
      </c>
      <c r="N18" s="111">
        <f>IFERROR(VLOOKUP($B18,MMWR_TRAD_AGG_STATE_COMP[],N$1,0),"ERROR")</f>
        <v>5812</v>
      </c>
      <c r="O18" s="112">
        <f>IFERROR(VLOOKUP($B18,MMWR_TRAD_AGG_STATE_COMP[],O$1,0),"ERROR")</f>
        <v>3060</v>
      </c>
      <c r="P18" s="114">
        <f t="shared" si="3"/>
        <v>0.52649690295939433</v>
      </c>
      <c r="Q18" s="115">
        <f>IFERROR(VLOOKUP($B18,MMWR_TRAD_AGG_STATE_COMP[],Q$1,0),"ERROR")</f>
        <v>1013</v>
      </c>
      <c r="R18" s="115">
        <f>IFERROR(VLOOKUP($B18,MMWR_TRAD_AGG_STATE_COMP[],R$1,0),"ERROR")</f>
        <v>9</v>
      </c>
      <c r="S18" s="115">
        <f>IFERROR(VLOOKUP($B18,MMWR_APP_STATE_COMP[],S$1,0),"ERROR")</f>
        <v>6549</v>
      </c>
      <c r="T18" s="28"/>
    </row>
    <row r="19" spans="1:20" s="123" customFormat="1" x14ac:dyDescent="0.2">
      <c r="A19" s="107"/>
      <c r="B19" s="127" t="s">
        <v>380</v>
      </c>
      <c r="C19" s="109">
        <f>IFERROR(VLOOKUP($B19,MMWR_TRAD_AGG_STATE_COMP[],C$1,0),"ERROR")</f>
        <v>473</v>
      </c>
      <c r="D19" s="110">
        <f>IFERROR(VLOOKUP($B19,MMWR_TRAD_AGG_STATE_COMP[],D$1,0),"ERROR")</f>
        <v>231.0909090909</v>
      </c>
      <c r="E19" s="111">
        <f>IFERROR(VLOOKUP($B19,MMWR_TRAD_AGG_STATE_COMP[],E$1,0),"ERROR")</f>
        <v>923</v>
      </c>
      <c r="F19" s="112">
        <f>IFERROR(VLOOKUP($B19,MMWR_TRAD_AGG_STATE_COMP[],F$1,0),"ERROR")</f>
        <v>208</v>
      </c>
      <c r="G19" s="113">
        <f t="shared" si="0"/>
        <v>0.22535211267605634</v>
      </c>
      <c r="H19" s="111">
        <f>IFERROR(VLOOKUP($B19,MMWR_TRAD_AGG_STATE_COMP[],H$1,0),"ERROR")</f>
        <v>1035</v>
      </c>
      <c r="I19" s="112">
        <f>IFERROR(VLOOKUP($B19,MMWR_TRAD_AGG_STATE_COMP[],I$1,0),"ERROR")</f>
        <v>352</v>
      </c>
      <c r="J19" s="114">
        <f t="shared" si="1"/>
        <v>0.34009661835748795</v>
      </c>
      <c r="K19" s="111">
        <f>IFERROR(VLOOKUP($B19,MMWR_TRAD_AGG_STATE_COMP[],K$1,0),"ERROR")</f>
        <v>324</v>
      </c>
      <c r="L19" s="112">
        <f>IFERROR(VLOOKUP($B19,MMWR_TRAD_AGG_STATE_COMP[],L$1,0),"ERROR")</f>
        <v>122</v>
      </c>
      <c r="M19" s="114">
        <f t="shared" si="2"/>
        <v>0.37654320987654322</v>
      </c>
      <c r="N19" s="111">
        <f>IFERROR(VLOOKUP($B19,MMWR_TRAD_AGG_STATE_COMP[],N$1,0),"ERROR")</f>
        <v>133</v>
      </c>
      <c r="O19" s="112">
        <f>IFERROR(VLOOKUP($B19,MMWR_TRAD_AGG_STATE_COMP[],O$1,0),"ERROR")</f>
        <v>52</v>
      </c>
      <c r="P19" s="114">
        <f t="shared" si="3"/>
        <v>0.39097744360902253</v>
      </c>
      <c r="Q19" s="115">
        <f>IFERROR(VLOOKUP($B19,MMWR_TRAD_AGG_STATE_COMP[],Q$1,0),"ERROR")</f>
        <v>131</v>
      </c>
      <c r="R19" s="115">
        <f>IFERROR(VLOOKUP($B19,MMWR_TRAD_AGG_STATE_COMP[],R$1,0),"ERROR")</f>
        <v>0</v>
      </c>
      <c r="S19" s="115">
        <f>IFERROR(VLOOKUP($B19,MMWR_APP_STATE_COMP[],S$1,0),"ERROR")</f>
        <v>320</v>
      </c>
      <c r="T19" s="28"/>
    </row>
    <row r="20" spans="1:20" s="123" customFormat="1" x14ac:dyDescent="0.2">
      <c r="A20" s="107"/>
      <c r="B20" s="127" t="s">
        <v>425</v>
      </c>
      <c r="C20" s="109">
        <f>IFERROR(VLOOKUP($B20,MMWR_TRAD_AGG_STATE_COMP[],C$1,0),"ERROR")</f>
        <v>466</v>
      </c>
      <c r="D20" s="110">
        <f>IFERROR(VLOOKUP($B20,MMWR_TRAD_AGG_STATE_COMP[],D$1,0),"ERROR")</f>
        <v>350.09012875539997</v>
      </c>
      <c r="E20" s="111">
        <f>IFERROR(VLOOKUP($B20,MMWR_TRAD_AGG_STATE_COMP[],E$1,0),"ERROR")</f>
        <v>418</v>
      </c>
      <c r="F20" s="112">
        <f>IFERROR(VLOOKUP($B20,MMWR_TRAD_AGG_STATE_COMP[],F$1,0),"ERROR")</f>
        <v>107</v>
      </c>
      <c r="G20" s="113">
        <f t="shared" si="0"/>
        <v>0.25598086124401914</v>
      </c>
      <c r="H20" s="111">
        <f>IFERROR(VLOOKUP($B20,MMWR_TRAD_AGG_STATE_COMP[],H$1,0),"ERROR")</f>
        <v>796</v>
      </c>
      <c r="I20" s="112">
        <f>IFERROR(VLOOKUP($B20,MMWR_TRAD_AGG_STATE_COMP[],I$1,0),"ERROR")</f>
        <v>424</v>
      </c>
      <c r="J20" s="114">
        <f t="shared" si="1"/>
        <v>0.53266331658291455</v>
      </c>
      <c r="K20" s="111">
        <f>IFERROR(VLOOKUP($B20,MMWR_TRAD_AGG_STATE_COMP[],K$1,0),"ERROR")</f>
        <v>181</v>
      </c>
      <c r="L20" s="112">
        <f>IFERROR(VLOOKUP($B20,MMWR_TRAD_AGG_STATE_COMP[],L$1,0),"ERROR")</f>
        <v>106</v>
      </c>
      <c r="M20" s="114">
        <f t="shared" si="2"/>
        <v>0.58563535911602205</v>
      </c>
      <c r="N20" s="111">
        <f>IFERROR(VLOOKUP($B20,MMWR_TRAD_AGG_STATE_COMP[],N$1,0),"ERROR")</f>
        <v>91</v>
      </c>
      <c r="O20" s="112">
        <f>IFERROR(VLOOKUP($B20,MMWR_TRAD_AGG_STATE_COMP[],O$1,0),"ERROR")</f>
        <v>56</v>
      </c>
      <c r="P20" s="114">
        <f t="shared" si="3"/>
        <v>0.61538461538461542</v>
      </c>
      <c r="Q20" s="115">
        <f>IFERROR(VLOOKUP($B20,MMWR_TRAD_AGG_STATE_COMP[],Q$1,0),"ERROR")</f>
        <v>48</v>
      </c>
      <c r="R20" s="115">
        <f>IFERROR(VLOOKUP($B20,MMWR_TRAD_AGG_STATE_COMP[],R$1,0),"ERROR")</f>
        <v>1</v>
      </c>
      <c r="S20" s="115">
        <f>IFERROR(VLOOKUP($B20,MMWR_APP_STATE_COMP[],S$1,0),"ERROR")</f>
        <v>198</v>
      </c>
      <c r="T20" s="28"/>
    </row>
    <row r="21" spans="1:20" s="123" customFormat="1" x14ac:dyDescent="0.2">
      <c r="A21" s="107"/>
      <c r="B21" s="127" t="s">
        <v>386</v>
      </c>
      <c r="C21" s="109">
        <f>IFERROR(VLOOKUP($B21,MMWR_TRAD_AGG_STATE_COMP[],C$1,0),"ERROR")</f>
        <v>18054</v>
      </c>
      <c r="D21" s="110">
        <f>IFERROR(VLOOKUP($B21,MMWR_TRAD_AGG_STATE_COMP[],D$1,0),"ERROR")</f>
        <v>471.00398803590002</v>
      </c>
      <c r="E21" s="111">
        <f>IFERROR(VLOOKUP($B21,MMWR_TRAD_AGG_STATE_COMP[],E$1,0),"ERROR")</f>
        <v>12452</v>
      </c>
      <c r="F21" s="112">
        <f>IFERROR(VLOOKUP($B21,MMWR_TRAD_AGG_STATE_COMP[],F$1,0),"ERROR")</f>
        <v>2597</v>
      </c>
      <c r="G21" s="113">
        <f t="shared" si="0"/>
        <v>0.20856087375522003</v>
      </c>
      <c r="H21" s="111">
        <f>IFERROR(VLOOKUP($B21,MMWR_TRAD_AGG_STATE_COMP[],H$1,0),"ERROR")</f>
        <v>22661</v>
      </c>
      <c r="I21" s="112">
        <f>IFERROR(VLOOKUP($B21,MMWR_TRAD_AGG_STATE_COMP[],I$1,0),"ERROR")</f>
        <v>14971</v>
      </c>
      <c r="J21" s="114">
        <f t="shared" si="1"/>
        <v>0.66065045673182998</v>
      </c>
      <c r="K21" s="111">
        <f>IFERROR(VLOOKUP($B21,MMWR_TRAD_AGG_STATE_COMP[],K$1,0),"ERROR")</f>
        <v>5556</v>
      </c>
      <c r="L21" s="112">
        <f>IFERROR(VLOOKUP($B21,MMWR_TRAD_AGG_STATE_COMP[],L$1,0),"ERROR")</f>
        <v>5016</v>
      </c>
      <c r="M21" s="114">
        <f t="shared" si="2"/>
        <v>0.90280777537796975</v>
      </c>
      <c r="N21" s="111">
        <f>IFERROR(VLOOKUP($B21,MMWR_TRAD_AGG_STATE_COMP[],N$1,0),"ERROR")</f>
        <v>5759</v>
      </c>
      <c r="O21" s="112">
        <f>IFERROR(VLOOKUP($B21,MMWR_TRAD_AGG_STATE_COMP[],O$1,0),"ERROR")</f>
        <v>4220</v>
      </c>
      <c r="P21" s="114">
        <f t="shared" si="3"/>
        <v>0.73276610522660179</v>
      </c>
      <c r="Q21" s="115">
        <f>IFERROR(VLOOKUP($B21,MMWR_TRAD_AGG_STATE_COMP[],Q$1,0),"ERROR")</f>
        <v>718</v>
      </c>
      <c r="R21" s="115">
        <f>IFERROR(VLOOKUP($B21,MMWR_TRAD_AGG_STATE_COMP[],R$1,0),"ERROR")</f>
        <v>35</v>
      </c>
      <c r="S21" s="115">
        <f>IFERROR(VLOOKUP($B21,MMWR_APP_STATE_COMP[],S$1,0),"ERROR")</f>
        <v>14368</v>
      </c>
      <c r="T21" s="28"/>
    </row>
    <row r="22" spans="1:20" s="123" customFormat="1" x14ac:dyDescent="0.2">
      <c r="A22" s="107"/>
      <c r="B22" s="127" t="s">
        <v>387</v>
      </c>
      <c r="C22" s="109">
        <f>IFERROR(VLOOKUP($B22,MMWR_TRAD_AGG_STATE_COMP[],C$1,0),"ERROR")</f>
        <v>2317</v>
      </c>
      <c r="D22" s="110">
        <f>IFERROR(VLOOKUP($B22,MMWR_TRAD_AGG_STATE_COMP[],D$1,0),"ERROR")</f>
        <v>252.82563659909999</v>
      </c>
      <c r="E22" s="111">
        <f>IFERROR(VLOOKUP($B22,MMWR_TRAD_AGG_STATE_COMP[],E$1,0),"ERROR")</f>
        <v>2328</v>
      </c>
      <c r="F22" s="112">
        <f>IFERROR(VLOOKUP($B22,MMWR_TRAD_AGG_STATE_COMP[],F$1,0),"ERROR")</f>
        <v>461</v>
      </c>
      <c r="G22" s="113">
        <f t="shared" si="0"/>
        <v>0.19802405498281786</v>
      </c>
      <c r="H22" s="111">
        <f>IFERROR(VLOOKUP($B22,MMWR_TRAD_AGG_STATE_COMP[],H$1,0),"ERROR")</f>
        <v>3577</v>
      </c>
      <c r="I22" s="112">
        <f>IFERROR(VLOOKUP($B22,MMWR_TRAD_AGG_STATE_COMP[],I$1,0),"ERROR")</f>
        <v>1899</v>
      </c>
      <c r="J22" s="114">
        <f t="shared" si="1"/>
        <v>0.53089180877830588</v>
      </c>
      <c r="K22" s="111">
        <f>IFERROR(VLOOKUP($B22,MMWR_TRAD_AGG_STATE_COMP[],K$1,0),"ERROR")</f>
        <v>266</v>
      </c>
      <c r="L22" s="112">
        <f>IFERROR(VLOOKUP($B22,MMWR_TRAD_AGG_STATE_COMP[],L$1,0),"ERROR")</f>
        <v>225</v>
      </c>
      <c r="M22" s="114">
        <f t="shared" si="2"/>
        <v>0.84586466165413532</v>
      </c>
      <c r="N22" s="111">
        <f>IFERROR(VLOOKUP($B22,MMWR_TRAD_AGG_STATE_COMP[],N$1,0),"ERROR")</f>
        <v>1140</v>
      </c>
      <c r="O22" s="112">
        <f>IFERROR(VLOOKUP($B22,MMWR_TRAD_AGG_STATE_COMP[],O$1,0),"ERROR")</f>
        <v>703</v>
      </c>
      <c r="P22" s="114">
        <f t="shared" si="3"/>
        <v>0.6166666666666667</v>
      </c>
      <c r="Q22" s="115">
        <f>IFERROR(VLOOKUP($B22,MMWR_TRAD_AGG_STATE_COMP[],Q$1,0),"ERROR")</f>
        <v>272</v>
      </c>
      <c r="R22" s="115">
        <f>IFERROR(VLOOKUP($B22,MMWR_TRAD_AGG_STATE_COMP[],R$1,0),"ERROR")</f>
        <v>17</v>
      </c>
      <c r="S22" s="115">
        <f>IFERROR(VLOOKUP($B22,MMWR_APP_STATE_COMP[],S$1,0),"ERROR")</f>
        <v>2328</v>
      </c>
      <c r="T22" s="28"/>
    </row>
    <row r="23" spans="1:20" s="123" customFormat="1" x14ac:dyDescent="0.2">
      <c r="A23" s="107"/>
      <c r="B23" s="126" t="s">
        <v>398</v>
      </c>
      <c r="C23" s="102">
        <f>IF(SUM(C24:C35)&lt;&gt;VLOOKUP($B23,MMWR_TRAD_AGG_ST_DISTRICT_COMP[],C$1,0),"ERROR",
VLOOKUP($B23,MMWR_TRAD_AGG_ST_DISTRICT_COMP[],C$1,0))</f>
        <v>45961</v>
      </c>
      <c r="D23" s="103">
        <f>IFERROR(VLOOKUP($B23,MMWR_TRAD_AGG_ST_DISTRICT_COMP[],D$1,0),"ERROR")</f>
        <v>400.33038880790002</v>
      </c>
      <c r="E23" s="102">
        <f>IF(SUM(E24:E35)&lt;&gt;VLOOKUP($B23,MMWR_TRAD_AGG_ST_DISTRICT_COMP[],E$1,0),"ERROR",
VLOOKUP($B23,MMWR_TRAD_AGG_ST_DISTRICT_COMP[],E$1,0))</f>
        <v>53133</v>
      </c>
      <c r="F23" s="102">
        <f>IF(SUM(F24:F35)&lt;&gt;VLOOKUP($B23,MMWR_TRAD_AGG_ST_DISTRICT_COMP[],F$1,0),"ERROR",
VLOOKUP($B23,MMWR_TRAD_AGG_ST_DISTRICT_COMP[],F$1,0))</f>
        <v>11912</v>
      </c>
      <c r="G23" s="104">
        <f t="shared" si="0"/>
        <v>0.224192121656974</v>
      </c>
      <c r="H23" s="102">
        <f>IF(SUM(H24:H35)&lt;&gt;VLOOKUP($B23,MMWR_TRAD_AGG_ST_DISTRICT_COMP[],H$1,0),"ERROR",
VLOOKUP($B23,MMWR_TRAD_AGG_ST_DISTRICT_COMP[],H$1,0))</f>
        <v>72026</v>
      </c>
      <c r="I23" s="102">
        <f>IF(SUM(I24:I35)&lt;&gt;VLOOKUP($B23,MMWR_TRAD_AGG_ST_DISTRICT_COMP[],I$1,0),"ERROR",
VLOOKUP($B23,MMWR_TRAD_AGG_ST_DISTRICT_COMP[],I$1,0))</f>
        <v>39865</v>
      </c>
      <c r="J23" s="105">
        <f t="shared" si="1"/>
        <v>0.55348068752950319</v>
      </c>
      <c r="K23" s="102">
        <f>IF(SUM(K24:K35)&lt;&gt;VLOOKUP($B23,MMWR_TRAD_AGG_ST_DISTRICT_COMP[],K$1,0),"ERROR",
VLOOKUP($B23,MMWR_TRAD_AGG_ST_DISTRICT_COMP[],K$1,0))</f>
        <v>10339</v>
      </c>
      <c r="L23" s="102">
        <f>IF(SUM(L24:L35)&lt;&gt;VLOOKUP($B23,MMWR_TRAD_AGG_ST_DISTRICT_COMP[],L$1,0),"ERROR",
VLOOKUP($B23,MMWR_TRAD_AGG_ST_DISTRICT_COMP[],L$1,0))</f>
        <v>8118</v>
      </c>
      <c r="M23" s="105">
        <f t="shared" si="2"/>
        <v>0.7851823193732469</v>
      </c>
      <c r="N23" s="102">
        <f>IF(SUM(N24:N35)&lt;&gt;VLOOKUP($B23,MMWR_TRAD_AGG_ST_DISTRICT_COMP[],N$1,0),"ERROR",
VLOOKUP($B23,MMWR_TRAD_AGG_ST_DISTRICT_COMP[],N$1,0))</f>
        <v>22653</v>
      </c>
      <c r="O23" s="102">
        <f>IF(SUM(O24:O35)&lt;&gt;VLOOKUP($B23,MMWR_TRAD_AGG_ST_DISTRICT_COMP[],O$1,0),"ERROR",
VLOOKUP($B23,MMWR_TRAD_AGG_ST_DISTRICT_COMP[],O$1,0))</f>
        <v>14464</v>
      </c>
      <c r="P23" s="105">
        <f t="shared" si="3"/>
        <v>0.6385026265836754</v>
      </c>
      <c r="Q23" s="102">
        <f>IF(SUM(Q24:Q35)&lt;&gt;VLOOKUP($B23,MMWR_TRAD_AGG_ST_DISTRICT_COMP[],Q$1,0),"ERROR",
VLOOKUP($B23,MMWR_TRAD_AGG_ST_DISTRICT_COMP[],Q$1,0))</f>
        <v>160</v>
      </c>
      <c r="R23" s="102">
        <f>IF(SUM(R24:R35)&lt;&gt;VLOOKUP($B23,MMWR_TRAD_AGG_ST_DISTRICT_COMP[],R$1,0),"ERROR",
VLOOKUP($B23,MMWR_TRAD_AGG_ST_DISTRICT_COMP[],R$1,0))</f>
        <v>1190</v>
      </c>
      <c r="S23" s="106">
        <f>SUM(S24:S35)</f>
        <v>53273</v>
      </c>
      <c r="T23" s="28"/>
    </row>
    <row r="24" spans="1:20" s="123" customFormat="1" x14ac:dyDescent="0.2">
      <c r="A24" s="92"/>
      <c r="B24" s="127" t="s">
        <v>402</v>
      </c>
      <c r="C24" s="109">
        <f>IFERROR(VLOOKUP($B24,MMWR_TRAD_AGG_STATE_COMP[],C$1,0),"ERROR")</f>
        <v>7595</v>
      </c>
      <c r="D24" s="110">
        <f>IFERROR(VLOOKUP($B24,MMWR_TRAD_AGG_STATE_COMP[],D$1,0),"ERROR")</f>
        <v>489.25082290979998</v>
      </c>
      <c r="E24" s="111">
        <f>IFERROR(VLOOKUP($B24,MMWR_TRAD_AGG_STATE_COMP[],E$1,0),"ERROR")</f>
        <v>7283</v>
      </c>
      <c r="F24" s="112">
        <f>IFERROR(VLOOKUP($B24,MMWR_TRAD_AGG_STATE_COMP[],F$1,0),"ERROR")</f>
        <v>2021</v>
      </c>
      <c r="G24" s="113">
        <f t="shared" si="0"/>
        <v>0.27749553755320611</v>
      </c>
      <c r="H24" s="111">
        <f>IFERROR(VLOOKUP($B24,MMWR_TRAD_AGG_STATE_COMP[],H$1,0),"ERROR")</f>
        <v>10341</v>
      </c>
      <c r="I24" s="112">
        <f>IFERROR(VLOOKUP($B24,MMWR_TRAD_AGG_STATE_COMP[],I$1,0),"ERROR")</f>
        <v>6921</v>
      </c>
      <c r="J24" s="114">
        <f t="shared" si="1"/>
        <v>0.6692776327241079</v>
      </c>
      <c r="K24" s="111">
        <f>IFERROR(VLOOKUP($B24,MMWR_TRAD_AGG_STATE_COMP[],K$1,0),"ERROR")</f>
        <v>1475</v>
      </c>
      <c r="L24" s="112">
        <f>IFERROR(VLOOKUP($B24,MMWR_TRAD_AGG_STATE_COMP[],L$1,0),"ERROR")</f>
        <v>1359</v>
      </c>
      <c r="M24" s="114">
        <f t="shared" si="2"/>
        <v>0.92135593220338985</v>
      </c>
      <c r="N24" s="111">
        <f>IFERROR(VLOOKUP($B24,MMWR_TRAD_AGG_STATE_COMP[],N$1,0),"ERROR")</f>
        <v>2662</v>
      </c>
      <c r="O24" s="112">
        <f>IFERROR(VLOOKUP($B24,MMWR_TRAD_AGG_STATE_COMP[],O$1,0),"ERROR")</f>
        <v>1857</v>
      </c>
      <c r="P24" s="114">
        <f t="shared" si="3"/>
        <v>0.69759579263711491</v>
      </c>
      <c r="Q24" s="115">
        <f>IFERROR(VLOOKUP($B24,MMWR_TRAD_AGG_STATE_COMP[],Q$1,0),"ERROR")</f>
        <v>22</v>
      </c>
      <c r="R24" s="115">
        <f>IFERROR(VLOOKUP($B24,MMWR_TRAD_AGG_STATE_COMP[],R$1,0),"ERROR")</f>
        <v>284</v>
      </c>
      <c r="S24" s="115">
        <f>IFERROR(VLOOKUP($B24,MMWR_APP_STATE_COMP[],S$1,0),"ERROR")</f>
        <v>7804</v>
      </c>
      <c r="T24" s="28"/>
    </row>
    <row r="25" spans="1:20" s="123" customFormat="1" x14ac:dyDescent="0.2">
      <c r="A25" s="107"/>
      <c r="B25" s="127" t="s">
        <v>400</v>
      </c>
      <c r="C25" s="109">
        <f>IFERROR(VLOOKUP($B25,MMWR_TRAD_AGG_STATE_COMP[],C$1,0),"ERROR")</f>
        <v>8168</v>
      </c>
      <c r="D25" s="110">
        <f>IFERROR(VLOOKUP($B25,MMWR_TRAD_AGG_STATE_COMP[],D$1,0),"ERROR")</f>
        <v>645.01261018610001</v>
      </c>
      <c r="E25" s="111">
        <f>IFERROR(VLOOKUP($B25,MMWR_TRAD_AGG_STATE_COMP[],E$1,0),"ERROR")</f>
        <v>5234</v>
      </c>
      <c r="F25" s="112">
        <f>IFERROR(VLOOKUP($B25,MMWR_TRAD_AGG_STATE_COMP[],F$1,0),"ERROR")</f>
        <v>1083</v>
      </c>
      <c r="G25" s="113">
        <f t="shared" si="0"/>
        <v>0.20691631639281621</v>
      </c>
      <c r="H25" s="111">
        <f>IFERROR(VLOOKUP($B25,MMWR_TRAD_AGG_STATE_COMP[],H$1,0),"ERROR")</f>
        <v>11200</v>
      </c>
      <c r="I25" s="112">
        <f>IFERROR(VLOOKUP($B25,MMWR_TRAD_AGG_STATE_COMP[],I$1,0),"ERROR")</f>
        <v>7704</v>
      </c>
      <c r="J25" s="114">
        <f t="shared" si="1"/>
        <v>0.68785714285714283</v>
      </c>
      <c r="K25" s="111">
        <f>IFERROR(VLOOKUP($B25,MMWR_TRAD_AGG_STATE_COMP[],K$1,0),"ERROR")</f>
        <v>1185</v>
      </c>
      <c r="L25" s="112">
        <f>IFERROR(VLOOKUP($B25,MMWR_TRAD_AGG_STATE_COMP[],L$1,0),"ERROR")</f>
        <v>964</v>
      </c>
      <c r="M25" s="114">
        <f t="shared" si="2"/>
        <v>0.81350210970464132</v>
      </c>
      <c r="N25" s="111">
        <f>IFERROR(VLOOKUP($B25,MMWR_TRAD_AGG_STATE_COMP[],N$1,0),"ERROR")</f>
        <v>2210</v>
      </c>
      <c r="O25" s="112">
        <f>IFERROR(VLOOKUP($B25,MMWR_TRAD_AGG_STATE_COMP[],O$1,0),"ERROR")</f>
        <v>1499</v>
      </c>
      <c r="P25" s="114">
        <f t="shared" si="3"/>
        <v>0.67828054298642537</v>
      </c>
      <c r="Q25" s="115">
        <f>IFERROR(VLOOKUP($B25,MMWR_TRAD_AGG_STATE_COMP[],Q$1,0),"ERROR")</f>
        <v>28</v>
      </c>
      <c r="R25" s="115">
        <f>IFERROR(VLOOKUP($B25,MMWR_TRAD_AGG_STATE_COMP[],R$1,0),"ERROR")</f>
        <v>203</v>
      </c>
      <c r="S25" s="115">
        <f>IFERROR(VLOOKUP($B25,MMWR_APP_STATE_COMP[],S$1,0),"ERROR")</f>
        <v>8070</v>
      </c>
      <c r="T25" s="28"/>
    </row>
    <row r="26" spans="1:20" s="123" customFormat="1" x14ac:dyDescent="0.2">
      <c r="A26" s="107"/>
      <c r="B26" s="127" t="s">
        <v>407</v>
      </c>
      <c r="C26" s="109">
        <f>IFERROR(VLOOKUP($B26,MMWR_TRAD_AGG_STATE_COMP[],C$1,0),"ERROR")</f>
        <v>1503</v>
      </c>
      <c r="D26" s="110">
        <f>IFERROR(VLOOKUP($B26,MMWR_TRAD_AGG_STATE_COMP[],D$1,0),"ERROR")</f>
        <v>190.50432468400001</v>
      </c>
      <c r="E26" s="111">
        <f>IFERROR(VLOOKUP($B26,MMWR_TRAD_AGG_STATE_COMP[],E$1,0),"ERROR")</f>
        <v>2461</v>
      </c>
      <c r="F26" s="112">
        <f>IFERROR(VLOOKUP($B26,MMWR_TRAD_AGG_STATE_COMP[],F$1,0),"ERROR")</f>
        <v>556</v>
      </c>
      <c r="G26" s="113">
        <f t="shared" si="0"/>
        <v>0.22592442096708654</v>
      </c>
      <c r="H26" s="111">
        <f>IFERROR(VLOOKUP($B26,MMWR_TRAD_AGG_STATE_COMP[],H$1,0),"ERROR")</f>
        <v>3102</v>
      </c>
      <c r="I26" s="112">
        <f>IFERROR(VLOOKUP($B26,MMWR_TRAD_AGG_STATE_COMP[],I$1,0),"ERROR")</f>
        <v>1051</v>
      </c>
      <c r="J26" s="114">
        <f t="shared" si="1"/>
        <v>0.33881366860090262</v>
      </c>
      <c r="K26" s="111">
        <f>IFERROR(VLOOKUP($B26,MMWR_TRAD_AGG_STATE_COMP[],K$1,0),"ERROR")</f>
        <v>268</v>
      </c>
      <c r="L26" s="112">
        <f>IFERROR(VLOOKUP($B26,MMWR_TRAD_AGG_STATE_COMP[],L$1,0),"ERROR")</f>
        <v>211</v>
      </c>
      <c r="M26" s="114">
        <f t="shared" si="2"/>
        <v>0.78731343283582089</v>
      </c>
      <c r="N26" s="111">
        <f>IFERROR(VLOOKUP($B26,MMWR_TRAD_AGG_STATE_COMP[],N$1,0),"ERROR")</f>
        <v>1296</v>
      </c>
      <c r="O26" s="112">
        <f>IFERROR(VLOOKUP($B26,MMWR_TRAD_AGG_STATE_COMP[],O$1,0),"ERROR")</f>
        <v>1044</v>
      </c>
      <c r="P26" s="114">
        <f t="shared" si="3"/>
        <v>0.80555555555555558</v>
      </c>
      <c r="Q26" s="115">
        <f>IFERROR(VLOOKUP($B26,MMWR_TRAD_AGG_STATE_COMP[],Q$1,0),"ERROR")</f>
        <v>1</v>
      </c>
      <c r="R26" s="115">
        <f>IFERROR(VLOOKUP($B26,MMWR_TRAD_AGG_STATE_COMP[],R$1,0),"ERROR")</f>
        <v>11</v>
      </c>
      <c r="S26" s="115">
        <f>IFERROR(VLOOKUP($B26,MMWR_APP_STATE_COMP[],S$1,0),"ERROR")</f>
        <v>1196</v>
      </c>
      <c r="T26" s="28"/>
    </row>
    <row r="27" spans="1:20" s="123" customFormat="1" x14ac:dyDescent="0.2">
      <c r="A27" s="107"/>
      <c r="B27" s="127" t="s">
        <v>430</v>
      </c>
      <c r="C27" s="109">
        <f>IFERROR(VLOOKUP($B27,MMWR_TRAD_AGG_STATE_COMP[],C$1,0),"ERROR")</f>
        <v>2088</v>
      </c>
      <c r="D27" s="110">
        <f>IFERROR(VLOOKUP($B27,MMWR_TRAD_AGG_STATE_COMP[],D$1,0),"ERROR")</f>
        <v>237.14990421460001</v>
      </c>
      <c r="E27" s="111">
        <f>IFERROR(VLOOKUP($B27,MMWR_TRAD_AGG_STATE_COMP[],E$1,0),"ERROR")</f>
        <v>2900</v>
      </c>
      <c r="F27" s="112">
        <f>IFERROR(VLOOKUP($B27,MMWR_TRAD_AGG_STATE_COMP[],F$1,0),"ERROR")</f>
        <v>593</v>
      </c>
      <c r="G27" s="113">
        <f t="shared" si="0"/>
        <v>0.20448275862068965</v>
      </c>
      <c r="H27" s="111">
        <f>IFERROR(VLOOKUP($B27,MMWR_TRAD_AGG_STATE_COMP[],H$1,0),"ERROR")</f>
        <v>3590</v>
      </c>
      <c r="I27" s="112">
        <f>IFERROR(VLOOKUP($B27,MMWR_TRAD_AGG_STATE_COMP[],I$1,0),"ERROR")</f>
        <v>1443</v>
      </c>
      <c r="J27" s="114">
        <f t="shared" si="1"/>
        <v>0.401949860724234</v>
      </c>
      <c r="K27" s="111">
        <f>IFERROR(VLOOKUP($B27,MMWR_TRAD_AGG_STATE_COMP[],K$1,0),"ERROR")</f>
        <v>533</v>
      </c>
      <c r="L27" s="112">
        <f>IFERROR(VLOOKUP($B27,MMWR_TRAD_AGG_STATE_COMP[],L$1,0),"ERROR")</f>
        <v>316</v>
      </c>
      <c r="M27" s="114">
        <f t="shared" si="2"/>
        <v>0.59287054409005624</v>
      </c>
      <c r="N27" s="111">
        <f>IFERROR(VLOOKUP($B27,MMWR_TRAD_AGG_STATE_COMP[],N$1,0),"ERROR")</f>
        <v>432</v>
      </c>
      <c r="O27" s="112">
        <f>IFERROR(VLOOKUP($B27,MMWR_TRAD_AGG_STATE_COMP[],O$1,0),"ERROR")</f>
        <v>200</v>
      </c>
      <c r="P27" s="114">
        <f t="shared" si="3"/>
        <v>0.46296296296296297</v>
      </c>
      <c r="Q27" s="115">
        <f>IFERROR(VLOOKUP($B27,MMWR_TRAD_AGG_STATE_COMP[],Q$1,0),"ERROR")</f>
        <v>1</v>
      </c>
      <c r="R27" s="115">
        <f>IFERROR(VLOOKUP($B27,MMWR_TRAD_AGG_STATE_COMP[],R$1,0),"ERROR")</f>
        <v>15</v>
      </c>
      <c r="S27" s="115">
        <f>IFERROR(VLOOKUP($B27,MMWR_APP_STATE_COMP[],S$1,0),"ERROR")</f>
        <v>1378</v>
      </c>
      <c r="T27" s="28"/>
    </row>
    <row r="28" spans="1:20" s="123" customFormat="1" x14ac:dyDescent="0.2">
      <c r="A28" s="107"/>
      <c r="B28" s="127" t="s">
        <v>403</v>
      </c>
      <c r="C28" s="109">
        <f>IFERROR(VLOOKUP($B28,MMWR_TRAD_AGG_STATE_COMP[],C$1,0),"ERROR")</f>
        <v>3946</v>
      </c>
      <c r="D28" s="110">
        <f>IFERROR(VLOOKUP($B28,MMWR_TRAD_AGG_STATE_COMP[],D$1,0),"ERROR")</f>
        <v>257.91839837809999</v>
      </c>
      <c r="E28" s="111">
        <f>IFERROR(VLOOKUP($B28,MMWR_TRAD_AGG_STATE_COMP[],E$1,0),"ERROR")</f>
        <v>7836</v>
      </c>
      <c r="F28" s="112">
        <f>IFERROR(VLOOKUP($B28,MMWR_TRAD_AGG_STATE_COMP[],F$1,0),"ERROR")</f>
        <v>1979</v>
      </c>
      <c r="G28" s="113">
        <f t="shared" si="0"/>
        <v>0.25255232261357835</v>
      </c>
      <c r="H28" s="111">
        <f>IFERROR(VLOOKUP($B28,MMWR_TRAD_AGG_STATE_COMP[],H$1,0),"ERROR")</f>
        <v>7758</v>
      </c>
      <c r="I28" s="112">
        <f>IFERROR(VLOOKUP($B28,MMWR_TRAD_AGG_STATE_COMP[],I$1,0),"ERROR")</f>
        <v>3419</v>
      </c>
      <c r="J28" s="114">
        <f t="shared" si="1"/>
        <v>0.44070636762052073</v>
      </c>
      <c r="K28" s="111">
        <f>IFERROR(VLOOKUP($B28,MMWR_TRAD_AGG_STATE_COMP[],K$1,0),"ERROR")</f>
        <v>1015</v>
      </c>
      <c r="L28" s="112">
        <f>IFERROR(VLOOKUP($B28,MMWR_TRAD_AGG_STATE_COMP[],L$1,0),"ERROR")</f>
        <v>786</v>
      </c>
      <c r="M28" s="114">
        <f t="shared" si="2"/>
        <v>0.77438423645320198</v>
      </c>
      <c r="N28" s="111">
        <f>IFERROR(VLOOKUP($B28,MMWR_TRAD_AGG_STATE_COMP[],N$1,0),"ERROR")</f>
        <v>1311</v>
      </c>
      <c r="O28" s="112">
        <f>IFERROR(VLOOKUP($B28,MMWR_TRAD_AGG_STATE_COMP[],O$1,0),"ERROR")</f>
        <v>681</v>
      </c>
      <c r="P28" s="114">
        <f t="shared" si="3"/>
        <v>0.5194508009153318</v>
      </c>
      <c r="Q28" s="115">
        <f>IFERROR(VLOOKUP($B28,MMWR_TRAD_AGG_STATE_COMP[],Q$1,0),"ERROR")</f>
        <v>29</v>
      </c>
      <c r="R28" s="115">
        <f>IFERROR(VLOOKUP($B28,MMWR_TRAD_AGG_STATE_COMP[],R$1,0),"ERROR")</f>
        <v>203</v>
      </c>
      <c r="S28" s="115">
        <f>IFERROR(VLOOKUP($B28,MMWR_APP_STATE_COMP[],S$1,0),"ERROR")</f>
        <v>6347</v>
      </c>
      <c r="T28" s="28"/>
    </row>
    <row r="29" spans="1:20" s="123" customFormat="1" x14ac:dyDescent="0.2">
      <c r="A29" s="107"/>
      <c r="B29" s="127" t="s">
        <v>409</v>
      </c>
      <c r="C29" s="109">
        <f>IFERROR(VLOOKUP($B29,MMWR_TRAD_AGG_STATE_COMP[],C$1,0),"ERROR")</f>
        <v>1341</v>
      </c>
      <c r="D29" s="110">
        <f>IFERROR(VLOOKUP($B29,MMWR_TRAD_AGG_STATE_COMP[],D$1,0),"ERROR")</f>
        <v>200.08650261</v>
      </c>
      <c r="E29" s="111">
        <f>IFERROR(VLOOKUP($B29,MMWR_TRAD_AGG_STATE_COMP[],E$1,0),"ERROR")</f>
        <v>5497</v>
      </c>
      <c r="F29" s="112">
        <f>IFERROR(VLOOKUP($B29,MMWR_TRAD_AGG_STATE_COMP[],F$1,0),"ERROR")</f>
        <v>1130</v>
      </c>
      <c r="G29" s="113">
        <f t="shared" si="0"/>
        <v>0.20556667273058032</v>
      </c>
      <c r="H29" s="111">
        <f>IFERROR(VLOOKUP($B29,MMWR_TRAD_AGG_STATE_COMP[],H$1,0),"ERROR")</f>
        <v>4339</v>
      </c>
      <c r="I29" s="112">
        <f>IFERROR(VLOOKUP($B29,MMWR_TRAD_AGG_STATE_COMP[],I$1,0),"ERROR")</f>
        <v>1058</v>
      </c>
      <c r="J29" s="114">
        <f t="shared" si="1"/>
        <v>0.24383498501958978</v>
      </c>
      <c r="K29" s="111">
        <f>IFERROR(VLOOKUP($B29,MMWR_TRAD_AGG_STATE_COMP[],K$1,0),"ERROR")</f>
        <v>344</v>
      </c>
      <c r="L29" s="112">
        <f>IFERROR(VLOOKUP($B29,MMWR_TRAD_AGG_STATE_COMP[],L$1,0),"ERROR")</f>
        <v>234</v>
      </c>
      <c r="M29" s="114">
        <f t="shared" si="2"/>
        <v>0.68023255813953487</v>
      </c>
      <c r="N29" s="111">
        <f>IFERROR(VLOOKUP($B29,MMWR_TRAD_AGG_STATE_COMP[],N$1,0),"ERROR")</f>
        <v>1171</v>
      </c>
      <c r="O29" s="112">
        <f>IFERROR(VLOOKUP($B29,MMWR_TRAD_AGG_STATE_COMP[],O$1,0),"ERROR")</f>
        <v>583</v>
      </c>
      <c r="P29" s="114">
        <f t="shared" si="3"/>
        <v>0.49786507258753204</v>
      </c>
      <c r="Q29" s="115">
        <f>IFERROR(VLOOKUP($B29,MMWR_TRAD_AGG_STATE_COMP[],Q$1,0),"ERROR")</f>
        <v>5</v>
      </c>
      <c r="R29" s="115">
        <f>IFERROR(VLOOKUP($B29,MMWR_TRAD_AGG_STATE_COMP[],R$1,0),"ERROR")</f>
        <v>2</v>
      </c>
      <c r="S29" s="115">
        <f>IFERROR(VLOOKUP($B29,MMWR_APP_STATE_COMP[],S$1,0),"ERROR")</f>
        <v>2107</v>
      </c>
      <c r="T29" s="28"/>
    </row>
    <row r="30" spans="1:20" s="123" customFormat="1" x14ac:dyDescent="0.2">
      <c r="A30" s="107"/>
      <c r="B30" s="127" t="s">
        <v>405</v>
      </c>
      <c r="C30" s="109">
        <f>IFERROR(VLOOKUP($B30,MMWR_TRAD_AGG_STATE_COMP[],C$1,0),"ERROR")</f>
        <v>5952</v>
      </c>
      <c r="D30" s="110">
        <f>IFERROR(VLOOKUP($B30,MMWR_TRAD_AGG_STATE_COMP[],D$1,0),"ERROR")</f>
        <v>286.83551747310003</v>
      </c>
      <c r="E30" s="111">
        <f>IFERROR(VLOOKUP($B30,MMWR_TRAD_AGG_STATE_COMP[],E$1,0),"ERROR")</f>
        <v>5503</v>
      </c>
      <c r="F30" s="112">
        <f>IFERROR(VLOOKUP($B30,MMWR_TRAD_AGG_STATE_COMP[],F$1,0),"ERROR")</f>
        <v>959</v>
      </c>
      <c r="G30" s="113">
        <f t="shared" si="0"/>
        <v>0.17426858077412322</v>
      </c>
      <c r="H30" s="111">
        <f>IFERROR(VLOOKUP($B30,MMWR_TRAD_AGG_STATE_COMP[],H$1,0),"ERROR")</f>
        <v>8865</v>
      </c>
      <c r="I30" s="112">
        <f>IFERROR(VLOOKUP($B30,MMWR_TRAD_AGG_STATE_COMP[],I$1,0),"ERROR")</f>
        <v>5229</v>
      </c>
      <c r="J30" s="114">
        <f t="shared" si="1"/>
        <v>0.58984771573604056</v>
      </c>
      <c r="K30" s="111">
        <f>IFERROR(VLOOKUP($B30,MMWR_TRAD_AGG_STATE_COMP[],K$1,0),"ERROR")</f>
        <v>2169</v>
      </c>
      <c r="L30" s="112">
        <f>IFERROR(VLOOKUP($B30,MMWR_TRAD_AGG_STATE_COMP[],L$1,0),"ERROR")</f>
        <v>1920</v>
      </c>
      <c r="M30" s="114">
        <f t="shared" si="2"/>
        <v>0.88520055325034575</v>
      </c>
      <c r="N30" s="111">
        <f>IFERROR(VLOOKUP($B30,MMWR_TRAD_AGG_STATE_COMP[],N$1,0),"ERROR")</f>
        <v>6112</v>
      </c>
      <c r="O30" s="112">
        <f>IFERROR(VLOOKUP($B30,MMWR_TRAD_AGG_STATE_COMP[],O$1,0),"ERROR")</f>
        <v>4517</v>
      </c>
      <c r="P30" s="114">
        <f t="shared" si="3"/>
        <v>0.73903795811518325</v>
      </c>
      <c r="Q30" s="115">
        <f>IFERROR(VLOOKUP($B30,MMWR_TRAD_AGG_STATE_COMP[],Q$1,0),"ERROR")</f>
        <v>19</v>
      </c>
      <c r="R30" s="115">
        <f>IFERROR(VLOOKUP($B30,MMWR_TRAD_AGG_STATE_COMP[],R$1,0),"ERROR")</f>
        <v>107</v>
      </c>
      <c r="S30" s="115">
        <f>IFERROR(VLOOKUP($B30,MMWR_APP_STATE_COMP[],S$1,0),"ERROR")</f>
        <v>6837</v>
      </c>
      <c r="T30" s="28"/>
    </row>
    <row r="31" spans="1:20" s="123" customFormat="1" x14ac:dyDescent="0.2">
      <c r="A31" s="107"/>
      <c r="B31" s="127" t="s">
        <v>408</v>
      </c>
      <c r="C31" s="109">
        <f>IFERROR(VLOOKUP($B31,MMWR_TRAD_AGG_STATE_COMP[],C$1,0),"ERROR")</f>
        <v>1316</v>
      </c>
      <c r="D31" s="110">
        <f>IFERROR(VLOOKUP($B31,MMWR_TRAD_AGG_STATE_COMP[],D$1,0),"ERROR")</f>
        <v>210.50607902740001</v>
      </c>
      <c r="E31" s="111">
        <f>IFERROR(VLOOKUP($B31,MMWR_TRAD_AGG_STATE_COMP[],E$1,0),"ERROR")</f>
        <v>2034</v>
      </c>
      <c r="F31" s="112">
        <f>IFERROR(VLOOKUP($B31,MMWR_TRAD_AGG_STATE_COMP[],F$1,0),"ERROR")</f>
        <v>309</v>
      </c>
      <c r="G31" s="113">
        <f t="shared" si="0"/>
        <v>0.15191740412979352</v>
      </c>
      <c r="H31" s="111">
        <f>IFERROR(VLOOKUP($B31,MMWR_TRAD_AGG_STATE_COMP[],H$1,0),"ERROR")</f>
        <v>2488</v>
      </c>
      <c r="I31" s="112">
        <f>IFERROR(VLOOKUP($B31,MMWR_TRAD_AGG_STATE_COMP[],I$1,0),"ERROR")</f>
        <v>790</v>
      </c>
      <c r="J31" s="114">
        <f t="shared" si="1"/>
        <v>0.317524115755627</v>
      </c>
      <c r="K31" s="111">
        <f>IFERROR(VLOOKUP($B31,MMWR_TRAD_AGG_STATE_COMP[],K$1,0),"ERROR")</f>
        <v>911</v>
      </c>
      <c r="L31" s="112">
        <f>IFERROR(VLOOKUP($B31,MMWR_TRAD_AGG_STATE_COMP[],L$1,0),"ERROR")</f>
        <v>447</v>
      </c>
      <c r="M31" s="114">
        <f t="shared" si="2"/>
        <v>0.49066959385290887</v>
      </c>
      <c r="N31" s="111">
        <f>IFERROR(VLOOKUP($B31,MMWR_TRAD_AGG_STATE_COMP[],N$1,0),"ERROR")</f>
        <v>414</v>
      </c>
      <c r="O31" s="112">
        <f>IFERROR(VLOOKUP($B31,MMWR_TRAD_AGG_STATE_COMP[],O$1,0),"ERROR")</f>
        <v>173</v>
      </c>
      <c r="P31" s="114">
        <f t="shared" si="3"/>
        <v>0.41787439613526572</v>
      </c>
      <c r="Q31" s="115">
        <f>IFERROR(VLOOKUP($B31,MMWR_TRAD_AGG_STATE_COMP[],Q$1,0),"ERROR")</f>
        <v>1</v>
      </c>
      <c r="R31" s="115">
        <f>IFERROR(VLOOKUP($B31,MMWR_TRAD_AGG_STATE_COMP[],R$1,0),"ERROR")</f>
        <v>14</v>
      </c>
      <c r="S31" s="115">
        <f>IFERROR(VLOOKUP($B31,MMWR_APP_STATE_COMP[],S$1,0),"ERROR")</f>
        <v>1579</v>
      </c>
      <c r="T31" s="28"/>
    </row>
    <row r="32" spans="1:20" s="123" customFormat="1" x14ac:dyDescent="0.2">
      <c r="A32" s="107"/>
      <c r="B32" s="127" t="s">
        <v>427</v>
      </c>
      <c r="C32" s="109">
        <f>IFERROR(VLOOKUP($B32,MMWR_TRAD_AGG_STATE_COMP[],C$1,0),"ERROR")</f>
        <v>237</v>
      </c>
      <c r="D32" s="110">
        <f>IFERROR(VLOOKUP($B32,MMWR_TRAD_AGG_STATE_COMP[],D$1,0),"ERROR")</f>
        <v>234.00421940929999</v>
      </c>
      <c r="E32" s="111">
        <f>IFERROR(VLOOKUP($B32,MMWR_TRAD_AGG_STATE_COMP[],E$1,0),"ERROR")</f>
        <v>678</v>
      </c>
      <c r="F32" s="112">
        <f>IFERROR(VLOOKUP($B32,MMWR_TRAD_AGG_STATE_COMP[],F$1,0),"ERROR")</f>
        <v>133</v>
      </c>
      <c r="G32" s="113">
        <f t="shared" si="0"/>
        <v>0.19616519174041297</v>
      </c>
      <c r="H32" s="111">
        <f>IFERROR(VLOOKUP($B32,MMWR_TRAD_AGG_STATE_COMP[],H$1,0),"ERROR")</f>
        <v>467</v>
      </c>
      <c r="I32" s="112">
        <f>IFERROR(VLOOKUP($B32,MMWR_TRAD_AGG_STATE_COMP[],I$1,0),"ERROR")</f>
        <v>142</v>
      </c>
      <c r="J32" s="114">
        <f t="shared" si="1"/>
        <v>0.30406852248394006</v>
      </c>
      <c r="K32" s="111">
        <f>IFERROR(VLOOKUP($B32,MMWR_TRAD_AGG_STATE_COMP[],K$1,0),"ERROR")</f>
        <v>76</v>
      </c>
      <c r="L32" s="112">
        <f>IFERROR(VLOOKUP($B32,MMWR_TRAD_AGG_STATE_COMP[],L$1,0),"ERROR")</f>
        <v>39</v>
      </c>
      <c r="M32" s="114">
        <f t="shared" si="2"/>
        <v>0.51315789473684215</v>
      </c>
      <c r="N32" s="111">
        <f>IFERROR(VLOOKUP($B32,MMWR_TRAD_AGG_STATE_COMP[],N$1,0),"ERROR")</f>
        <v>119</v>
      </c>
      <c r="O32" s="112">
        <f>IFERROR(VLOOKUP($B32,MMWR_TRAD_AGG_STATE_COMP[],O$1,0),"ERROR")</f>
        <v>47</v>
      </c>
      <c r="P32" s="114">
        <f t="shared" si="3"/>
        <v>0.3949579831932773</v>
      </c>
      <c r="Q32" s="115">
        <f>IFERROR(VLOOKUP($B32,MMWR_TRAD_AGG_STATE_COMP[],Q$1,0),"ERROR")</f>
        <v>0</v>
      </c>
      <c r="R32" s="115">
        <f>IFERROR(VLOOKUP($B32,MMWR_TRAD_AGG_STATE_COMP[],R$1,0),"ERROR")</f>
        <v>0</v>
      </c>
      <c r="S32" s="115">
        <f>IFERROR(VLOOKUP($B32,MMWR_APP_STATE_COMP[],S$1,0),"ERROR")</f>
        <v>414</v>
      </c>
      <c r="T32" s="28"/>
    </row>
    <row r="33" spans="1:20" s="123" customFormat="1" x14ac:dyDescent="0.2">
      <c r="A33" s="107"/>
      <c r="B33" s="127" t="s">
        <v>399</v>
      </c>
      <c r="C33" s="109">
        <f>IFERROR(VLOOKUP($B33,MMWR_TRAD_AGG_STATE_COMP[],C$1,0),"ERROR")</f>
        <v>8365</v>
      </c>
      <c r="D33" s="110">
        <f>IFERROR(VLOOKUP($B33,MMWR_TRAD_AGG_STATE_COMP[],D$1,0),"ERROR")</f>
        <v>478.19402271370001</v>
      </c>
      <c r="E33" s="111">
        <f>IFERROR(VLOOKUP($B33,MMWR_TRAD_AGG_STATE_COMP[],E$1,0),"ERROR")</f>
        <v>8904</v>
      </c>
      <c r="F33" s="112">
        <f>IFERROR(VLOOKUP($B33,MMWR_TRAD_AGG_STATE_COMP[],F$1,0),"ERROR")</f>
        <v>2034</v>
      </c>
      <c r="G33" s="113">
        <f t="shared" si="0"/>
        <v>0.22843665768194071</v>
      </c>
      <c r="H33" s="111">
        <f>IFERROR(VLOOKUP($B33,MMWR_TRAD_AGG_STATE_COMP[],H$1,0),"ERROR")</f>
        <v>11935</v>
      </c>
      <c r="I33" s="112">
        <f>IFERROR(VLOOKUP($B33,MMWR_TRAD_AGG_STATE_COMP[],I$1,0),"ERROR")</f>
        <v>8425</v>
      </c>
      <c r="J33" s="114">
        <f t="shared" si="1"/>
        <v>0.70590699622957687</v>
      </c>
      <c r="K33" s="111">
        <f>IFERROR(VLOOKUP($B33,MMWR_TRAD_AGG_STATE_COMP[],K$1,0),"ERROR")</f>
        <v>1594</v>
      </c>
      <c r="L33" s="112">
        <f>IFERROR(VLOOKUP($B33,MMWR_TRAD_AGG_STATE_COMP[],L$1,0),"ERROR")</f>
        <v>1470</v>
      </c>
      <c r="M33" s="114">
        <f t="shared" si="2"/>
        <v>0.92220828105395236</v>
      </c>
      <c r="N33" s="111">
        <f>IFERROR(VLOOKUP($B33,MMWR_TRAD_AGG_STATE_COMP[],N$1,0),"ERROR")</f>
        <v>6077</v>
      </c>
      <c r="O33" s="112">
        <f>IFERROR(VLOOKUP($B33,MMWR_TRAD_AGG_STATE_COMP[],O$1,0),"ERROR")</f>
        <v>3427</v>
      </c>
      <c r="P33" s="114">
        <f t="shared" si="3"/>
        <v>0.56392957051176562</v>
      </c>
      <c r="Q33" s="115">
        <f>IFERROR(VLOOKUP($B33,MMWR_TRAD_AGG_STATE_COMP[],Q$1,0),"ERROR")</f>
        <v>46</v>
      </c>
      <c r="R33" s="115">
        <f>IFERROR(VLOOKUP($B33,MMWR_TRAD_AGG_STATE_COMP[],R$1,0),"ERROR")</f>
        <v>342</v>
      </c>
      <c r="S33" s="115">
        <f>IFERROR(VLOOKUP($B33,MMWR_APP_STATE_COMP[],S$1,0),"ERROR")</f>
        <v>14030</v>
      </c>
      <c r="T33" s="28"/>
    </row>
    <row r="34" spans="1:20" s="123" customFormat="1" x14ac:dyDescent="0.2">
      <c r="A34" s="107"/>
      <c r="B34" s="127" t="s">
        <v>428</v>
      </c>
      <c r="C34" s="109">
        <f>IFERROR(VLOOKUP($B34,MMWR_TRAD_AGG_STATE_COMP[],C$1,0),"ERROR")</f>
        <v>429</v>
      </c>
      <c r="D34" s="110">
        <f>IFERROR(VLOOKUP($B34,MMWR_TRAD_AGG_STATE_COMP[],D$1,0),"ERROR")</f>
        <v>220.37995337999999</v>
      </c>
      <c r="E34" s="111">
        <f>IFERROR(VLOOKUP($B34,MMWR_TRAD_AGG_STATE_COMP[],E$1,0),"ERROR")</f>
        <v>907</v>
      </c>
      <c r="F34" s="112">
        <f>IFERROR(VLOOKUP($B34,MMWR_TRAD_AGG_STATE_COMP[],F$1,0),"ERROR")</f>
        <v>218</v>
      </c>
      <c r="G34" s="113">
        <f t="shared" si="0"/>
        <v>0.24035281146637266</v>
      </c>
      <c r="H34" s="111">
        <f>IFERROR(VLOOKUP($B34,MMWR_TRAD_AGG_STATE_COMP[],H$1,0),"ERROR")</f>
        <v>1099</v>
      </c>
      <c r="I34" s="112">
        <f>IFERROR(VLOOKUP($B34,MMWR_TRAD_AGG_STATE_COMP[],I$1,0),"ERROR")</f>
        <v>238</v>
      </c>
      <c r="J34" s="114">
        <f t="shared" si="1"/>
        <v>0.21656050955414013</v>
      </c>
      <c r="K34" s="111">
        <f>IFERROR(VLOOKUP($B34,MMWR_TRAD_AGG_STATE_COMP[],K$1,0),"ERROR")</f>
        <v>414</v>
      </c>
      <c r="L34" s="112">
        <f>IFERROR(VLOOKUP($B34,MMWR_TRAD_AGG_STATE_COMP[],L$1,0),"ERROR")</f>
        <v>100</v>
      </c>
      <c r="M34" s="114">
        <f t="shared" si="2"/>
        <v>0.24154589371980675</v>
      </c>
      <c r="N34" s="111">
        <f>IFERROR(VLOOKUP($B34,MMWR_TRAD_AGG_STATE_COMP[],N$1,0),"ERROR")</f>
        <v>113</v>
      </c>
      <c r="O34" s="112">
        <f>IFERROR(VLOOKUP($B34,MMWR_TRAD_AGG_STATE_COMP[],O$1,0),"ERROR")</f>
        <v>56</v>
      </c>
      <c r="P34" s="114">
        <f t="shared" si="3"/>
        <v>0.49557522123893805</v>
      </c>
      <c r="Q34" s="115">
        <f>IFERROR(VLOOKUP($B34,MMWR_TRAD_AGG_STATE_COMP[],Q$1,0),"ERROR")</f>
        <v>1</v>
      </c>
      <c r="R34" s="115">
        <f>IFERROR(VLOOKUP($B34,MMWR_TRAD_AGG_STATE_COMP[],R$1,0),"ERROR")</f>
        <v>1</v>
      </c>
      <c r="S34" s="115">
        <f>IFERROR(VLOOKUP($B34,MMWR_APP_STATE_COMP[],S$1,0),"ERROR")</f>
        <v>193</v>
      </c>
      <c r="T34" s="28"/>
    </row>
    <row r="35" spans="1:20" s="123" customFormat="1" x14ac:dyDescent="0.2">
      <c r="A35" s="107"/>
      <c r="B35" s="127" t="s">
        <v>404</v>
      </c>
      <c r="C35" s="109">
        <f>IFERROR(VLOOKUP($B35,MMWR_TRAD_AGG_STATE_COMP[],C$1,0),"ERROR")</f>
        <v>5021</v>
      </c>
      <c r="D35" s="110">
        <f>IFERROR(VLOOKUP($B35,MMWR_TRAD_AGG_STATE_COMP[],D$1,0),"ERROR")</f>
        <v>241.6524596694</v>
      </c>
      <c r="E35" s="111">
        <f>IFERROR(VLOOKUP($B35,MMWR_TRAD_AGG_STATE_COMP[],E$1,0),"ERROR")</f>
        <v>3896</v>
      </c>
      <c r="F35" s="112">
        <f>IFERROR(VLOOKUP($B35,MMWR_TRAD_AGG_STATE_COMP[],F$1,0),"ERROR")</f>
        <v>897</v>
      </c>
      <c r="G35" s="113">
        <f t="shared" si="0"/>
        <v>0.23023613963039014</v>
      </c>
      <c r="H35" s="111">
        <f>IFERROR(VLOOKUP($B35,MMWR_TRAD_AGG_STATE_COMP[],H$1,0),"ERROR")</f>
        <v>6842</v>
      </c>
      <c r="I35" s="112">
        <f>IFERROR(VLOOKUP($B35,MMWR_TRAD_AGG_STATE_COMP[],I$1,0),"ERROR")</f>
        <v>3445</v>
      </c>
      <c r="J35" s="114">
        <f t="shared" si="1"/>
        <v>0.50350774627301953</v>
      </c>
      <c r="K35" s="111">
        <f>IFERROR(VLOOKUP($B35,MMWR_TRAD_AGG_STATE_COMP[],K$1,0),"ERROR")</f>
        <v>355</v>
      </c>
      <c r="L35" s="112">
        <f>IFERROR(VLOOKUP($B35,MMWR_TRAD_AGG_STATE_COMP[],L$1,0),"ERROR")</f>
        <v>272</v>
      </c>
      <c r="M35" s="114">
        <f t="shared" si="2"/>
        <v>0.76619718309859153</v>
      </c>
      <c r="N35" s="111">
        <f>IFERROR(VLOOKUP($B35,MMWR_TRAD_AGG_STATE_COMP[],N$1,0),"ERROR")</f>
        <v>736</v>
      </c>
      <c r="O35" s="112">
        <f>IFERROR(VLOOKUP($B35,MMWR_TRAD_AGG_STATE_COMP[],O$1,0),"ERROR")</f>
        <v>380</v>
      </c>
      <c r="P35" s="114">
        <f t="shared" si="3"/>
        <v>0.51630434782608692</v>
      </c>
      <c r="Q35" s="115">
        <f>IFERROR(VLOOKUP($B35,MMWR_TRAD_AGG_STATE_COMP[],Q$1,0),"ERROR")</f>
        <v>7</v>
      </c>
      <c r="R35" s="115">
        <f>IFERROR(VLOOKUP($B35,MMWR_TRAD_AGG_STATE_COMP[],R$1,0),"ERROR")</f>
        <v>8</v>
      </c>
      <c r="S35" s="115">
        <f>IFERROR(VLOOKUP($B35,MMWR_APP_STATE_COMP[],S$1,0),"ERROR")</f>
        <v>3318</v>
      </c>
      <c r="T35" s="28"/>
    </row>
    <row r="36" spans="1:20" s="123" customFormat="1" x14ac:dyDescent="0.2">
      <c r="A36" s="28"/>
      <c r="B36" s="126" t="s">
        <v>393</v>
      </c>
      <c r="C36" s="102">
        <f>IF(SUM(C37:C45)&lt;&gt;VLOOKUP($B36,MMWR_TRAD_AGG_ST_DISTRICT_COMP[],C$1,0),"ERROR",
VLOOKUP($B36,MMWR_TRAD_AGG_ST_DISTRICT_COMP[],C$1,0))</f>
        <v>65149</v>
      </c>
      <c r="D36" s="103">
        <f>IFERROR(VLOOKUP($B36,MMWR_TRAD_AGG_ST_DISTRICT_COMP[],D$1,0),"ERROR")</f>
        <v>348.48999984649998</v>
      </c>
      <c r="E36" s="102">
        <f>IFERROR(VLOOKUP($B36,MMWR_TRAD_AGG_ST_DISTRICT_COMP[],E$1,0),"ERROR")</f>
        <v>70033</v>
      </c>
      <c r="F36" s="102">
        <f>IFERROR(VLOOKUP($B36,MMWR_TRAD_AGG_ST_DISTRICT_COMP[],F$1,0),"ERROR")</f>
        <v>15791</v>
      </c>
      <c r="G36" s="104">
        <f t="shared" si="0"/>
        <v>0.22547941684634387</v>
      </c>
      <c r="H36" s="102">
        <f>IFERROR(VLOOKUP($B36,MMWR_TRAD_AGG_ST_DISTRICT_COMP[],H$1,0),"ERROR")</f>
        <v>92989</v>
      </c>
      <c r="I36" s="102">
        <f>IFERROR(VLOOKUP($B36,MMWR_TRAD_AGG_ST_DISTRICT_COMP[],I$1,0),"ERROR")</f>
        <v>53669</v>
      </c>
      <c r="J36" s="105">
        <f t="shared" si="1"/>
        <v>0.57715428706621208</v>
      </c>
      <c r="K36" s="102">
        <f>IFERROR(VLOOKUP($B36,MMWR_TRAD_AGG_ST_DISTRICT_COMP[],K$1,0),"ERROR")</f>
        <v>13148</v>
      </c>
      <c r="L36" s="102">
        <f>IFERROR(VLOOKUP($B36,MMWR_TRAD_AGG_ST_DISTRICT_COMP[],L$1,0),"ERROR")</f>
        <v>9645</v>
      </c>
      <c r="M36" s="105">
        <f t="shared" si="2"/>
        <v>0.73357164587770007</v>
      </c>
      <c r="N36" s="102">
        <f>IFERROR(VLOOKUP($B36,MMWR_TRAD_AGG_ST_DISTRICT_COMP[],N$1,0),"ERROR")</f>
        <v>21020</v>
      </c>
      <c r="O36" s="102">
        <f>IFERROR(VLOOKUP($B36,MMWR_TRAD_AGG_ST_DISTRICT_COMP[],O$1,0),"ERROR")</f>
        <v>11568</v>
      </c>
      <c r="P36" s="105">
        <f t="shared" si="3"/>
        <v>0.55033301617507135</v>
      </c>
      <c r="Q36" s="102">
        <f>IFERROR(VLOOKUP($B36,MMWR_TRAD_AGG_ST_DISTRICT_COMP[],Q$1,0),"ERROR")</f>
        <v>73</v>
      </c>
      <c r="R36" s="106">
        <f>IFERROR(VLOOKUP($B36,MMWR_TRAD_AGG_ST_DISTRICT_COMP[],R$1,0),"ERROR")</f>
        <v>1197</v>
      </c>
      <c r="S36" s="106">
        <f>SUM(S37:S45)</f>
        <v>67816</v>
      </c>
      <c r="T36" s="28"/>
    </row>
    <row r="37" spans="1:20" s="123" customFormat="1" x14ac:dyDescent="0.2">
      <c r="A37" s="28"/>
      <c r="B37" s="127" t="s">
        <v>419</v>
      </c>
      <c r="C37" s="109">
        <f>IFERROR(VLOOKUP($B37,MMWR_TRAD_AGG_STATE_COMP[],C$1,0),"ERROR")</f>
        <v>5309</v>
      </c>
      <c r="D37" s="110">
        <f>IFERROR(VLOOKUP($B37,MMWR_TRAD_AGG_STATE_COMP[],D$1,0),"ERROR")</f>
        <v>343.18760595219999</v>
      </c>
      <c r="E37" s="111">
        <f>IFERROR(VLOOKUP($B37,MMWR_TRAD_AGG_STATE_COMP[],E$1,0),"ERROR")</f>
        <v>3889</v>
      </c>
      <c r="F37" s="112">
        <f>IFERROR(VLOOKUP($B37,MMWR_TRAD_AGG_STATE_COMP[],F$1,0),"ERROR")</f>
        <v>554</v>
      </c>
      <c r="G37" s="113">
        <f t="shared" si="0"/>
        <v>0.14245307276934946</v>
      </c>
      <c r="H37" s="111">
        <f>IFERROR(VLOOKUP($B37,MMWR_TRAD_AGG_STATE_COMP[],H$1,0),"ERROR")</f>
        <v>7325</v>
      </c>
      <c r="I37" s="112">
        <f>IFERROR(VLOOKUP($B37,MMWR_TRAD_AGG_STATE_COMP[],I$1,0),"ERROR")</f>
        <v>4282</v>
      </c>
      <c r="J37" s="114">
        <f t="shared" si="1"/>
        <v>0.58457337883959049</v>
      </c>
      <c r="K37" s="111">
        <f>IFERROR(VLOOKUP($B37,MMWR_TRAD_AGG_STATE_COMP[],K$1,0),"ERROR")</f>
        <v>2086</v>
      </c>
      <c r="L37" s="112">
        <f>IFERROR(VLOOKUP($B37,MMWR_TRAD_AGG_STATE_COMP[],L$1,0),"ERROR")</f>
        <v>1491</v>
      </c>
      <c r="M37" s="114">
        <f t="shared" si="2"/>
        <v>0.71476510067114096</v>
      </c>
      <c r="N37" s="111">
        <f>IFERROR(VLOOKUP($B37,MMWR_TRAD_AGG_STATE_COMP[],N$1,0),"ERROR")</f>
        <v>1989</v>
      </c>
      <c r="O37" s="112">
        <f>IFERROR(VLOOKUP($B37,MMWR_TRAD_AGG_STATE_COMP[],O$1,0),"ERROR")</f>
        <v>976</v>
      </c>
      <c r="P37" s="114">
        <f t="shared" si="3"/>
        <v>0.49069884364002009</v>
      </c>
      <c r="Q37" s="115">
        <f>IFERROR(VLOOKUP($B37,MMWR_TRAD_AGG_STATE_COMP[],Q$1,0),"ERROR")</f>
        <v>8</v>
      </c>
      <c r="R37" s="115">
        <f>IFERROR(VLOOKUP($B37,MMWR_TRAD_AGG_STATE_COMP[],R$1,0),"ERROR")</f>
        <v>154</v>
      </c>
      <c r="S37" s="115">
        <f>IFERROR(VLOOKUP($B37,MMWR_APP_STATE_COMP[],S$1,0),"ERROR")</f>
        <v>5376</v>
      </c>
      <c r="T37" s="28"/>
    </row>
    <row r="38" spans="1:20" s="123" customFormat="1" x14ac:dyDescent="0.2">
      <c r="A38" s="28"/>
      <c r="B38" s="127" t="s">
        <v>411</v>
      </c>
      <c r="C38" s="109">
        <f>IFERROR(VLOOKUP($B38,MMWR_TRAD_AGG_STATE_COMP[],C$1,0),"ERROR")</f>
        <v>7633</v>
      </c>
      <c r="D38" s="110">
        <f>IFERROR(VLOOKUP($B38,MMWR_TRAD_AGG_STATE_COMP[],D$1,0),"ERROR")</f>
        <v>393.525350452</v>
      </c>
      <c r="E38" s="111">
        <f>IFERROR(VLOOKUP($B38,MMWR_TRAD_AGG_STATE_COMP[],E$1,0),"ERROR")</f>
        <v>7238</v>
      </c>
      <c r="F38" s="112">
        <f>IFERROR(VLOOKUP($B38,MMWR_TRAD_AGG_STATE_COMP[],F$1,0),"ERROR")</f>
        <v>2031</v>
      </c>
      <c r="G38" s="113">
        <f t="shared" ref="G38:G64" si="4">IFERROR(F38/E38,"0%")</f>
        <v>0.2806023763470572</v>
      </c>
      <c r="H38" s="111">
        <f>IFERROR(VLOOKUP($B38,MMWR_TRAD_AGG_STATE_COMP[],H$1,0),"ERROR")</f>
        <v>10380</v>
      </c>
      <c r="I38" s="112">
        <f>IFERROR(VLOOKUP($B38,MMWR_TRAD_AGG_STATE_COMP[],I$1,0),"ERROR")</f>
        <v>6686</v>
      </c>
      <c r="J38" s="114">
        <f t="shared" ref="J38:J64" si="5">IFERROR(I38/H38,"0%")</f>
        <v>0.6441233140655106</v>
      </c>
      <c r="K38" s="111">
        <f>IFERROR(VLOOKUP($B38,MMWR_TRAD_AGG_STATE_COMP[],K$1,0),"ERROR")</f>
        <v>2111</v>
      </c>
      <c r="L38" s="112">
        <f>IFERROR(VLOOKUP($B38,MMWR_TRAD_AGG_STATE_COMP[],L$1,0),"ERROR")</f>
        <v>1728</v>
      </c>
      <c r="M38" s="114">
        <f t="shared" ref="M38:M64" si="6">IFERROR(L38/K38,"0%")</f>
        <v>0.81856939838938891</v>
      </c>
      <c r="N38" s="111">
        <f>IFERROR(VLOOKUP($B38,MMWR_TRAD_AGG_STATE_COMP[],N$1,0),"ERROR")</f>
        <v>4425</v>
      </c>
      <c r="O38" s="112">
        <f>IFERROR(VLOOKUP($B38,MMWR_TRAD_AGG_STATE_COMP[],O$1,0),"ERROR")</f>
        <v>3142</v>
      </c>
      <c r="P38" s="114">
        <f t="shared" ref="P38:P64" si="7">IFERROR(O38/N38,"0%")</f>
        <v>0.71005649717514119</v>
      </c>
      <c r="Q38" s="115">
        <f>IFERROR(VLOOKUP($B38,MMWR_TRAD_AGG_STATE_COMP[],Q$1,0),"ERROR")</f>
        <v>7</v>
      </c>
      <c r="R38" s="115">
        <f>IFERROR(VLOOKUP($B38,MMWR_TRAD_AGG_STATE_COMP[],R$1,0),"ERROR")</f>
        <v>73</v>
      </c>
      <c r="S38" s="115">
        <f>IFERROR(VLOOKUP($B38,MMWR_APP_STATE_COMP[],S$1,0),"ERROR")</f>
        <v>6091</v>
      </c>
      <c r="T38" s="28"/>
    </row>
    <row r="39" spans="1:20" s="123" customFormat="1" x14ac:dyDescent="0.2">
      <c r="A39" s="28"/>
      <c r="B39" s="127" t="s">
        <v>395</v>
      </c>
      <c r="C39" s="109">
        <f>IFERROR(VLOOKUP($B39,MMWR_TRAD_AGG_STATE_COMP[],C$1,0),"ERROR")</f>
        <v>6625</v>
      </c>
      <c r="D39" s="110">
        <f>IFERROR(VLOOKUP($B39,MMWR_TRAD_AGG_STATE_COMP[],D$1,0),"ERROR")</f>
        <v>401.01750943399998</v>
      </c>
      <c r="E39" s="111">
        <f>IFERROR(VLOOKUP($B39,MMWR_TRAD_AGG_STATE_COMP[],E$1,0),"ERROR")</f>
        <v>6004</v>
      </c>
      <c r="F39" s="112">
        <f>IFERROR(VLOOKUP($B39,MMWR_TRAD_AGG_STATE_COMP[],F$1,0),"ERROR")</f>
        <v>1282</v>
      </c>
      <c r="G39" s="113">
        <f t="shared" si="4"/>
        <v>0.21352431712191872</v>
      </c>
      <c r="H39" s="111">
        <f>IFERROR(VLOOKUP($B39,MMWR_TRAD_AGG_STATE_COMP[],H$1,0),"ERROR")</f>
        <v>9350</v>
      </c>
      <c r="I39" s="112">
        <f>IFERROR(VLOOKUP($B39,MMWR_TRAD_AGG_STATE_COMP[],I$1,0),"ERROR")</f>
        <v>5802</v>
      </c>
      <c r="J39" s="114">
        <f t="shared" si="5"/>
        <v>0.62053475935828872</v>
      </c>
      <c r="K39" s="111">
        <f>IFERROR(VLOOKUP($B39,MMWR_TRAD_AGG_STATE_COMP[],K$1,0),"ERROR")</f>
        <v>783</v>
      </c>
      <c r="L39" s="112">
        <f>IFERROR(VLOOKUP($B39,MMWR_TRAD_AGG_STATE_COMP[],L$1,0),"ERROR")</f>
        <v>567</v>
      </c>
      <c r="M39" s="114">
        <f t="shared" si="6"/>
        <v>0.72413793103448276</v>
      </c>
      <c r="N39" s="111">
        <f>IFERROR(VLOOKUP($B39,MMWR_TRAD_AGG_STATE_COMP[],N$1,0),"ERROR")</f>
        <v>1437</v>
      </c>
      <c r="O39" s="112">
        <f>IFERROR(VLOOKUP($B39,MMWR_TRAD_AGG_STATE_COMP[],O$1,0),"ERROR")</f>
        <v>616</v>
      </c>
      <c r="P39" s="114">
        <f t="shared" si="7"/>
        <v>0.42867084203201111</v>
      </c>
      <c r="Q39" s="115">
        <f>IFERROR(VLOOKUP($B39,MMWR_TRAD_AGG_STATE_COMP[],Q$1,0),"ERROR")</f>
        <v>7</v>
      </c>
      <c r="R39" s="115">
        <f>IFERROR(VLOOKUP($B39,MMWR_TRAD_AGG_STATE_COMP[],R$1,0),"ERROR")</f>
        <v>297</v>
      </c>
      <c r="S39" s="115">
        <f>IFERROR(VLOOKUP($B39,MMWR_APP_STATE_COMP[],S$1,0),"ERROR")</f>
        <v>5975</v>
      </c>
      <c r="T39" s="28"/>
    </row>
    <row r="40" spans="1:20" s="123" customFormat="1" x14ac:dyDescent="0.2">
      <c r="A40" s="28"/>
      <c r="B40" s="127" t="s">
        <v>397</v>
      </c>
      <c r="C40" s="109">
        <f>IFERROR(VLOOKUP($B40,MMWR_TRAD_AGG_STATE_COMP[],C$1,0),"ERROR")</f>
        <v>5134</v>
      </c>
      <c r="D40" s="110">
        <f>IFERROR(VLOOKUP($B40,MMWR_TRAD_AGG_STATE_COMP[],D$1,0),"ERROR")</f>
        <v>372.16088819629999</v>
      </c>
      <c r="E40" s="111">
        <f>IFERROR(VLOOKUP($B40,MMWR_TRAD_AGG_STATE_COMP[],E$1,0),"ERROR")</f>
        <v>4281</v>
      </c>
      <c r="F40" s="112">
        <f>IFERROR(VLOOKUP($B40,MMWR_TRAD_AGG_STATE_COMP[],F$1,0),"ERROR")</f>
        <v>1065</v>
      </c>
      <c r="G40" s="113">
        <f t="shared" si="4"/>
        <v>0.24877365101611773</v>
      </c>
      <c r="H40" s="111">
        <f>IFERROR(VLOOKUP($B40,MMWR_TRAD_AGG_STATE_COMP[],H$1,0),"ERROR")</f>
        <v>7337</v>
      </c>
      <c r="I40" s="112">
        <f>IFERROR(VLOOKUP($B40,MMWR_TRAD_AGG_STATE_COMP[],I$1,0),"ERROR")</f>
        <v>4850</v>
      </c>
      <c r="J40" s="114">
        <f t="shared" si="5"/>
        <v>0.66103311980373447</v>
      </c>
      <c r="K40" s="111">
        <f>IFERROR(VLOOKUP($B40,MMWR_TRAD_AGG_STATE_COMP[],K$1,0),"ERROR")</f>
        <v>1086</v>
      </c>
      <c r="L40" s="112">
        <f>IFERROR(VLOOKUP($B40,MMWR_TRAD_AGG_STATE_COMP[],L$1,0),"ERROR")</f>
        <v>916</v>
      </c>
      <c r="M40" s="114">
        <f t="shared" si="6"/>
        <v>0.84346224677716386</v>
      </c>
      <c r="N40" s="111">
        <f>IFERROR(VLOOKUP($B40,MMWR_TRAD_AGG_STATE_COMP[],N$1,0),"ERROR")</f>
        <v>2227</v>
      </c>
      <c r="O40" s="112">
        <f>IFERROR(VLOOKUP($B40,MMWR_TRAD_AGG_STATE_COMP[],O$1,0),"ERROR")</f>
        <v>1281</v>
      </c>
      <c r="P40" s="114">
        <f t="shared" si="7"/>
        <v>0.57521329142343958</v>
      </c>
      <c r="Q40" s="115">
        <f>IFERROR(VLOOKUP($B40,MMWR_TRAD_AGG_STATE_COMP[],Q$1,0),"ERROR")</f>
        <v>12</v>
      </c>
      <c r="R40" s="115">
        <f>IFERROR(VLOOKUP($B40,MMWR_TRAD_AGG_STATE_COMP[],R$1,0),"ERROR")</f>
        <v>145</v>
      </c>
      <c r="S40" s="115">
        <f>IFERROR(VLOOKUP($B40,MMWR_APP_STATE_COMP[],S$1,0),"ERROR")</f>
        <v>4593</v>
      </c>
      <c r="T40" s="28"/>
    </row>
    <row r="41" spans="1:20" s="123" customFormat="1" x14ac:dyDescent="0.2">
      <c r="A41" s="28"/>
      <c r="B41" s="127" t="s">
        <v>426</v>
      </c>
      <c r="C41" s="109">
        <f>IFERROR(VLOOKUP($B41,MMWR_TRAD_AGG_STATE_COMP[],C$1,0),"ERROR")</f>
        <v>1067</v>
      </c>
      <c r="D41" s="110">
        <f>IFERROR(VLOOKUP($B41,MMWR_TRAD_AGG_STATE_COMP[],D$1,0),"ERROR")</f>
        <v>246.65979381439999</v>
      </c>
      <c r="E41" s="111">
        <f>IFERROR(VLOOKUP($B41,MMWR_TRAD_AGG_STATE_COMP[],E$1,0),"ERROR")</f>
        <v>987</v>
      </c>
      <c r="F41" s="112">
        <f>IFERROR(VLOOKUP($B41,MMWR_TRAD_AGG_STATE_COMP[],F$1,0),"ERROR")</f>
        <v>103</v>
      </c>
      <c r="G41" s="113">
        <f t="shared" si="4"/>
        <v>0.10435663627152988</v>
      </c>
      <c r="H41" s="111">
        <f>IFERROR(VLOOKUP($B41,MMWR_TRAD_AGG_STATE_COMP[],H$1,0),"ERROR")</f>
        <v>1727</v>
      </c>
      <c r="I41" s="112">
        <f>IFERROR(VLOOKUP($B41,MMWR_TRAD_AGG_STATE_COMP[],I$1,0),"ERROR")</f>
        <v>702</v>
      </c>
      <c r="J41" s="114">
        <f t="shared" si="5"/>
        <v>0.40648523451071222</v>
      </c>
      <c r="K41" s="111">
        <f>IFERROR(VLOOKUP($B41,MMWR_TRAD_AGG_STATE_COMP[],K$1,0),"ERROR")</f>
        <v>412</v>
      </c>
      <c r="L41" s="112">
        <f>IFERROR(VLOOKUP($B41,MMWR_TRAD_AGG_STATE_COMP[],L$1,0),"ERROR")</f>
        <v>199</v>
      </c>
      <c r="M41" s="114">
        <f t="shared" si="6"/>
        <v>0.48300970873786409</v>
      </c>
      <c r="N41" s="111">
        <f>IFERROR(VLOOKUP($B41,MMWR_TRAD_AGG_STATE_COMP[],N$1,0),"ERROR")</f>
        <v>188</v>
      </c>
      <c r="O41" s="112">
        <f>IFERROR(VLOOKUP($B41,MMWR_TRAD_AGG_STATE_COMP[],O$1,0),"ERROR")</f>
        <v>86</v>
      </c>
      <c r="P41" s="114">
        <f t="shared" si="7"/>
        <v>0.45744680851063829</v>
      </c>
      <c r="Q41" s="115">
        <f>IFERROR(VLOOKUP($B41,MMWR_TRAD_AGG_STATE_COMP[],Q$1,0),"ERROR")</f>
        <v>2</v>
      </c>
      <c r="R41" s="115">
        <f>IFERROR(VLOOKUP($B41,MMWR_TRAD_AGG_STATE_COMP[],R$1,0),"ERROR")</f>
        <v>5</v>
      </c>
      <c r="S41" s="115">
        <f>IFERROR(VLOOKUP($B41,MMWR_APP_STATE_COMP[],S$1,0),"ERROR")</f>
        <v>308</v>
      </c>
      <c r="T41" s="28"/>
    </row>
    <row r="42" spans="1:20" s="123" customFormat="1" x14ac:dyDescent="0.2">
      <c r="A42" s="28"/>
      <c r="B42" s="127" t="s">
        <v>420</v>
      </c>
      <c r="C42" s="109">
        <f>IFERROR(VLOOKUP($B42,MMWR_TRAD_AGG_STATE_COMP[],C$1,0),"ERROR")</f>
        <v>4133</v>
      </c>
      <c r="D42" s="110">
        <f>IFERROR(VLOOKUP($B42,MMWR_TRAD_AGG_STATE_COMP[],D$1,0),"ERROR")</f>
        <v>290.17711105730001</v>
      </c>
      <c r="E42" s="111">
        <f>IFERROR(VLOOKUP($B42,MMWR_TRAD_AGG_STATE_COMP[],E$1,0),"ERROR")</f>
        <v>7028</v>
      </c>
      <c r="F42" s="112">
        <f>IFERROR(VLOOKUP($B42,MMWR_TRAD_AGG_STATE_COMP[],F$1,0),"ERROR")</f>
        <v>1324</v>
      </c>
      <c r="G42" s="113">
        <f t="shared" si="4"/>
        <v>0.18838929994308481</v>
      </c>
      <c r="H42" s="111">
        <f>IFERROR(VLOOKUP($B42,MMWR_TRAD_AGG_STATE_COMP[],H$1,0),"ERROR")</f>
        <v>6785</v>
      </c>
      <c r="I42" s="112">
        <f>IFERROR(VLOOKUP($B42,MMWR_TRAD_AGG_STATE_COMP[],I$1,0),"ERROR")</f>
        <v>2762</v>
      </c>
      <c r="J42" s="114">
        <f t="shared" si="5"/>
        <v>0.40707442888725132</v>
      </c>
      <c r="K42" s="111">
        <f>IFERROR(VLOOKUP($B42,MMWR_TRAD_AGG_STATE_COMP[],K$1,0),"ERROR")</f>
        <v>986</v>
      </c>
      <c r="L42" s="112">
        <f>IFERROR(VLOOKUP($B42,MMWR_TRAD_AGG_STATE_COMP[],L$1,0),"ERROR")</f>
        <v>575</v>
      </c>
      <c r="M42" s="114">
        <f t="shared" si="6"/>
        <v>0.58316430020283971</v>
      </c>
      <c r="N42" s="111">
        <f>IFERROR(VLOOKUP($B42,MMWR_TRAD_AGG_STATE_COMP[],N$1,0),"ERROR")</f>
        <v>1305</v>
      </c>
      <c r="O42" s="112">
        <f>IFERROR(VLOOKUP($B42,MMWR_TRAD_AGG_STATE_COMP[],O$1,0),"ERROR")</f>
        <v>497</v>
      </c>
      <c r="P42" s="114">
        <f t="shared" si="7"/>
        <v>0.38084291187739466</v>
      </c>
      <c r="Q42" s="115">
        <f>IFERROR(VLOOKUP($B42,MMWR_TRAD_AGG_STATE_COMP[],Q$1,0),"ERROR")</f>
        <v>8</v>
      </c>
      <c r="R42" s="115">
        <f>IFERROR(VLOOKUP($B42,MMWR_TRAD_AGG_STATE_COMP[],R$1,0),"ERROR")</f>
        <v>66</v>
      </c>
      <c r="S42" s="115">
        <f>IFERROR(VLOOKUP($B42,MMWR_APP_STATE_COMP[],S$1,0),"ERROR")</f>
        <v>4388</v>
      </c>
      <c r="T42" s="28"/>
    </row>
    <row r="43" spans="1:20" s="123" customFormat="1" x14ac:dyDescent="0.2">
      <c r="A43" s="28"/>
      <c r="B43" s="127" t="s">
        <v>418</v>
      </c>
      <c r="C43" s="109">
        <f>IFERROR(VLOOKUP($B43,MMWR_TRAD_AGG_STATE_COMP[],C$1,0),"ERROR")</f>
        <v>32466</v>
      </c>
      <c r="D43" s="110">
        <f>IFERROR(VLOOKUP($B43,MMWR_TRAD_AGG_STATE_COMP[],D$1,0),"ERROR")</f>
        <v>338.03154068869998</v>
      </c>
      <c r="E43" s="111">
        <f>IFERROR(VLOOKUP($B43,MMWR_TRAD_AGG_STATE_COMP[],E$1,0),"ERROR")</f>
        <v>37721</v>
      </c>
      <c r="F43" s="112">
        <f>IFERROR(VLOOKUP($B43,MMWR_TRAD_AGG_STATE_COMP[],F$1,0),"ERROR")</f>
        <v>8798</v>
      </c>
      <c r="G43" s="113">
        <f t="shared" si="4"/>
        <v>0.23323877945971741</v>
      </c>
      <c r="H43" s="111">
        <f>IFERROR(VLOOKUP($B43,MMWR_TRAD_AGG_STATE_COMP[],H$1,0),"ERROR")</f>
        <v>45620</v>
      </c>
      <c r="I43" s="112">
        <f>IFERROR(VLOOKUP($B43,MMWR_TRAD_AGG_STATE_COMP[],I$1,0),"ERROR")</f>
        <v>26316</v>
      </c>
      <c r="J43" s="114">
        <f t="shared" si="5"/>
        <v>0.5768522577816747</v>
      </c>
      <c r="K43" s="111">
        <f>IFERROR(VLOOKUP($B43,MMWR_TRAD_AGG_STATE_COMP[],K$1,0),"ERROR")</f>
        <v>4982</v>
      </c>
      <c r="L43" s="112">
        <f>IFERROR(VLOOKUP($B43,MMWR_TRAD_AGG_STATE_COMP[],L$1,0),"ERROR")</f>
        <v>3646</v>
      </c>
      <c r="M43" s="114">
        <f t="shared" si="6"/>
        <v>0.73183460457647531</v>
      </c>
      <c r="N43" s="111">
        <f>IFERROR(VLOOKUP($B43,MMWR_TRAD_AGG_STATE_COMP[],N$1,0),"ERROR")</f>
        <v>9018</v>
      </c>
      <c r="O43" s="112">
        <f>IFERROR(VLOOKUP($B43,MMWR_TRAD_AGG_STATE_COMP[],O$1,0),"ERROR")</f>
        <v>4782</v>
      </c>
      <c r="P43" s="114">
        <f t="shared" si="7"/>
        <v>0.53027278775781772</v>
      </c>
      <c r="Q43" s="115">
        <f>IFERROR(VLOOKUP($B43,MMWR_TRAD_AGG_STATE_COMP[],Q$1,0),"ERROR")</f>
        <v>25</v>
      </c>
      <c r="R43" s="115">
        <f>IFERROR(VLOOKUP($B43,MMWR_TRAD_AGG_STATE_COMP[],R$1,0),"ERROR")</f>
        <v>447</v>
      </c>
      <c r="S43" s="115">
        <f>IFERROR(VLOOKUP($B43,MMWR_APP_STATE_COMP[],S$1,0),"ERROR")</f>
        <v>40149</v>
      </c>
      <c r="T43" s="28"/>
    </row>
    <row r="44" spans="1:20" s="123" customFormat="1" x14ac:dyDescent="0.2">
      <c r="A44" s="28"/>
      <c r="B44" s="127" t="s">
        <v>414</v>
      </c>
      <c r="C44" s="109">
        <f>IFERROR(VLOOKUP($B44,MMWR_TRAD_AGG_STATE_COMP[],C$1,0),"ERROR")</f>
        <v>2142</v>
      </c>
      <c r="D44" s="110">
        <f>IFERROR(VLOOKUP($B44,MMWR_TRAD_AGG_STATE_COMP[],D$1,0),"ERROR")</f>
        <v>318.58309990660001</v>
      </c>
      <c r="E44" s="111">
        <f>IFERROR(VLOOKUP($B44,MMWR_TRAD_AGG_STATE_COMP[],E$1,0),"ERROR")</f>
        <v>1968</v>
      </c>
      <c r="F44" s="112">
        <f>IFERROR(VLOOKUP($B44,MMWR_TRAD_AGG_STATE_COMP[],F$1,0),"ERROR")</f>
        <v>455</v>
      </c>
      <c r="G44" s="113">
        <f t="shared" si="4"/>
        <v>0.23119918699186992</v>
      </c>
      <c r="H44" s="111">
        <f>IFERROR(VLOOKUP($B44,MMWR_TRAD_AGG_STATE_COMP[],H$1,0),"ERROR")</f>
        <v>3422</v>
      </c>
      <c r="I44" s="112">
        <f>IFERROR(VLOOKUP($B44,MMWR_TRAD_AGG_STATE_COMP[],I$1,0),"ERROR")</f>
        <v>1779</v>
      </c>
      <c r="J44" s="114">
        <f t="shared" si="5"/>
        <v>0.51987142022209232</v>
      </c>
      <c r="K44" s="111">
        <f>IFERROR(VLOOKUP($B44,MMWR_TRAD_AGG_STATE_COMP[],K$1,0),"ERROR")</f>
        <v>529</v>
      </c>
      <c r="L44" s="112">
        <f>IFERROR(VLOOKUP($B44,MMWR_TRAD_AGG_STATE_COMP[],L$1,0),"ERROR")</f>
        <v>432</v>
      </c>
      <c r="M44" s="114">
        <f t="shared" si="6"/>
        <v>0.81663516068052933</v>
      </c>
      <c r="N44" s="111">
        <f>IFERROR(VLOOKUP($B44,MMWR_TRAD_AGG_STATE_COMP[],N$1,0),"ERROR")</f>
        <v>250</v>
      </c>
      <c r="O44" s="112">
        <f>IFERROR(VLOOKUP($B44,MMWR_TRAD_AGG_STATE_COMP[],O$1,0),"ERROR")</f>
        <v>114</v>
      </c>
      <c r="P44" s="114">
        <f t="shared" si="7"/>
        <v>0.45600000000000002</v>
      </c>
      <c r="Q44" s="115">
        <f>IFERROR(VLOOKUP($B44,MMWR_TRAD_AGG_STATE_COMP[],Q$1,0),"ERROR")</f>
        <v>0</v>
      </c>
      <c r="R44" s="115">
        <f>IFERROR(VLOOKUP($B44,MMWR_TRAD_AGG_STATE_COMP[],R$1,0),"ERROR")</f>
        <v>5</v>
      </c>
      <c r="S44" s="115">
        <f>IFERROR(VLOOKUP($B44,MMWR_APP_STATE_COMP[],S$1,0),"ERROR")</f>
        <v>565</v>
      </c>
      <c r="T44" s="28"/>
    </row>
    <row r="45" spans="1:20" s="123" customFormat="1" x14ac:dyDescent="0.2">
      <c r="A45" s="28"/>
      <c r="B45" s="127" t="s">
        <v>429</v>
      </c>
      <c r="C45" s="109">
        <f>IFERROR(VLOOKUP($B45,MMWR_TRAD_AGG_STATE_COMP[],C$1,0),"ERROR")</f>
        <v>640</v>
      </c>
      <c r="D45" s="110">
        <f>IFERROR(VLOOKUP($B45,MMWR_TRAD_AGG_STATE_COMP[],D$1,0),"ERROR")</f>
        <v>298.70781249999999</v>
      </c>
      <c r="E45" s="111">
        <f>IFERROR(VLOOKUP($B45,MMWR_TRAD_AGG_STATE_COMP[],E$1,0),"ERROR")</f>
        <v>917</v>
      </c>
      <c r="F45" s="112">
        <f>IFERROR(VLOOKUP($B45,MMWR_TRAD_AGG_STATE_COMP[],F$1,0),"ERROR")</f>
        <v>179</v>
      </c>
      <c r="G45" s="113">
        <f t="shared" si="4"/>
        <v>0.19520174482006544</v>
      </c>
      <c r="H45" s="111">
        <f>IFERROR(VLOOKUP($B45,MMWR_TRAD_AGG_STATE_COMP[],H$1,0),"ERROR")</f>
        <v>1043</v>
      </c>
      <c r="I45" s="112">
        <f>IFERROR(VLOOKUP($B45,MMWR_TRAD_AGG_STATE_COMP[],I$1,0),"ERROR")</f>
        <v>490</v>
      </c>
      <c r="J45" s="114">
        <f t="shared" si="5"/>
        <v>0.46979865771812079</v>
      </c>
      <c r="K45" s="111">
        <f>IFERROR(VLOOKUP($B45,MMWR_TRAD_AGG_STATE_COMP[],K$1,0),"ERROR")</f>
        <v>173</v>
      </c>
      <c r="L45" s="112">
        <f>IFERROR(VLOOKUP($B45,MMWR_TRAD_AGG_STATE_COMP[],L$1,0),"ERROR")</f>
        <v>91</v>
      </c>
      <c r="M45" s="114">
        <f t="shared" si="6"/>
        <v>0.52601156069364163</v>
      </c>
      <c r="N45" s="111">
        <f>IFERROR(VLOOKUP($B45,MMWR_TRAD_AGG_STATE_COMP[],N$1,0),"ERROR")</f>
        <v>181</v>
      </c>
      <c r="O45" s="112">
        <f>IFERROR(VLOOKUP($B45,MMWR_TRAD_AGG_STATE_COMP[],O$1,0),"ERROR")</f>
        <v>74</v>
      </c>
      <c r="P45" s="114">
        <f t="shared" si="7"/>
        <v>0.40883977900552487</v>
      </c>
      <c r="Q45" s="115">
        <f>IFERROR(VLOOKUP($B45,MMWR_TRAD_AGG_STATE_COMP[],Q$1,0),"ERROR")</f>
        <v>4</v>
      </c>
      <c r="R45" s="115">
        <f>IFERROR(VLOOKUP($B45,MMWR_TRAD_AGG_STATE_COMP[],R$1,0),"ERROR")</f>
        <v>5</v>
      </c>
      <c r="S45" s="115">
        <f>IFERROR(VLOOKUP($B45,MMWR_APP_STATE_COMP[],S$1,0),"ERROR")</f>
        <v>371</v>
      </c>
      <c r="T45" s="28"/>
    </row>
    <row r="46" spans="1:20" s="123" customFormat="1" x14ac:dyDescent="0.2">
      <c r="A46" s="28"/>
      <c r="B46" s="126" t="s">
        <v>412</v>
      </c>
      <c r="C46" s="102">
        <f>IFERROR(VLOOKUP($B46,MMWR_TRAD_AGG_ST_DISTRICT_COMP[],C$1,0),"ERROR")</f>
        <v>72638</v>
      </c>
      <c r="D46" s="103">
        <f>IFERROR(VLOOKUP($B46,MMWR_TRAD_AGG_ST_DISTRICT_COMP[],D$1,0),"ERROR")</f>
        <v>368.28938021419998</v>
      </c>
      <c r="E46" s="102">
        <f>IFERROR(VLOOKUP($B46,MMWR_TRAD_AGG_ST_DISTRICT_COMP[],E$1,0),"ERROR")</f>
        <v>62655</v>
      </c>
      <c r="F46" s="102">
        <f>IFERROR(VLOOKUP($B46,MMWR_TRAD_AGG_ST_DISTRICT_COMP[],F$1,0),"ERROR")</f>
        <v>14856</v>
      </c>
      <c r="G46" s="104">
        <f t="shared" si="4"/>
        <v>0.23710797222887239</v>
      </c>
      <c r="H46" s="102">
        <f>IFERROR(VLOOKUP($B46,MMWR_TRAD_AGG_ST_DISTRICT_COMP[],H$1,0),"ERROR")</f>
        <v>102628</v>
      </c>
      <c r="I46" s="102">
        <f>IFERROR(VLOOKUP($B46,MMWR_TRAD_AGG_ST_DISTRICT_COMP[],I$1,0),"ERROR")</f>
        <v>63473</v>
      </c>
      <c r="J46" s="105">
        <f t="shared" si="5"/>
        <v>0.6184764391783919</v>
      </c>
      <c r="K46" s="102">
        <f>IFERROR(VLOOKUP($B46,MMWR_TRAD_AGG_ST_DISTRICT_COMP[],K$1,0),"ERROR")</f>
        <v>18446</v>
      </c>
      <c r="L46" s="102">
        <f>IFERROR(VLOOKUP($B46,MMWR_TRAD_AGG_ST_DISTRICT_COMP[],L$1,0),"ERROR")</f>
        <v>14931</v>
      </c>
      <c r="M46" s="105">
        <f t="shared" si="6"/>
        <v>0.80944378184972354</v>
      </c>
      <c r="N46" s="102">
        <f>IFERROR(VLOOKUP($B46,MMWR_TRAD_AGG_ST_DISTRICT_COMP[],N$1,0),"ERROR")</f>
        <v>24582</v>
      </c>
      <c r="O46" s="102">
        <f>IFERROR(VLOOKUP($B46,MMWR_TRAD_AGG_ST_DISTRICT_COMP[],O$1,0),"ERROR")</f>
        <v>15927</v>
      </c>
      <c r="P46" s="105">
        <f t="shared" si="7"/>
        <v>0.64791310715157435</v>
      </c>
      <c r="Q46" s="102">
        <f>IFERROR(VLOOKUP($B46,MMWR_TRAD_AGG_ST_DISTRICT_COMP[],Q$1,0),"ERROR")</f>
        <v>85</v>
      </c>
      <c r="R46" s="106">
        <f>IFERROR(VLOOKUP($B46,MMWR_TRAD_AGG_ST_DISTRICT_COMP[],R$1,0),"ERROR")</f>
        <v>616</v>
      </c>
      <c r="S46" s="106">
        <f>SUM(S47:S55)</f>
        <v>43192</v>
      </c>
      <c r="T46" s="28"/>
    </row>
    <row r="47" spans="1:20" s="123" customFormat="1" x14ac:dyDescent="0.2">
      <c r="A47" s="28"/>
      <c r="B47" s="127" t="s">
        <v>432</v>
      </c>
      <c r="C47" s="109">
        <f>IFERROR(VLOOKUP($B47,MMWR_TRAD_AGG_STATE_COMP[],C$1,0),"ERROR")</f>
        <v>2124</v>
      </c>
      <c r="D47" s="110">
        <f>IFERROR(VLOOKUP($B47,MMWR_TRAD_AGG_STATE_COMP[],D$1,0),"ERROR")</f>
        <v>446.33145009420002</v>
      </c>
      <c r="E47" s="111">
        <f>IFERROR(VLOOKUP($B47,MMWR_TRAD_AGG_STATE_COMP[],E$1,0),"ERROR")</f>
        <v>947</v>
      </c>
      <c r="F47" s="112">
        <f>IFERROR(VLOOKUP($B47,MMWR_TRAD_AGG_STATE_COMP[],F$1,0),"ERROR")</f>
        <v>92</v>
      </c>
      <c r="G47" s="113">
        <f t="shared" si="4"/>
        <v>9.714889123548047E-2</v>
      </c>
      <c r="H47" s="111">
        <f>IFERROR(VLOOKUP($B47,MMWR_TRAD_AGG_STATE_COMP[],H$1,0),"ERROR")</f>
        <v>2925</v>
      </c>
      <c r="I47" s="112">
        <f>IFERROR(VLOOKUP($B47,MMWR_TRAD_AGG_STATE_COMP[],I$1,0),"ERROR")</f>
        <v>1916</v>
      </c>
      <c r="J47" s="114">
        <f t="shared" si="5"/>
        <v>0.65504273504273502</v>
      </c>
      <c r="K47" s="111">
        <f>IFERROR(VLOOKUP($B47,MMWR_TRAD_AGG_STATE_COMP[],K$1,0),"ERROR")</f>
        <v>1564</v>
      </c>
      <c r="L47" s="112">
        <f>IFERROR(VLOOKUP($B47,MMWR_TRAD_AGG_STATE_COMP[],L$1,0),"ERROR")</f>
        <v>1446</v>
      </c>
      <c r="M47" s="114">
        <f t="shared" si="6"/>
        <v>0.92455242966751916</v>
      </c>
      <c r="N47" s="111">
        <f>IFERROR(VLOOKUP($B47,MMWR_TRAD_AGG_STATE_COMP[],N$1,0),"ERROR")</f>
        <v>364</v>
      </c>
      <c r="O47" s="112">
        <f>IFERROR(VLOOKUP($B47,MMWR_TRAD_AGG_STATE_COMP[],O$1,0),"ERROR")</f>
        <v>187</v>
      </c>
      <c r="P47" s="114">
        <f t="shared" si="7"/>
        <v>0.51373626373626369</v>
      </c>
      <c r="Q47" s="115">
        <f>IFERROR(VLOOKUP($B47,MMWR_TRAD_AGG_STATE_COMP[],Q$1,0),"ERROR")</f>
        <v>0</v>
      </c>
      <c r="R47" s="115">
        <f>IFERROR(VLOOKUP($B47,MMWR_TRAD_AGG_STATE_COMP[],R$1,0),"ERROR")</f>
        <v>3</v>
      </c>
      <c r="S47" s="115">
        <f>IFERROR(VLOOKUP($B47,MMWR_APP_STATE_COMP[],S$1,0),"ERROR")</f>
        <v>296</v>
      </c>
      <c r="T47" s="28"/>
    </row>
    <row r="48" spans="1:20" s="123" customFormat="1" x14ac:dyDescent="0.2">
      <c r="A48" s="28"/>
      <c r="B48" s="127" t="s">
        <v>434</v>
      </c>
      <c r="C48" s="109">
        <f>IFERROR(VLOOKUP($B48,MMWR_TRAD_AGG_STATE_COMP[],C$1,0),"ERROR")</f>
        <v>7125</v>
      </c>
      <c r="D48" s="110">
        <f>IFERROR(VLOOKUP($B48,MMWR_TRAD_AGG_STATE_COMP[],D$1,0),"ERROR")</f>
        <v>304.83045614039997</v>
      </c>
      <c r="E48" s="111">
        <f>IFERROR(VLOOKUP($B48,MMWR_TRAD_AGG_STATE_COMP[],E$1,0),"ERROR")</f>
        <v>6229</v>
      </c>
      <c r="F48" s="112">
        <f>IFERROR(VLOOKUP($B48,MMWR_TRAD_AGG_STATE_COMP[],F$1,0),"ERROR")</f>
        <v>1289</v>
      </c>
      <c r="G48" s="113">
        <f t="shared" si="4"/>
        <v>0.20693530261679241</v>
      </c>
      <c r="H48" s="111">
        <f>IFERROR(VLOOKUP($B48,MMWR_TRAD_AGG_STATE_COMP[],H$1,0),"ERROR")</f>
        <v>9507</v>
      </c>
      <c r="I48" s="112">
        <f>IFERROR(VLOOKUP($B48,MMWR_TRAD_AGG_STATE_COMP[],I$1,0),"ERROR")</f>
        <v>5358</v>
      </c>
      <c r="J48" s="114">
        <f t="shared" si="5"/>
        <v>0.56358472704323126</v>
      </c>
      <c r="K48" s="111">
        <f>IFERROR(VLOOKUP($B48,MMWR_TRAD_AGG_STATE_COMP[],K$1,0),"ERROR")</f>
        <v>683</v>
      </c>
      <c r="L48" s="112">
        <f>IFERROR(VLOOKUP($B48,MMWR_TRAD_AGG_STATE_COMP[],L$1,0),"ERROR")</f>
        <v>510</v>
      </c>
      <c r="M48" s="114">
        <f t="shared" si="6"/>
        <v>0.74670571010248898</v>
      </c>
      <c r="N48" s="111">
        <f>IFERROR(VLOOKUP($B48,MMWR_TRAD_AGG_STATE_COMP[],N$1,0),"ERROR")</f>
        <v>3096</v>
      </c>
      <c r="O48" s="112">
        <f>IFERROR(VLOOKUP($B48,MMWR_TRAD_AGG_STATE_COMP[],O$1,0),"ERROR")</f>
        <v>2219</v>
      </c>
      <c r="P48" s="114">
        <f t="shared" si="7"/>
        <v>0.71673126614987082</v>
      </c>
      <c r="Q48" s="115">
        <f>IFERROR(VLOOKUP($B48,MMWR_TRAD_AGG_STATE_COMP[],Q$1,0),"ERROR")</f>
        <v>6</v>
      </c>
      <c r="R48" s="115">
        <f>IFERROR(VLOOKUP($B48,MMWR_TRAD_AGG_STATE_COMP[],R$1,0),"ERROR")</f>
        <v>78</v>
      </c>
      <c r="S48" s="115">
        <f>IFERROR(VLOOKUP($B48,MMWR_APP_STATE_COMP[],S$1,0),"ERROR")</f>
        <v>7132</v>
      </c>
      <c r="T48" s="28"/>
    </row>
    <row r="49" spans="1:20" s="123" customFormat="1" x14ac:dyDescent="0.2">
      <c r="A49" s="28"/>
      <c r="B49" s="127" t="s">
        <v>415</v>
      </c>
      <c r="C49" s="109">
        <f>IFERROR(VLOOKUP($B49,MMWR_TRAD_AGG_STATE_COMP[],C$1,0),"ERROR")</f>
        <v>31540</v>
      </c>
      <c r="D49" s="110">
        <f>IFERROR(VLOOKUP($B49,MMWR_TRAD_AGG_STATE_COMP[],D$1,0),"ERROR")</f>
        <v>362.2584337349</v>
      </c>
      <c r="E49" s="111">
        <f>IFERROR(VLOOKUP($B49,MMWR_TRAD_AGG_STATE_COMP[],E$1,0),"ERROR")</f>
        <v>32517</v>
      </c>
      <c r="F49" s="112">
        <f>IFERROR(VLOOKUP($B49,MMWR_TRAD_AGG_STATE_COMP[],F$1,0),"ERROR")</f>
        <v>7446</v>
      </c>
      <c r="G49" s="113">
        <f t="shared" si="4"/>
        <v>0.22898791401420795</v>
      </c>
      <c r="H49" s="111">
        <f>IFERROR(VLOOKUP($B49,MMWR_TRAD_AGG_STATE_COMP[],H$1,0),"ERROR")</f>
        <v>45431</v>
      </c>
      <c r="I49" s="112">
        <f>IFERROR(VLOOKUP($B49,MMWR_TRAD_AGG_STATE_COMP[],I$1,0),"ERROR")</f>
        <v>27943</v>
      </c>
      <c r="J49" s="114">
        <f t="shared" si="5"/>
        <v>0.61506460346459468</v>
      </c>
      <c r="K49" s="111">
        <f>IFERROR(VLOOKUP($B49,MMWR_TRAD_AGG_STATE_COMP[],K$1,0),"ERROR")</f>
        <v>7573</v>
      </c>
      <c r="L49" s="112">
        <f>IFERROR(VLOOKUP($B49,MMWR_TRAD_AGG_STATE_COMP[],L$1,0),"ERROR")</f>
        <v>5753</v>
      </c>
      <c r="M49" s="114">
        <f t="shared" si="6"/>
        <v>0.75967252079757031</v>
      </c>
      <c r="N49" s="111">
        <f>IFERROR(VLOOKUP($B49,MMWR_TRAD_AGG_STATE_COMP[],N$1,0),"ERROR")</f>
        <v>11630</v>
      </c>
      <c r="O49" s="112">
        <f>IFERROR(VLOOKUP($B49,MMWR_TRAD_AGG_STATE_COMP[],O$1,0),"ERROR")</f>
        <v>7423</v>
      </c>
      <c r="P49" s="114">
        <f t="shared" si="7"/>
        <v>0.63826311263972479</v>
      </c>
      <c r="Q49" s="115">
        <f>IFERROR(VLOOKUP($B49,MMWR_TRAD_AGG_STATE_COMP[],Q$1,0),"ERROR")</f>
        <v>45</v>
      </c>
      <c r="R49" s="115">
        <f>IFERROR(VLOOKUP($B49,MMWR_TRAD_AGG_STATE_COMP[],R$1,0),"ERROR")</f>
        <v>168</v>
      </c>
      <c r="S49" s="115">
        <f>IFERROR(VLOOKUP($B49,MMWR_APP_STATE_COMP[],S$1,0),"ERROR")</f>
        <v>18288</v>
      </c>
      <c r="T49" s="28"/>
    </row>
    <row r="50" spans="1:20" s="123" customFormat="1" x14ac:dyDescent="0.2">
      <c r="A50" s="28"/>
      <c r="B50" s="127" t="s">
        <v>436</v>
      </c>
      <c r="C50" s="109">
        <f>IFERROR(VLOOKUP($B50,MMWR_TRAD_AGG_STATE_COMP[],C$1,0),"ERROR")</f>
        <v>1853</v>
      </c>
      <c r="D50" s="110">
        <f>IFERROR(VLOOKUP($B50,MMWR_TRAD_AGG_STATE_COMP[],D$1,0),"ERROR")</f>
        <v>268.06799784129998</v>
      </c>
      <c r="E50" s="111">
        <f>IFERROR(VLOOKUP($B50,MMWR_TRAD_AGG_STATE_COMP[],E$1,0),"ERROR")</f>
        <v>2102</v>
      </c>
      <c r="F50" s="112">
        <f>IFERROR(VLOOKUP($B50,MMWR_TRAD_AGG_STATE_COMP[],F$1,0),"ERROR")</f>
        <v>395</v>
      </c>
      <c r="G50" s="113">
        <f t="shared" si="4"/>
        <v>0.18791627021883919</v>
      </c>
      <c r="H50" s="111">
        <f>IFERROR(VLOOKUP($B50,MMWR_TRAD_AGG_STATE_COMP[],H$1,0),"ERROR")</f>
        <v>2610</v>
      </c>
      <c r="I50" s="112">
        <f>IFERROR(VLOOKUP($B50,MMWR_TRAD_AGG_STATE_COMP[],I$1,0),"ERROR")</f>
        <v>1425</v>
      </c>
      <c r="J50" s="114">
        <f t="shared" si="5"/>
        <v>0.54597701149425293</v>
      </c>
      <c r="K50" s="111">
        <f>IFERROR(VLOOKUP($B50,MMWR_TRAD_AGG_STATE_COMP[],K$1,0),"ERROR")</f>
        <v>371</v>
      </c>
      <c r="L50" s="112">
        <f>IFERROR(VLOOKUP($B50,MMWR_TRAD_AGG_STATE_COMP[],L$1,0),"ERROR")</f>
        <v>296</v>
      </c>
      <c r="M50" s="114">
        <f t="shared" si="6"/>
        <v>0.7978436657681941</v>
      </c>
      <c r="N50" s="111">
        <f>IFERROR(VLOOKUP($B50,MMWR_TRAD_AGG_STATE_COMP[],N$1,0),"ERROR")</f>
        <v>309</v>
      </c>
      <c r="O50" s="112">
        <f>IFERROR(VLOOKUP($B50,MMWR_TRAD_AGG_STATE_COMP[],O$1,0),"ERROR")</f>
        <v>179</v>
      </c>
      <c r="P50" s="114">
        <f t="shared" si="7"/>
        <v>0.57928802588996764</v>
      </c>
      <c r="Q50" s="115">
        <f>IFERROR(VLOOKUP($B50,MMWR_TRAD_AGG_STATE_COMP[],Q$1,0),"ERROR")</f>
        <v>6</v>
      </c>
      <c r="R50" s="115">
        <f>IFERROR(VLOOKUP($B50,MMWR_TRAD_AGG_STATE_COMP[],R$1,0),"ERROR")</f>
        <v>2</v>
      </c>
      <c r="S50" s="115">
        <f>IFERROR(VLOOKUP($B50,MMWR_APP_STATE_COMP[],S$1,0),"ERROR")</f>
        <v>1048</v>
      </c>
      <c r="T50" s="28"/>
    </row>
    <row r="51" spans="1:20" s="123" customFormat="1" x14ac:dyDescent="0.2">
      <c r="A51" s="28"/>
      <c r="B51" s="127" t="s">
        <v>416</v>
      </c>
      <c r="C51" s="109">
        <f>IFERROR(VLOOKUP($B51,MMWR_TRAD_AGG_STATE_COMP[],C$1,0),"ERROR")</f>
        <v>900</v>
      </c>
      <c r="D51" s="110">
        <f>IFERROR(VLOOKUP($B51,MMWR_TRAD_AGG_STATE_COMP[],D$1,0),"ERROR")</f>
        <v>266.07666666670002</v>
      </c>
      <c r="E51" s="111">
        <f>IFERROR(VLOOKUP($B51,MMWR_TRAD_AGG_STATE_COMP[],E$1,0),"ERROR")</f>
        <v>1674</v>
      </c>
      <c r="F51" s="112">
        <f>IFERROR(VLOOKUP($B51,MMWR_TRAD_AGG_STATE_COMP[],F$1,0),"ERROR")</f>
        <v>321</v>
      </c>
      <c r="G51" s="113">
        <f t="shared" si="4"/>
        <v>0.1917562724014337</v>
      </c>
      <c r="H51" s="111">
        <f>IFERROR(VLOOKUP($B51,MMWR_TRAD_AGG_STATE_COMP[],H$1,0),"ERROR")</f>
        <v>1437</v>
      </c>
      <c r="I51" s="112">
        <f>IFERROR(VLOOKUP($B51,MMWR_TRAD_AGG_STATE_COMP[],I$1,0),"ERROR")</f>
        <v>627</v>
      </c>
      <c r="J51" s="114">
        <f t="shared" si="5"/>
        <v>0.43632567849686849</v>
      </c>
      <c r="K51" s="111">
        <f>IFERROR(VLOOKUP($B51,MMWR_TRAD_AGG_STATE_COMP[],K$1,0),"ERROR")</f>
        <v>206</v>
      </c>
      <c r="L51" s="112">
        <f>IFERROR(VLOOKUP($B51,MMWR_TRAD_AGG_STATE_COMP[],L$1,0),"ERROR")</f>
        <v>110</v>
      </c>
      <c r="M51" s="114">
        <f t="shared" si="6"/>
        <v>0.53398058252427183</v>
      </c>
      <c r="N51" s="111">
        <f>IFERROR(VLOOKUP($B51,MMWR_TRAD_AGG_STATE_COMP[],N$1,0),"ERROR")</f>
        <v>298</v>
      </c>
      <c r="O51" s="112">
        <f>IFERROR(VLOOKUP($B51,MMWR_TRAD_AGG_STATE_COMP[],O$1,0),"ERROR")</f>
        <v>140</v>
      </c>
      <c r="P51" s="114">
        <f t="shared" si="7"/>
        <v>0.46979865771812079</v>
      </c>
      <c r="Q51" s="115">
        <f>IFERROR(VLOOKUP($B51,MMWR_TRAD_AGG_STATE_COMP[],Q$1,0),"ERROR")</f>
        <v>1</v>
      </c>
      <c r="R51" s="115">
        <f>IFERROR(VLOOKUP($B51,MMWR_TRAD_AGG_STATE_COMP[],R$1,0),"ERROR")</f>
        <v>12</v>
      </c>
      <c r="S51" s="115">
        <f>IFERROR(VLOOKUP($B51,MMWR_APP_STATE_COMP[],S$1,0),"ERROR")</f>
        <v>991</v>
      </c>
      <c r="T51" s="28"/>
    </row>
    <row r="52" spans="1:20" s="123" customFormat="1" x14ac:dyDescent="0.2">
      <c r="A52" s="28"/>
      <c r="B52" s="127" t="s">
        <v>421</v>
      </c>
      <c r="C52" s="109">
        <f>IFERROR(VLOOKUP($B52,MMWR_TRAD_AGG_STATE_COMP[],C$1,0),"ERROR")</f>
        <v>4308</v>
      </c>
      <c r="D52" s="110">
        <f>IFERROR(VLOOKUP($B52,MMWR_TRAD_AGG_STATE_COMP[],D$1,0),"ERROR")</f>
        <v>439.91272051999999</v>
      </c>
      <c r="E52" s="111">
        <f>IFERROR(VLOOKUP($B52,MMWR_TRAD_AGG_STATE_COMP[],E$1,0),"ERROR")</f>
        <v>3978</v>
      </c>
      <c r="F52" s="112">
        <f>IFERROR(VLOOKUP($B52,MMWR_TRAD_AGG_STATE_COMP[],F$1,0),"ERROR")</f>
        <v>1168</v>
      </c>
      <c r="G52" s="113">
        <f t="shared" si="4"/>
        <v>0.29361488185017598</v>
      </c>
      <c r="H52" s="111">
        <f>IFERROR(VLOOKUP($B52,MMWR_TRAD_AGG_STATE_COMP[],H$1,0),"ERROR")</f>
        <v>5531</v>
      </c>
      <c r="I52" s="112">
        <f>IFERROR(VLOOKUP($B52,MMWR_TRAD_AGG_STATE_COMP[],I$1,0),"ERROR")</f>
        <v>3560</v>
      </c>
      <c r="J52" s="114">
        <f t="shared" si="5"/>
        <v>0.64364491050442962</v>
      </c>
      <c r="K52" s="111">
        <f>IFERROR(VLOOKUP($B52,MMWR_TRAD_AGG_STATE_COMP[],K$1,0),"ERROR")</f>
        <v>540</v>
      </c>
      <c r="L52" s="112">
        <f>IFERROR(VLOOKUP($B52,MMWR_TRAD_AGG_STATE_COMP[],L$1,0),"ERROR")</f>
        <v>467</v>
      </c>
      <c r="M52" s="114">
        <f t="shared" si="6"/>
        <v>0.86481481481481481</v>
      </c>
      <c r="N52" s="111">
        <f>IFERROR(VLOOKUP($B52,MMWR_TRAD_AGG_STATE_COMP[],N$1,0),"ERROR")</f>
        <v>1488</v>
      </c>
      <c r="O52" s="112">
        <f>IFERROR(VLOOKUP($B52,MMWR_TRAD_AGG_STATE_COMP[],O$1,0),"ERROR")</f>
        <v>838</v>
      </c>
      <c r="P52" s="114">
        <f t="shared" si="7"/>
        <v>0.56317204301075274</v>
      </c>
      <c r="Q52" s="115">
        <f>IFERROR(VLOOKUP($B52,MMWR_TRAD_AGG_STATE_COMP[],Q$1,0),"ERROR")</f>
        <v>8</v>
      </c>
      <c r="R52" s="115">
        <f>IFERROR(VLOOKUP($B52,MMWR_TRAD_AGG_STATE_COMP[],R$1,0),"ERROR")</f>
        <v>112</v>
      </c>
      <c r="S52" s="115">
        <f>IFERROR(VLOOKUP($B52,MMWR_APP_STATE_COMP[],S$1,0),"ERROR")</f>
        <v>2949</v>
      </c>
      <c r="T52" s="28"/>
    </row>
    <row r="53" spans="1:20" s="123" customFormat="1" x14ac:dyDescent="0.2">
      <c r="A53" s="28"/>
      <c r="B53" s="127" t="s">
        <v>413</v>
      </c>
      <c r="C53" s="109">
        <f>IFERROR(VLOOKUP($B53,MMWR_TRAD_AGG_STATE_COMP[],C$1,0),"ERROR")</f>
        <v>1710</v>
      </c>
      <c r="D53" s="110">
        <f>IFERROR(VLOOKUP($B53,MMWR_TRAD_AGG_STATE_COMP[],D$1,0),"ERROR")</f>
        <v>211.3204678363</v>
      </c>
      <c r="E53" s="111">
        <f>IFERROR(VLOOKUP($B53,MMWR_TRAD_AGG_STATE_COMP[],E$1,0),"ERROR")</f>
        <v>3023</v>
      </c>
      <c r="F53" s="112">
        <f>IFERROR(VLOOKUP($B53,MMWR_TRAD_AGG_STATE_COMP[],F$1,0),"ERROR")</f>
        <v>797</v>
      </c>
      <c r="G53" s="113">
        <f t="shared" si="4"/>
        <v>0.26364538537876281</v>
      </c>
      <c r="H53" s="111">
        <f>IFERROR(VLOOKUP($B53,MMWR_TRAD_AGG_STATE_COMP[],H$1,0),"ERROR")</f>
        <v>2476</v>
      </c>
      <c r="I53" s="112">
        <f>IFERROR(VLOOKUP($B53,MMWR_TRAD_AGG_STATE_COMP[],I$1,0),"ERROR")</f>
        <v>920</v>
      </c>
      <c r="J53" s="114">
        <f t="shared" si="5"/>
        <v>0.37156704361873988</v>
      </c>
      <c r="K53" s="111">
        <f>IFERROR(VLOOKUP($B53,MMWR_TRAD_AGG_STATE_COMP[],K$1,0),"ERROR")</f>
        <v>263</v>
      </c>
      <c r="L53" s="112">
        <f>IFERROR(VLOOKUP($B53,MMWR_TRAD_AGG_STATE_COMP[],L$1,0),"ERROR")</f>
        <v>160</v>
      </c>
      <c r="M53" s="114">
        <f t="shared" si="6"/>
        <v>0.60836501901140683</v>
      </c>
      <c r="N53" s="111">
        <f>IFERROR(VLOOKUP($B53,MMWR_TRAD_AGG_STATE_COMP[],N$1,0),"ERROR")</f>
        <v>564</v>
      </c>
      <c r="O53" s="112">
        <f>IFERROR(VLOOKUP($B53,MMWR_TRAD_AGG_STATE_COMP[],O$1,0),"ERROR")</f>
        <v>246</v>
      </c>
      <c r="P53" s="114">
        <f t="shared" si="7"/>
        <v>0.43617021276595747</v>
      </c>
      <c r="Q53" s="115">
        <f>IFERROR(VLOOKUP($B53,MMWR_TRAD_AGG_STATE_COMP[],Q$1,0),"ERROR")</f>
        <v>4</v>
      </c>
      <c r="R53" s="115">
        <f>IFERROR(VLOOKUP($B53,MMWR_TRAD_AGG_STATE_COMP[],R$1,0),"ERROR")</f>
        <v>19</v>
      </c>
      <c r="S53" s="115">
        <f>IFERROR(VLOOKUP($B53,MMWR_APP_STATE_COMP[],S$1,0),"ERROR")</f>
        <v>1987</v>
      </c>
      <c r="T53" s="28"/>
    </row>
    <row r="54" spans="1:20" s="123" customFormat="1" x14ac:dyDescent="0.2">
      <c r="A54" s="28"/>
      <c r="B54" s="127" t="s">
        <v>417</v>
      </c>
      <c r="C54" s="109">
        <f>IFERROR(VLOOKUP($B54,MMWR_TRAD_AGG_STATE_COMP[],C$1,0),"ERROR")</f>
        <v>9078</v>
      </c>
      <c r="D54" s="110">
        <f>IFERROR(VLOOKUP($B54,MMWR_TRAD_AGG_STATE_COMP[],D$1,0),"ERROR")</f>
        <v>398.03238598809997</v>
      </c>
      <c r="E54" s="111">
        <f>IFERROR(VLOOKUP($B54,MMWR_TRAD_AGG_STATE_COMP[],E$1,0),"ERROR")</f>
        <v>5134</v>
      </c>
      <c r="F54" s="112">
        <f>IFERROR(VLOOKUP($B54,MMWR_TRAD_AGG_STATE_COMP[],F$1,0),"ERROR")</f>
        <v>1736</v>
      </c>
      <c r="G54" s="113">
        <f t="shared" si="4"/>
        <v>0.33813790416828982</v>
      </c>
      <c r="H54" s="111">
        <f>IFERROR(VLOOKUP($B54,MMWR_TRAD_AGG_STATE_COMP[],H$1,0),"ERROR")</f>
        <v>12281</v>
      </c>
      <c r="I54" s="112">
        <f>IFERROR(VLOOKUP($B54,MMWR_TRAD_AGG_STATE_COMP[],I$1,0),"ERROR")</f>
        <v>8358</v>
      </c>
      <c r="J54" s="114">
        <f t="shared" si="5"/>
        <v>0.68056347202996503</v>
      </c>
      <c r="K54" s="111">
        <f>IFERROR(VLOOKUP($B54,MMWR_TRAD_AGG_STATE_COMP[],K$1,0),"ERROR")</f>
        <v>3714</v>
      </c>
      <c r="L54" s="112">
        <f>IFERROR(VLOOKUP($B54,MMWR_TRAD_AGG_STATE_COMP[],L$1,0),"ERROR")</f>
        <v>3049</v>
      </c>
      <c r="M54" s="114">
        <f t="shared" si="6"/>
        <v>0.82094776521270862</v>
      </c>
      <c r="N54" s="111">
        <f>IFERROR(VLOOKUP($B54,MMWR_TRAD_AGG_STATE_COMP[],N$1,0),"ERROR")</f>
        <v>1849</v>
      </c>
      <c r="O54" s="112">
        <f>IFERROR(VLOOKUP($B54,MMWR_TRAD_AGG_STATE_COMP[],O$1,0),"ERROR")</f>
        <v>667</v>
      </c>
      <c r="P54" s="114">
        <f t="shared" si="7"/>
        <v>0.36073553272038938</v>
      </c>
      <c r="Q54" s="115">
        <f>IFERROR(VLOOKUP($B54,MMWR_TRAD_AGG_STATE_COMP[],Q$1,0),"ERROR")</f>
        <v>4</v>
      </c>
      <c r="R54" s="115">
        <f>IFERROR(VLOOKUP($B54,MMWR_TRAD_AGG_STATE_COMP[],R$1,0),"ERROR")</f>
        <v>78</v>
      </c>
      <c r="S54" s="115">
        <f>IFERROR(VLOOKUP($B54,MMWR_APP_STATE_COMP[],S$1,0),"ERROR")</f>
        <v>5497</v>
      </c>
      <c r="T54" s="28"/>
    </row>
    <row r="55" spans="1:20" s="123" customFormat="1" x14ac:dyDescent="0.2">
      <c r="A55" s="28"/>
      <c r="B55" s="127" t="s">
        <v>83</v>
      </c>
      <c r="C55" s="109">
        <f>IFERROR(VLOOKUP($B55,MMWR_TRAD_AGG_STATE_COMP[],C$1,0),"ERROR")</f>
        <v>14000</v>
      </c>
      <c r="D55" s="110">
        <f>IFERROR(VLOOKUP($B55,MMWR_TRAD_AGG_STATE_COMP[],D$1,0),"ERROR")</f>
        <v>400.01492857139999</v>
      </c>
      <c r="E55" s="111">
        <f>IFERROR(VLOOKUP($B55,MMWR_TRAD_AGG_STATE_COMP[],E$1,0),"ERROR")</f>
        <v>7051</v>
      </c>
      <c r="F55" s="112">
        <f>IFERROR(VLOOKUP($B55,MMWR_TRAD_AGG_STATE_COMP[],F$1,0),"ERROR")</f>
        <v>1612</v>
      </c>
      <c r="G55" s="113">
        <f t="shared" si="4"/>
        <v>0.22862005389306481</v>
      </c>
      <c r="H55" s="111">
        <f>IFERROR(VLOOKUP($B55,MMWR_TRAD_AGG_STATE_COMP[],H$1,0),"ERROR")</f>
        <v>20430</v>
      </c>
      <c r="I55" s="112">
        <f>IFERROR(VLOOKUP($B55,MMWR_TRAD_AGG_STATE_COMP[],I$1,0),"ERROR")</f>
        <v>13366</v>
      </c>
      <c r="J55" s="114">
        <f t="shared" si="5"/>
        <v>0.65423396965247183</v>
      </c>
      <c r="K55" s="111">
        <f>IFERROR(VLOOKUP($B55,MMWR_TRAD_AGG_STATE_COMP[],K$1,0),"ERROR")</f>
        <v>3532</v>
      </c>
      <c r="L55" s="112">
        <f>IFERROR(VLOOKUP($B55,MMWR_TRAD_AGG_STATE_COMP[],L$1,0),"ERROR")</f>
        <v>3140</v>
      </c>
      <c r="M55" s="114">
        <f t="shared" si="6"/>
        <v>0.88901472253680636</v>
      </c>
      <c r="N55" s="111">
        <f>IFERROR(VLOOKUP($B55,MMWR_TRAD_AGG_STATE_COMP[],N$1,0),"ERROR")</f>
        <v>4984</v>
      </c>
      <c r="O55" s="112">
        <f>IFERROR(VLOOKUP($B55,MMWR_TRAD_AGG_STATE_COMP[],O$1,0),"ERROR")</f>
        <v>4028</v>
      </c>
      <c r="P55" s="114">
        <f t="shared" si="7"/>
        <v>0.8081861958266453</v>
      </c>
      <c r="Q55" s="115">
        <f>IFERROR(VLOOKUP($B55,MMWR_TRAD_AGG_STATE_COMP[],Q$1,0),"ERROR")</f>
        <v>11</v>
      </c>
      <c r="R55" s="115">
        <f>IFERROR(VLOOKUP($B55,MMWR_TRAD_AGG_STATE_COMP[],R$1,0),"ERROR")</f>
        <v>144</v>
      </c>
      <c r="S55" s="115">
        <f>IFERROR(VLOOKUP($B55,MMWR_APP_STATE_COMP[],S$1,0),"ERROR")</f>
        <v>5004</v>
      </c>
      <c r="T55" s="28"/>
    </row>
    <row r="56" spans="1:20" s="123" customFormat="1" x14ac:dyDescent="0.2">
      <c r="A56" s="28"/>
      <c r="B56" s="126" t="s">
        <v>388</v>
      </c>
      <c r="C56" s="102">
        <f>IFERROR(VLOOKUP($B56,MMWR_TRAD_AGG_ST_DISTRICT_COMP[],C$1,0),"ERROR")</f>
        <v>80557</v>
      </c>
      <c r="D56" s="103">
        <f>IFERROR(VLOOKUP($B56,MMWR_TRAD_AGG_ST_DISTRICT_COMP[],D$1,0),"ERROR")</f>
        <v>352.99577938599998</v>
      </c>
      <c r="E56" s="102">
        <f>IFERROR(VLOOKUP($B56,MMWR_TRAD_AGG_ST_DISTRICT_COMP[],E$1,0),"ERROR")</f>
        <v>78057</v>
      </c>
      <c r="F56" s="102">
        <f>IFERROR(VLOOKUP($B56,MMWR_TRAD_AGG_ST_DISTRICT_COMP[],F$1,0),"ERROR")</f>
        <v>18436</v>
      </c>
      <c r="G56" s="104">
        <f t="shared" si="4"/>
        <v>0.23618637662221198</v>
      </c>
      <c r="H56" s="102">
        <f>IFERROR(VLOOKUP($B56,MMWR_TRAD_AGG_ST_DISTRICT_COMP[],H$1,0),"ERROR")</f>
        <v>112671</v>
      </c>
      <c r="I56" s="102">
        <f>IFERROR(VLOOKUP($B56,MMWR_TRAD_AGG_ST_DISTRICT_COMP[],I$1,0),"ERROR")</f>
        <v>70985</v>
      </c>
      <c r="J56" s="105">
        <f t="shared" si="5"/>
        <v>0.63002014715410359</v>
      </c>
      <c r="K56" s="102">
        <f>IFERROR(VLOOKUP($B56,MMWR_TRAD_AGG_ST_DISTRICT_COMP[],K$1,0),"ERROR")</f>
        <v>20772</v>
      </c>
      <c r="L56" s="102">
        <f>IFERROR(VLOOKUP($B56,MMWR_TRAD_AGG_ST_DISTRICT_COMP[],L$1,0),"ERROR")</f>
        <v>16089</v>
      </c>
      <c r="M56" s="105">
        <f t="shared" si="6"/>
        <v>0.77455228191796655</v>
      </c>
      <c r="N56" s="102">
        <f>IFERROR(VLOOKUP($B56,MMWR_TRAD_AGG_ST_DISTRICT_COMP[],N$1,0),"ERROR")</f>
        <v>41310</v>
      </c>
      <c r="O56" s="102">
        <f>IFERROR(VLOOKUP($B56,MMWR_TRAD_AGG_ST_DISTRICT_COMP[],O$1,0),"ERROR")</f>
        <v>21846</v>
      </c>
      <c r="P56" s="105">
        <f t="shared" si="7"/>
        <v>0.52883079157588964</v>
      </c>
      <c r="Q56" s="102">
        <f>IFERROR(VLOOKUP($B56,MMWR_TRAD_AGG_ST_DISTRICT_COMP[],Q$1,0),"ERROR")</f>
        <v>3036</v>
      </c>
      <c r="R56" s="106">
        <f>IFERROR(VLOOKUP($B56,MMWR_TRAD_AGG_ST_DISTRICT_COMP[],R$1,0),"ERROR")</f>
        <v>1121</v>
      </c>
      <c r="S56" s="106">
        <f>SUM(S57:S63)</f>
        <v>85542</v>
      </c>
      <c r="T56" s="28"/>
    </row>
    <row r="57" spans="1:20" s="123" customFormat="1" x14ac:dyDescent="0.2">
      <c r="A57" s="28"/>
      <c r="B57" s="127" t="s">
        <v>396</v>
      </c>
      <c r="C57" s="109">
        <f>IFERROR(VLOOKUP($B57,MMWR_TRAD_AGG_STATE_COMP[],C$1,0),"ERROR")</f>
        <v>14211</v>
      </c>
      <c r="D57" s="110">
        <f>IFERROR(VLOOKUP($B57,MMWR_TRAD_AGG_STATE_COMP[],D$1,0),"ERROR")</f>
        <v>368.11983674620001</v>
      </c>
      <c r="E57" s="111">
        <f>IFERROR(VLOOKUP($B57,MMWR_TRAD_AGG_STATE_COMP[],E$1,0),"ERROR")</f>
        <v>8246</v>
      </c>
      <c r="F57" s="112">
        <f>IFERROR(VLOOKUP($B57,MMWR_TRAD_AGG_STATE_COMP[],F$1,0),"ERROR")</f>
        <v>1290</v>
      </c>
      <c r="G57" s="113">
        <f t="shared" si="4"/>
        <v>0.15643948581130246</v>
      </c>
      <c r="H57" s="111">
        <f>IFERROR(VLOOKUP($B57,MMWR_TRAD_AGG_STATE_COMP[],H$1,0),"ERROR")</f>
        <v>16796</v>
      </c>
      <c r="I57" s="112">
        <f>IFERROR(VLOOKUP($B57,MMWR_TRAD_AGG_STATE_COMP[],I$1,0),"ERROR")</f>
        <v>11740</v>
      </c>
      <c r="J57" s="114">
        <f t="shared" si="5"/>
        <v>0.69897594665396523</v>
      </c>
      <c r="K57" s="111">
        <f>IFERROR(VLOOKUP($B57,MMWR_TRAD_AGG_STATE_COMP[],K$1,0),"ERROR")</f>
        <v>4305</v>
      </c>
      <c r="L57" s="112">
        <f>IFERROR(VLOOKUP($B57,MMWR_TRAD_AGG_STATE_COMP[],L$1,0),"ERROR")</f>
        <v>3897</v>
      </c>
      <c r="M57" s="114">
        <f t="shared" si="6"/>
        <v>0.90522648083623691</v>
      </c>
      <c r="N57" s="111">
        <f>IFERROR(VLOOKUP($B57,MMWR_TRAD_AGG_STATE_COMP[],N$1,0),"ERROR")</f>
        <v>3186</v>
      </c>
      <c r="O57" s="112">
        <f>IFERROR(VLOOKUP($B57,MMWR_TRAD_AGG_STATE_COMP[],O$1,0),"ERROR")</f>
        <v>1915</v>
      </c>
      <c r="P57" s="114">
        <f t="shared" si="7"/>
        <v>0.60106716886377898</v>
      </c>
      <c r="Q57" s="115">
        <f>IFERROR(VLOOKUP($B57,MMWR_TRAD_AGG_STATE_COMP[],Q$1,0),"ERROR")</f>
        <v>17</v>
      </c>
      <c r="R57" s="115">
        <f>IFERROR(VLOOKUP($B57,MMWR_TRAD_AGG_STATE_COMP[],R$1,0),"ERROR")</f>
        <v>370</v>
      </c>
      <c r="S57" s="115">
        <f>IFERROR(VLOOKUP($B57,MMWR_APP_STATE_COMP[],S$1,0),"ERROR")</f>
        <v>10755</v>
      </c>
      <c r="T57" s="28"/>
    </row>
    <row r="58" spans="1:20" s="123" customFormat="1" x14ac:dyDescent="0.2">
      <c r="A58" s="28"/>
      <c r="B58" s="127" t="s">
        <v>433</v>
      </c>
      <c r="C58" s="109">
        <f>IFERROR(VLOOKUP($B58,MMWR_TRAD_AGG_STATE_COMP[],C$1,0),"ERROR")</f>
        <v>20473</v>
      </c>
      <c r="D58" s="110">
        <f>IFERROR(VLOOKUP($B58,MMWR_TRAD_AGG_STATE_COMP[],D$1,0),"ERROR")</f>
        <v>322.5872124261</v>
      </c>
      <c r="E58" s="111">
        <f>IFERROR(VLOOKUP($B58,MMWR_TRAD_AGG_STATE_COMP[],E$1,0),"ERROR")</f>
        <v>24330</v>
      </c>
      <c r="F58" s="112">
        <f>IFERROR(VLOOKUP($B58,MMWR_TRAD_AGG_STATE_COMP[],F$1,0),"ERROR")</f>
        <v>6807</v>
      </c>
      <c r="G58" s="113">
        <f t="shared" si="4"/>
        <v>0.27977805178791615</v>
      </c>
      <c r="H58" s="111">
        <f>IFERROR(VLOOKUP($B58,MMWR_TRAD_AGG_STATE_COMP[],H$1,0),"ERROR")</f>
        <v>28688</v>
      </c>
      <c r="I58" s="112">
        <f>IFERROR(VLOOKUP($B58,MMWR_TRAD_AGG_STATE_COMP[],I$1,0),"ERROR")</f>
        <v>17107</v>
      </c>
      <c r="J58" s="114">
        <f t="shared" si="5"/>
        <v>0.59631204684885664</v>
      </c>
      <c r="K58" s="111">
        <f>IFERROR(VLOOKUP($B58,MMWR_TRAD_AGG_STATE_COMP[],K$1,0),"ERROR")</f>
        <v>3692</v>
      </c>
      <c r="L58" s="112">
        <f>IFERROR(VLOOKUP($B58,MMWR_TRAD_AGG_STATE_COMP[],L$1,0),"ERROR")</f>
        <v>2631</v>
      </c>
      <c r="M58" s="114">
        <f t="shared" si="6"/>
        <v>0.71262188515709646</v>
      </c>
      <c r="N58" s="111">
        <f>IFERROR(VLOOKUP($B58,MMWR_TRAD_AGG_STATE_COMP[],N$1,0),"ERROR")</f>
        <v>12501</v>
      </c>
      <c r="O58" s="112">
        <f>IFERROR(VLOOKUP($B58,MMWR_TRAD_AGG_STATE_COMP[],O$1,0),"ERROR")</f>
        <v>6978</v>
      </c>
      <c r="P58" s="114">
        <f t="shared" si="7"/>
        <v>0.55819534437245022</v>
      </c>
      <c r="Q58" s="115">
        <f>IFERROR(VLOOKUP($B58,MMWR_TRAD_AGG_STATE_COMP[],Q$1,0),"ERROR")</f>
        <v>1509</v>
      </c>
      <c r="R58" s="115">
        <f>IFERROR(VLOOKUP($B58,MMWR_TRAD_AGG_STATE_COMP[],R$1,0),"ERROR")</f>
        <v>258</v>
      </c>
      <c r="S58" s="115">
        <f>IFERROR(VLOOKUP($B58,MMWR_APP_STATE_COMP[],S$1,0),"ERROR")</f>
        <v>28907</v>
      </c>
      <c r="T58" s="28"/>
    </row>
    <row r="59" spans="1:20" s="123" customFormat="1" x14ac:dyDescent="0.2">
      <c r="A59" s="28"/>
      <c r="B59" s="127" t="s">
        <v>389</v>
      </c>
      <c r="C59" s="109">
        <f>IFERROR(VLOOKUP($B59,MMWR_TRAD_AGG_STATE_COMP[],C$1,0),"ERROR")</f>
        <v>16609</v>
      </c>
      <c r="D59" s="110">
        <f>IFERROR(VLOOKUP($B59,MMWR_TRAD_AGG_STATE_COMP[],D$1,0),"ERROR")</f>
        <v>344.0939249804</v>
      </c>
      <c r="E59" s="111">
        <f>IFERROR(VLOOKUP($B59,MMWR_TRAD_AGG_STATE_COMP[],E$1,0),"ERROR")</f>
        <v>18549</v>
      </c>
      <c r="F59" s="112">
        <f>IFERROR(VLOOKUP($B59,MMWR_TRAD_AGG_STATE_COMP[],F$1,0),"ERROR")</f>
        <v>4030</v>
      </c>
      <c r="G59" s="113">
        <f t="shared" si="4"/>
        <v>0.21726238611245891</v>
      </c>
      <c r="H59" s="111">
        <f>IFERROR(VLOOKUP($B59,MMWR_TRAD_AGG_STATE_COMP[],H$1,0),"ERROR")</f>
        <v>24559</v>
      </c>
      <c r="I59" s="112">
        <f>IFERROR(VLOOKUP($B59,MMWR_TRAD_AGG_STATE_COMP[],I$1,0),"ERROR")</f>
        <v>15195</v>
      </c>
      <c r="J59" s="114">
        <f t="shared" si="5"/>
        <v>0.61871411702430879</v>
      </c>
      <c r="K59" s="111">
        <f>IFERROR(VLOOKUP($B59,MMWR_TRAD_AGG_STATE_COMP[],K$1,0),"ERROR")</f>
        <v>5492</v>
      </c>
      <c r="L59" s="112">
        <f>IFERROR(VLOOKUP($B59,MMWR_TRAD_AGG_STATE_COMP[],L$1,0),"ERROR")</f>
        <v>4445</v>
      </c>
      <c r="M59" s="114">
        <f t="shared" si="6"/>
        <v>0.80935906773488708</v>
      </c>
      <c r="N59" s="111">
        <f>IFERROR(VLOOKUP($B59,MMWR_TRAD_AGG_STATE_COMP[],N$1,0),"ERROR")</f>
        <v>18472</v>
      </c>
      <c r="O59" s="112">
        <f>IFERROR(VLOOKUP($B59,MMWR_TRAD_AGG_STATE_COMP[],O$1,0),"ERROR")</f>
        <v>9019</v>
      </c>
      <c r="P59" s="114">
        <f t="shared" si="7"/>
        <v>0.48825249025552186</v>
      </c>
      <c r="Q59" s="115">
        <f>IFERROR(VLOOKUP($B59,MMWR_TRAD_AGG_STATE_COMP[],Q$1,0),"ERROR")</f>
        <v>751</v>
      </c>
      <c r="R59" s="115">
        <f>IFERROR(VLOOKUP($B59,MMWR_TRAD_AGG_STATE_COMP[],R$1,0),"ERROR")</f>
        <v>40</v>
      </c>
      <c r="S59" s="115">
        <f>IFERROR(VLOOKUP($B59,MMWR_APP_STATE_COMP[],S$1,0),"ERROR")</f>
        <v>16848</v>
      </c>
      <c r="T59" s="28"/>
    </row>
    <row r="60" spans="1:20" s="123" customFormat="1" x14ac:dyDescent="0.2">
      <c r="A60" s="28"/>
      <c r="B60" s="127" t="s">
        <v>401</v>
      </c>
      <c r="C60" s="109">
        <f>IFERROR(VLOOKUP($B60,MMWR_TRAD_AGG_STATE_COMP[],C$1,0),"ERROR")</f>
        <v>7925</v>
      </c>
      <c r="D60" s="110">
        <f>IFERROR(VLOOKUP($B60,MMWR_TRAD_AGG_STATE_COMP[],D$1,0),"ERROR")</f>
        <v>532.83785488959995</v>
      </c>
      <c r="E60" s="111">
        <f>IFERROR(VLOOKUP($B60,MMWR_TRAD_AGG_STATE_COMP[],E$1,0),"ERROR")</f>
        <v>4456</v>
      </c>
      <c r="F60" s="112">
        <f>IFERROR(VLOOKUP($B60,MMWR_TRAD_AGG_STATE_COMP[],F$1,0),"ERROR")</f>
        <v>1012</v>
      </c>
      <c r="G60" s="113">
        <f t="shared" si="4"/>
        <v>0.22710951526032316</v>
      </c>
      <c r="H60" s="111">
        <f>IFERROR(VLOOKUP($B60,MMWR_TRAD_AGG_STATE_COMP[],H$1,0),"ERROR")</f>
        <v>10971</v>
      </c>
      <c r="I60" s="112">
        <f>IFERROR(VLOOKUP($B60,MMWR_TRAD_AGG_STATE_COMP[],I$1,0),"ERROR")</f>
        <v>7383</v>
      </c>
      <c r="J60" s="114">
        <f t="shared" si="5"/>
        <v>0.67295597484276726</v>
      </c>
      <c r="K60" s="111">
        <f>IFERROR(VLOOKUP($B60,MMWR_TRAD_AGG_STATE_COMP[],K$1,0),"ERROR")</f>
        <v>2747</v>
      </c>
      <c r="L60" s="112">
        <f>IFERROR(VLOOKUP($B60,MMWR_TRAD_AGG_STATE_COMP[],L$1,0),"ERROR")</f>
        <v>2152</v>
      </c>
      <c r="M60" s="114">
        <f t="shared" si="6"/>
        <v>0.78340007280669821</v>
      </c>
      <c r="N60" s="111">
        <f>IFERROR(VLOOKUP($B60,MMWR_TRAD_AGG_STATE_COMP[],N$1,0),"ERROR")</f>
        <v>862</v>
      </c>
      <c r="O60" s="112">
        <f>IFERROR(VLOOKUP($B60,MMWR_TRAD_AGG_STATE_COMP[],O$1,0),"ERROR")</f>
        <v>480</v>
      </c>
      <c r="P60" s="114">
        <f t="shared" si="7"/>
        <v>0.55684454756380508</v>
      </c>
      <c r="Q60" s="115">
        <f>IFERROR(VLOOKUP($B60,MMWR_TRAD_AGG_STATE_COMP[],Q$1,0),"ERROR")</f>
        <v>42</v>
      </c>
      <c r="R60" s="115">
        <f>IFERROR(VLOOKUP($B60,MMWR_TRAD_AGG_STATE_COMP[],R$1,0),"ERROR")</f>
        <v>157</v>
      </c>
      <c r="S60" s="115">
        <f>IFERROR(VLOOKUP($B60,MMWR_APP_STATE_COMP[],S$1,0),"ERROR")</f>
        <v>3322</v>
      </c>
      <c r="T60" s="28"/>
    </row>
    <row r="61" spans="1:20" s="123" customFormat="1" x14ac:dyDescent="0.2">
      <c r="A61" s="28"/>
      <c r="B61" s="127" t="s">
        <v>435</v>
      </c>
      <c r="C61" s="109">
        <f>IFERROR(VLOOKUP($B61,MMWR_TRAD_AGG_STATE_COMP[],C$1,0),"ERROR")</f>
        <v>2654</v>
      </c>
      <c r="D61" s="110">
        <f>IFERROR(VLOOKUP($B61,MMWR_TRAD_AGG_STATE_COMP[],D$1,0),"ERROR")</f>
        <v>275.49472494349999</v>
      </c>
      <c r="E61" s="111">
        <f>IFERROR(VLOOKUP($B61,MMWR_TRAD_AGG_STATE_COMP[],E$1,0),"ERROR")</f>
        <v>3000</v>
      </c>
      <c r="F61" s="112">
        <f>IFERROR(VLOOKUP($B61,MMWR_TRAD_AGG_STATE_COMP[],F$1,0),"ERROR")</f>
        <v>777</v>
      </c>
      <c r="G61" s="113">
        <f t="shared" si="4"/>
        <v>0.25900000000000001</v>
      </c>
      <c r="H61" s="111">
        <f>IFERROR(VLOOKUP($B61,MMWR_TRAD_AGG_STATE_COMP[],H$1,0),"ERROR")</f>
        <v>4585</v>
      </c>
      <c r="I61" s="112">
        <f>IFERROR(VLOOKUP($B61,MMWR_TRAD_AGG_STATE_COMP[],I$1,0),"ERROR")</f>
        <v>2966</v>
      </c>
      <c r="J61" s="114">
        <f t="shared" si="5"/>
        <v>0.64689203925845151</v>
      </c>
      <c r="K61" s="111">
        <f>IFERROR(VLOOKUP($B61,MMWR_TRAD_AGG_STATE_COMP[],K$1,0),"ERROR")</f>
        <v>724</v>
      </c>
      <c r="L61" s="112">
        <f>IFERROR(VLOOKUP($B61,MMWR_TRAD_AGG_STATE_COMP[],L$1,0),"ERROR")</f>
        <v>613</v>
      </c>
      <c r="M61" s="114">
        <f t="shared" si="6"/>
        <v>0.84668508287292821</v>
      </c>
      <c r="N61" s="111">
        <f>IFERROR(VLOOKUP($B61,MMWR_TRAD_AGG_STATE_COMP[],N$1,0),"ERROR")</f>
        <v>1565</v>
      </c>
      <c r="O61" s="112">
        <f>IFERROR(VLOOKUP($B61,MMWR_TRAD_AGG_STATE_COMP[],O$1,0),"ERROR")</f>
        <v>737</v>
      </c>
      <c r="P61" s="114">
        <f t="shared" si="7"/>
        <v>0.47092651757188497</v>
      </c>
      <c r="Q61" s="115">
        <f>IFERROR(VLOOKUP($B61,MMWR_TRAD_AGG_STATE_COMP[],Q$1,0),"ERROR")</f>
        <v>243</v>
      </c>
      <c r="R61" s="115">
        <f>IFERROR(VLOOKUP($B61,MMWR_TRAD_AGG_STATE_COMP[],R$1,0),"ERROR")</f>
        <v>5</v>
      </c>
      <c r="S61" s="115">
        <f>IFERROR(VLOOKUP($B61,MMWR_APP_STATE_COMP[],S$1,0),"ERROR")</f>
        <v>6291</v>
      </c>
      <c r="T61" s="28"/>
    </row>
    <row r="62" spans="1:20" s="123" customFormat="1" x14ac:dyDescent="0.2">
      <c r="A62" s="28"/>
      <c r="B62" s="127" t="s">
        <v>391</v>
      </c>
      <c r="C62" s="109">
        <f>IFERROR(VLOOKUP($B62,MMWR_TRAD_AGG_STATE_COMP[],C$1,0),"ERROR")</f>
        <v>11557</v>
      </c>
      <c r="D62" s="110">
        <f>IFERROR(VLOOKUP($B62,MMWR_TRAD_AGG_STATE_COMP[],D$1,0),"ERROR")</f>
        <v>344.56710218910001</v>
      </c>
      <c r="E62" s="111">
        <f>IFERROR(VLOOKUP($B62,MMWR_TRAD_AGG_STATE_COMP[],E$1,0),"ERROR")</f>
        <v>9763</v>
      </c>
      <c r="F62" s="112">
        <f>IFERROR(VLOOKUP($B62,MMWR_TRAD_AGG_STATE_COMP[],F$1,0),"ERROR")</f>
        <v>2358</v>
      </c>
      <c r="G62" s="113">
        <f t="shared" si="4"/>
        <v>0.24152412168390863</v>
      </c>
      <c r="H62" s="111">
        <f>IFERROR(VLOOKUP($B62,MMWR_TRAD_AGG_STATE_COMP[],H$1,0),"ERROR")</f>
        <v>16515</v>
      </c>
      <c r="I62" s="112">
        <f>IFERROR(VLOOKUP($B62,MMWR_TRAD_AGG_STATE_COMP[],I$1,0),"ERROR")</f>
        <v>10941</v>
      </c>
      <c r="J62" s="114">
        <f t="shared" si="5"/>
        <v>0.66248864668483198</v>
      </c>
      <c r="K62" s="111">
        <f>IFERROR(VLOOKUP($B62,MMWR_TRAD_AGG_STATE_COMP[],K$1,0),"ERROR")</f>
        <v>2198</v>
      </c>
      <c r="L62" s="112">
        <f>IFERROR(VLOOKUP($B62,MMWR_TRAD_AGG_STATE_COMP[],L$1,0),"ERROR")</f>
        <v>1047</v>
      </c>
      <c r="M62" s="114">
        <f t="shared" si="6"/>
        <v>0.47634212920837127</v>
      </c>
      <c r="N62" s="111">
        <f>IFERROR(VLOOKUP($B62,MMWR_TRAD_AGG_STATE_COMP[],N$1,0),"ERROR")</f>
        <v>2809</v>
      </c>
      <c r="O62" s="112">
        <f>IFERROR(VLOOKUP($B62,MMWR_TRAD_AGG_STATE_COMP[],O$1,0),"ERROR")</f>
        <v>1575</v>
      </c>
      <c r="P62" s="114">
        <f t="shared" si="7"/>
        <v>0.56069775720897119</v>
      </c>
      <c r="Q62" s="115">
        <f>IFERROR(VLOOKUP($B62,MMWR_TRAD_AGG_STATE_COMP[],Q$1,0),"ERROR")</f>
        <v>432</v>
      </c>
      <c r="R62" s="115">
        <f>IFERROR(VLOOKUP($B62,MMWR_TRAD_AGG_STATE_COMP[],R$1,0),"ERROR")</f>
        <v>63</v>
      </c>
      <c r="S62" s="115">
        <f>IFERROR(VLOOKUP($B62,MMWR_APP_STATE_COMP[],S$1,0),"ERROR")</f>
        <v>12397</v>
      </c>
      <c r="T62" s="28"/>
    </row>
    <row r="63" spans="1:20" s="123" customFormat="1" x14ac:dyDescent="0.2">
      <c r="A63" s="28"/>
      <c r="B63" s="127" t="s">
        <v>392</v>
      </c>
      <c r="C63" s="109">
        <f>IFERROR(VLOOKUP($B63,MMWR_TRAD_AGG_STATE_COMP[],C$1,0),"ERROR")</f>
        <v>7128</v>
      </c>
      <c r="D63" s="110">
        <f>IFERROR(VLOOKUP($B63,MMWR_TRAD_AGG_STATE_COMP[],D$1,0),"ERROR")</f>
        <v>273.49621212120002</v>
      </c>
      <c r="E63" s="111">
        <f>IFERROR(VLOOKUP($B63,MMWR_TRAD_AGG_STATE_COMP[],E$1,0),"ERROR")</f>
        <v>9713</v>
      </c>
      <c r="F63" s="112">
        <f>IFERROR(VLOOKUP($B63,MMWR_TRAD_AGG_STATE_COMP[],F$1,0),"ERROR")</f>
        <v>2162</v>
      </c>
      <c r="G63" s="113">
        <f t="shared" si="4"/>
        <v>0.22258828374343664</v>
      </c>
      <c r="H63" s="111">
        <f>IFERROR(VLOOKUP($B63,MMWR_TRAD_AGG_STATE_COMP[],H$1,0),"ERROR")</f>
        <v>10557</v>
      </c>
      <c r="I63" s="112">
        <f>IFERROR(VLOOKUP($B63,MMWR_TRAD_AGG_STATE_COMP[],I$1,0),"ERROR")</f>
        <v>5653</v>
      </c>
      <c r="J63" s="114">
        <f t="shared" si="5"/>
        <v>0.53547409301885007</v>
      </c>
      <c r="K63" s="111">
        <f>IFERROR(VLOOKUP($B63,MMWR_TRAD_AGG_STATE_COMP[],K$1,0),"ERROR")</f>
        <v>1614</v>
      </c>
      <c r="L63" s="112">
        <f>IFERROR(VLOOKUP($B63,MMWR_TRAD_AGG_STATE_COMP[],L$1,0),"ERROR")</f>
        <v>1304</v>
      </c>
      <c r="M63" s="114">
        <f t="shared" si="6"/>
        <v>0.80793060718711274</v>
      </c>
      <c r="N63" s="111">
        <f>IFERROR(VLOOKUP($B63,MMWR_TRAD_AGG_STATE_COMP[],N$1,0),"ERROR")</f>
        <v>1915</v>
      </c>
      <c r="O63" s="112">
        <f>IFERROR(VLOOKUP($B63,MMWR_TRAD_AGG_STATE_COMP[],O$1,0),"ERROR")</f>
        <v>1142</v>
      </c>
      <c r="P63" s="114">
        <f t="shared" si="7"/>
        <v>0.59634464751958227</v>
      </c>
      <c r="Q63" s="115">
        <f>IFERROR(VLOOKUP($B63,MMWR_TRAD_AGG_STATE_COMP[],Q$1,0),"ERROR")</f>
        <v>42</v>
      </c>
      <c r="R63" s="115">
        <f>IFERROR(VLOOKUP($B63,MMWR_TRAD_AGG_STATE_COMP[],R$1,0),"ERROR")</f>
        <v>228</v>
      </c>
      <c r="S63" s="115">
        <f>IFERROR(VLOOKUP($B63,MMWR_APP_STATE_COMP[],S$1,0),"ERROR")</f>
        <v>7022</v>
      </c>
      <c r="T63" s="28"/>
    </row>
    <row r="64" spans="1:20" s="123" customFormat="1" x14ac:dyDescent="0.2">
      <c r="A64" s="28"/>
      <c r="B64" s="128" t="s">
        <v>8</v>
      </c>
      <c r="C64" s="102">
        <f>IFERROR(VLOOKUP($B64,MMWR_TRAD_AGG_ST_DISTRICT_COMP[],C$1,0),"ERROR")</f>
        <v>8760</v>
      </c>
      <c r="D64" s="103">
        <f>IFERROR(VLOOKUP($B64,MMWR_TRAD_AGG_ST_DISTRICT_COMP[],D$1,0),"ERROR")</f>
        <v>420.129109589</v>
      </c>
      <c r="E64" s="102">
        <f>IFERROR(VLOOKUP($B64,MMWR_TRAD_AGG_ST_DISTRICT_COMP[],E$1,0),"ERROR")</f>
        <v>4065</v>
      </c>
      <c r="F64" s="102">
        <f>IFERROR(VLOOKUP($B64,MMWR_TRAD_AGG_ST_DISTRICT_COMP[],F$1,0),"ERROR")</f>
        <v>1716</v>
      </c>
      <c r="G64" s="104">
        <f t="shared" si="4"/>
        <v>0.42214022140221402</v>
      </c>
      <c r="H64" s="102">
        <f>IFERROR(VLOOKUP($B64,MMWR_TRAD_AGG_ST_DISTRICT_COMP[],H$1,0),"ERROR")</f>
        <v>10669</v>
      </c>
      <c r="I64" s="102">
        <f>IFERROR(VLOOKUP($B64,MMWR_TRAD_AGG_ST_DISTRICT_COMP[],I$1,0),"ERROR")</f>
        <v>8192</v>
      </c>
      <c r="J64" s="105">
        <f t="shared" si="5"/>
        <v>0.76783203674196265</v>
      </c>
      <c r="K64" s="102">
        <f>IFERROR(VLOOKUP($B64,MMWR_TRAD_AGG_ST_DISTRICT_COMP[],K$1,0),"ERROR")</f>
        <v>1344</v>
      </c>
      <c r="L64" s="102">
        <f>IFERROR(VLOOKUP($B64,MMWR_TRAD_AGG_ST_DISTRICT_COMP[],L$1,0),"ERROR")</f>
        <v>1151</v>
      </c>
      <c r="M64" s="105">
        <f t="shared" si="6"/>
        <v>0.85639880952380953</v>
      </c>
      <c r="N64" s="102">
        <f>IFERROR(VLOOKUP($B64,MMWR_TRAD_AGG_ST_DISTRICT_COMP[],N$1,0),"ERROR")</f>
        <v>14917</v>
      </c>
      <c r="O64" s="102">
        <f>IFERROR(VLOOKUP($B64,MMWR_TRAD_AGG_ST_DISTRICT_COMP[],O$1,0),"ERROR")</f>
        <v>12599</v>
      </c>
      <c r="P64" s="105">
        <f t="shared" si="7"/>
        <v>0.84460682442850443</v>
      </c>
      <c r="Q64" s="102">
        <f>IFERROR(VLOOKUP($B64,MMWR_TRAD_AGG_ST_DISTRICT_COMP[],Q$1,0),"ERROR")</f>
        <v>380</v>
      </c>
      <c r="R64" s="106">
        <f>IFERROR(VLOOKUP($B64,MMWR_TRAD_AGG_ST_DISTRICT_COMP[],R$1,0),"ERROR")</f>
        <v>155</v>
      </c>
      <c r="S64" s="106">
        <f>IFERROR(VLOOKUP($B64,MMWR_APP_STATE_COMP[],S$1,0),"ERROR")</f>
        <v>396</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3" t="s">
        <v>495</v>
      </c>
      <c r="D66" s="454"/>
      <c r="E66" s="454"/>
      <c r="F66" s="454"/>
      <c r="G66" s="454"/>
      <c r="H66" s="454"/>
      <c r="I66" s="454"/>
      <c r="J66" s="454"/>
      <c r="K66" s="454"/>
      <c r="L66" s="454"/>
      <c r="M66" s="454"/>
      <c r="N66" s="454"/>
      <c r="O66" s="454"/>
      <c r="P66" s="454"/>
      <c r="Q66" s="454"/>
      <c r="R66" s="454"/>
      <c r="S66" s="455"/>
      <c r="T66" s="28"/>
    </row>
    <row r="67" spans="1:20" s="123" customFormat="1" x14ac:dyDescent="0.2">
      <c r="A67" s="28"/>
      <c r="B67" s="26"/>
      <c r="C67" s="461" t="s">
        <v>231</v>
      </c>
      <c r="D67" s="461"/>
      <c r="E67" s="458" t="s">
        <v>211</v>
      </c>
      <c r="F67" s="459"/>
      <c r="G67" s="460"/>
      <c r="H67" s="458" t="s">
        <v>7</v>
      </c>
      <c r="I67" s="459"/>
      <c r="J67" s="460"/>
      <c r="K67" s="458" t="s">
        <v>33</v>
      </c>
      <c r="L67" s="459"/>
      <c r="M67" s="460"/>
      <c r="N67" s="458" t="s">
        <v>8</v>
      </c>
      <c r="O67" s="459"/>
      <c r="P67" s="460"/>
      <c r="Q67" s="81" t="s">
        <v>9</v>
      </c>
      <c r="R67" s="82" t="s">
        <v>10</v>
      </c>
      <c r="S67" s="82" t="s">
        <v>11</v>
      </c>
      <c r="T67" s="28"/>
    </row>
    <row r="68" spans="1:20" s="123" customFormat="1" ht="38.25" x14ac:dyDescent="0.2">
      <c r="A68" s="28"/>
      <c r="B68" s="54"/>
      <c r="C68" s="84" t="s">
        <v>12</v>
      </c>
      <c r="D68" s="85" t="s">
        <v>140</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496</v>
      </c>
      <c r="T68" s="28"/>
    </row>
    <row r="69" spans="1:20" s="123" customFormat="1" x14ac:dyDescent="0.2">
      <c r="A69" s="28"/>
      <c r="B69" s="129" t="s">
        <v>470</v>
      </c>
      <c r="C69" s="119">
        <f>IFERROR(VLOOKUP($B69,MMWR_TRAD_AGG_RO_PEN[],C$1,0),"ERROR")</f>
        <v>16939</v>
      </c>
      <c r="D69" s="120">
        <f>IFERROR(VLOOKUP($B69,MMWR_TRAD_AGG_RO_PEN[],D$1,0),"ERROR")</f>
        <v>88.463309522399996</v>
      </c>
      <c r="E69" s="119">
        <f>IFERROR(VLOOKUP($B69,MMWR_TRAD_AGG_RO_PEN[],E$1,0),"ERROR")</f>
        <v>26397</v>
      </c>
      <c r="F69" s="119">
        <f>IFERROR(VLOOKUP($B69,MMWR_TRAD_AGG_RO_PEN[],F$1,0),"ERROR")</f>
        <v>3990</v>
      </c>
      <c r="G69" s="98">
        <f t="shared" ref="G69:G100" si="8">IFERROR(F69/E69,"0%")</f>
        <v>0.15115354017501989</v>
      </c>
      <c r="H69" s="119">
        <f>IFERROR(VLOOKUP($B69,MMWR_TRAD_AGG_RO_PEN[],H$1,0),"ERROR")</f>
        <v>28527</v>
      </c>
      <c r="I69" s="119">
        <f>IFERROR(VLOOKUP($B69,MMWR_TRAD_AGG_RO_PEN[],I$1,0),"ERROR")</f>
        <v>6556</v>
      </c>
      <c r="J69" s="98">
        <f t="shared" ref="J69:J100" si="9">IFERROR(I69/H69,"0%")</f>
        <v>0.22981736600413644</v>
      </c>
      <c r="K69" s="119">
        <f>IFERROR(VLOOKUP($B69,MMWR_TRAD_AGG_RO_PEN[],K$1,0),"ERROR")</f>
        <v>709</v>
      </c>
      <c r="L69" s="119">
        <f>IFERROR(VLOOKUP($B69,MMWR_TRAD_AGG_RO_PEN[],L$1,0),"ERROR")</f>
        <v>655</v>
      </c>
      <c r="M69" s="98">
        <f t="shared" ref="M69:M100" si="10">IFERROR(L69/K69,"0%")</f>
        <v>0.92383638928067702</v>
      </c>
      <c r="N69" s="119">
        <f>IFERROR(VLOOKUP($B69,MMWR_TRAD_AGG_RO_PEN[],N$1,0),"ERROR")</f>
        <v>2694</v>
      </c>
      <c r="O69" s="119">
        <f>IFERROR(VLOOKUP($B69,MMWR_TRAD_AGG_RO_PEN[],O$1,0),"ERROR")</f>
        <v>724</v>
      </c>
      <c r="P69" s="98">
        <f t="shared" ref="P69:P100" si="11">IFERROR(O69/N69,"0%")</f>
        <v>0.26874536005939126</v>
      </c>
      <c r="Q69" s="119">
        <f>IFERROR(VLOOKUP($B69,MMWR_TRAD_AGG_RO_PEN[],Q$1,0),"ERROR")</f>
        <v>10690</v>
      </c>
      <c r="R69" s="121">
        <f>IFERROR(VLOOKUP($B69,MMWR_TRAD_AGG_RO_PEN[],R$1,0),"ERROR")</f>
        <v>5183</v>
      </c>
      <c r="S69" s="121">
        <f>S70+S86+S99+S109+S119+S127</f>
        <v>5560</v>
      </c>
      <c r="T69" s="28"/>
    </row>
    <row r="70" spans="1:20" s="123" customFormat="1" x14ac:dyDescent="0.2">
      <c r="A70" s="28"/>
      <c r="B70" s="126" t="s">
        <v>377</v>
      </c>
      <c r="C70" s="102">
        <f>IFERROR(VLOOKUP($B70,MMWR_TRAD_AGG_ST_DISTRICT_PEN[],C$1,0),"ERROR")</f>
        <v>6335</v>
      </c>
      <c r="D70" s="103">
        <f>IFERROR(VLOOKUP($B70,MMWR_TRAD_AGG_ST_DISTRICT_PEN[],D$1,0),"ERROR")</f>
        <v>102.3428571429</v>
      </c>
      <c r="E70" s="102">
        <f>IFERROR(VLOOKUP($B70,MMWR_TRAD_AGG_ST_DISTRICT_PEN[],E$1,0),"ERROR")</f>
        <v>7611</v>
      </c>
      <c r="F70" s="102">
        <f>IFERROR(VLOOKUP($B70,MMWR_TRAD_AGG_ST_DISTRICT_PEN[],F$1,0),"ERROR")</f>
        <v>1988</v>
      </c>
      <c r="G70" s="104">
        <f t="shared" si="8"/>
        <v>0.2612008934436999</v>
      </c>
      <c r="H70" s="102">
        <f>IFERROR(VLOOKUP($B70,MMWR_TRAD_AGG_ST_DISTRICT_PEN[],H$1,0),"ERROR")</f>
        <v>9971</v>
      </c>
      <c r="I70" s="102">
        <f>IFERROR(VLOOKUP($B70,MMWR_TRAD_AGG_ST_DISTRICT_PEN[],I$1,0),"ERROR")</f>
        <v>3020</v>
      </c>
      <c r="J70" s="104">
        <f t="shared" si="9"/>
        <v>0.30287834720689999</v>
      </c>
      <c r="K70" s="102">
        <f>IFERROR(VLOOKUP($B70,MMWR_TRAD_AGG_ST_DISTRICT_PEN[],K$1,0),"ERROR")</f>
        <v>398</v>
      </c>
      <c r="L70" s="102">
        <f>IFERROR(VLOOKUP($B70,MMWR_TRAD_AGG_ST_DISTRICT_PEN[],L$1,0),"ERROR")</f>
        <v>382</v>
      </c>
      <c r="M70" s="104">
        <f t="shared" si="10"/>
        <v>0.95979899497487442</v>
      </c>
      <c r="N70" s="102">
        <f>IFERROR(VLOOKUP($B70,MMWR_TRAD_AGG_ST_DISTRICT_PEN[],N$1,0),"ERROR")</f>
        <v>1215</v>
      </c>
      <c r="O70" s="102">
        <f>IFERROR(VLOOKUP($B70,MMWR_TRAD_AGG_ST_DISTRICT_PEN[],O$1,0),"ERROR")</f>
        <v>269</v>
      </c>
      <c r="P70" s="104">
        <f t="shared" si="11"/>
        <v>0.22139917695473252</v>
      </c>
      <c r="Q70" s="102">
        <f>IFERROR(VLOOKUP($B70,MMWR_TRAD_AGG_ST_DISTRICT_PEN[],Q$1,0),"ERROR")</f>
        <v>839</v>
      </c>
      <c r="R70" s="106">
        <f>IFERROR(VLOOKUP($B70,MMWR_TRAD_AGG_ST_DISTRICT_PEN[],R$1,0),"ERROR")</f>
        <v>2164</v>
      </c>
      <c r="S70" s="106">
        <f>IFERROR(VLOOKUP($B70,MMWR_APP_STATE_PEN[],S$1,0),"ERROR")</f>
        <v>1569</v>
      </c>
      <c r="T70" s="28"/>
    </row>
    <row r="71" spans="1:20" s="123" customFormat="1" x14ac:dyDescent="0.2">
      <c r="A71" s="28"/>
      <c r="B71" s="127" t="s">
        <v>381</v>
      </c>
      <c r="C71" s="109">
        <f>IFERROR(VLOOKUP($B71,MMWR_TRAD_AGG_STATE_PEN[],C$1,0),"ERROR")</f>
        <v>164</v>
      </c>
      <c r="D71" s="110">
        <f>IFERROR(VLOOKUP($B71,MMWR_TRAD_AGG_STATE_PEN[],D$1,0),"ERROR")</f>
        <v>92.756097561000004</v>
      </c>
      <c r="E71" s="111">
        <f>IFERROR(VLOOKUP($B71,MMWR_TRAD_AGG_STATE_PEN[],E$1,0),"ERROR")</f>
        <v>253</v>
      </c>
      <c r="F71" s="112">
        <f>IFERROR(VLOOKUP($B71,MMWR_TRAD_AGG_STATE_PEN[],F$1,0),"ERROR")</f>
        <v>75</v>
      </c>
      <c r="G71" s="113">
        <f t="shared" si="8"/>
        <v>0.29644268774703558</v>
      </c>
      <c r="H71" s="111">
        <f>IFERROR(VLOOKUP($B71,MMWR_TRAD_AGG_STATE_PEN[],H$1,0),"ERROR")</f>
        <v>244</v>
      </c>
      <c r="I71" s="112">
        <f>IFERROR(VLOOKUP($B71,MMWR_TRAD_AGG_STATE_PEN[],I$1,0),"ERROR")</f>
        <v>65</v>
      </c>
      <c r="J71" s="114">
        <f t="shared" si="9"/>
        <v>0.26639344262295084</v>
      </c>
      <c r="K71" s="111">
        <f>IFERROR(VLOOKUP($B71,MMWR_TRAD_AGG_STATE_PEN[],K$1,0),"ERROR")</f>
        <v>5</v>
      </c>
      <c r="L71" s="112">
        <f>IFERROR(VLOOKUP($B71,MMWR_TRAD_AGG_STATE_PEN[],L$1,0),"ERROR")</f>
        <v>5</v>
      </c>
      <c r="M71" s="114">
        <f t="shared" si="10"/>
        <v>1</v>
      </c>
      <c r="N71" s="111">
        <f>IFERROR(VLOOKUP($B71,MMWR_TRAD_AGG_STATE_PEN[],N$1,0),"ERROR")</f>
        <v>43</v>
      </c>
      <c r="O71" s="112">
        <f>IFERROR(VLOOKUP($B71,MMWR_TRAD_AGG_STATE_PEN[],O$1,0),"ERROR")</f>
        <v>8</v>
      </c>
      <c r="P71" s="114">
        <f t="shared" si="11"/>
        <v>0.18604651162790697</v>
      </c>
      <c r="Q71" s="115">
        <f>IFERROR(VLOOKUP($B71,MMWR_TRAD_AGG_STATE_PEN[],Q$1,0),"ERROR")</f>
        <v>19</v>
      </c>
      <c r="R71" s="115">
        <f>IFERROR(VLOOKUP($B71,MMWR_TRAD_AGG_STATE_PEN[],R$1,0),"ERROR")</f>
        <v>71</v>
      </c>
      <c r="S71" s="115">
        <f>IFERROR(VLOOKUP($B71,MMWR_APP_STATE_PEN[],S$1,0),"ERROR")</f>
        <v>59</v>
      </c>
      <c r="T71" s="28"/>
    </row>
    <row r="72" spans="1:20" s="123" customFormat="1" x14ac:dyDescent="0.2">
      <c r="A72" s="28"/>
      <c r="B72" s="127" t="s">
        <v>431</v>
      </c>
      <c r="C72" s="109">
        <f>IFERROR(VLOOKUP($B72,MMWR_TRAD_AGG_STATE_PEN[],C$1,0),"ERROR")</f>
        <v>56</v>
      </c>
      <c r="D72" s="110">
        <f>IFERROR(VLOOKUP($B72,MMWR_TRAD_AGG_STATE_PEN[],D$1,0),"ERROR")</f>
        <v>102.9642857143</v>
      </c>
      <c r="E72" s="111">
        <f>IFERROR(VLOOKUP($B72,MMWR_TRAD_AGG_STATE_PEN[],E$1,0),"ERROR")</f>
        <v>71</v>
      </c>
      <c r="F72" s="112">
        <f>IFERROR(VLOOKUP($B72,MMWR_TRAD_AGG_STATE_PEN[],F$1,0),"ERROR")</f>
        <v>22</v>
      </c>
      <c r="G72" s="113">
        <f t="shared" si="8"/>
        <v>0.30985915492957744</v>
      </c>
      <c r="H72" s="111">
        <f>IFERROR(VLOOKUP($B72,MMWR_TRAD_AGG_STATE_PEN[],H$1,0),"ERROR")</f>
        <v>82</v>
      </c>
      <c r="I72" s="112">
        <f>IFERROR(VLOOKUP($B72,MMWR_TRAD_AGG_STATE_PEN[],I$1,0),"ERROR")</f>
        <v>30</v>
      </c>
      <c r="J72" s="114">
        <f t="shared" si="9"/>
        <v>0.36585365853658536</v>
      </c>
      <c r="K72" s="111">
        <f>IFERROR(VLOOKUP($B72,MMWR_TRAD_AGG_STATE_PEN[],K$1,0),"ERROR")</f>
        <v>6</v>
      </c>
      <c r="L72" s="112">
        <f>IFERROR(VLOOKUP($B72,MMWR_TRAD_AGG_STATE_PEN[],L$1,0),"ERROR")</f>
        <v>5</v>
      </c>
      <c r="M72" s="114">
        <f t="shared" si="10"/>
        <v>0.83333333333333337</v>
      </c>
      <c r="N72" s="111">
        <f>IFERROR(VLOOKUP($B72,MMWR_TRAD_AGG_STATE_PEN[],N$1,0),"ERROR")</f>
        <v>19</v>
      </c>
      <c r="O72" s="112">
        <f>IFERROR(VLOOKUP($B72,MMWR_TRAD_AGG_STATE_PEN[],O$1,0),"ERROR")</f>
        <v>5</v>
      </c>
      <c r="P72" s="114">
        <f t="shared" si="11"/>
        <v>0.26315789473684209</v>
      </c>
      <c r="Q72" s="115">
        <f>IFERROR(VLOOKUP($B72,MMWR_TRAD_AGG_STATE_PEN[],Q$1,0),"ERROR")</f>
        <v>6</v>
      </c>
      <c r="R72" s="115">
        <f>IFERROR(VLOOKUP($B72,MMWR_TRAD_AGG_STATE_PEN[],R$1,0),"ERROR")</f>
        <v>24</v>
      </c>
      <c r="S72" s="115">
        <f>IFERROR(VLOOKUP($B72,MMWR_APP_STATE_PEN[],S$1,0),"ERROR")</f>
        <v>19</v>
      </c>
      <c r="T72" s="28"/>
    </row>
    <row r="73" spans="1:20" s="123" customFormat="1" x14ac:dyDescent="0.2">
      <c r="A73" s="28"/>
      <c r="B73" s="127" t="s">
        <v>422</v>
      </c>
      <c r="C73" s="109">
        <f>IFERROR(VLOOKUP($B73,MMWR_TRAD_AGG_STATE_PEN[],C$1,0),"ERROR")</f>
        <v>45</v>
      </c>
      <c r="D73" s="110">
        <f>IFERROR(VLOOKUP($B73,MMWR_TRAD_AGG_STATE_PEN[],D$1,0),"ERROR")</f>
        <v>100.3333333333</v>
      </c>
      <c r="E73" s="111">
        <f>IFERROR(VLOOKUP($B73,MMWR_TRAD_AGG_STATE_PEN[],E$1,0),"ERROR")</f>
        <v>60</v>
      </c>
      <c r="F73" s="112">
        <f>IFERROR(VLOOKUP($B73,MMWR_TRAD_AGG_STATE_PEN[],F$1,0),"ERROR")</f>
        <v>8</v>
      </c>
      <c r="G73" s="113">
        <f t="shared" si="8"/>
        <v>0.13333333333333333</v>
      </c>
      <c r="H73" s="111">
        <f>IFERROR(VLOOKUP($B73,MMWR_TRAD_AGG_STATE_PEN[],H$1,0),"ERROR")</f>
        <v>64</v>
      </c>
      <c r="I73" s="112">
        <f>IFERROR(VLOOKUP($B73,MMWR_TRAD_AGG_STATE_PEN[],I$1,0),"ERROR")</f>
        <v>20</v>
      </c>
      <c r="J73" s="114">
        <f t="shared" si="9"/>
        <v>0.3125</v>
      </c>
      <c r="K73" s="111">
        <f>IFERROR(VLOOKUP($B73,MMWR_TRAD_AGG_STATE_PEN[],K$1,0),"ERROR")</f>
        <v>4</v>
      </c>
      <c r="L73" s="112">
        <f>IFERROR(VLOOKUP($B73,MMWR_TRAD_AGG_STATE_PEN[],L$1,0),"ERROR")</f>
        <v>4</v>
      </c>
      <c r="M73" s="114">
        <f t="shared" si="10"/>
        <v>1</v>
      </c>
      <c r="N73" s="111">
        <f>IFERROR(VLOOKUP($B73,MMWR_TRAD_AGG_STATE_PEN[],N$1,0),"ERROR")</f>
        <v>6</v>
      </c>
      <c r="O73" s="112">
        <f>IFERROR(VLOOKUP($B73,MMWR_TRAD_AGG_STATE_PEN[],O$1,0),"ERROR")</f>
        <v>1</v>
      </c>
      <c r="P73" s="114">
        <f t="shared" si="11"/>
        <v>0.16666666666666666</v>
      </c>
      <c r="Q73" s="115">
        <f>IFERROR(VLOOKUP($B73,MMWR_TRAD_AGG_STATE_PEN[],Q$1,0),"ERROR")</f>
        <v>10</v>
      </c>
      <c r="R73" s="115">
        <f>IFERROR(VLOOKUP($B73,MMWR_TRAD_AGG_STATE_PEN[],R$1,0),"ERROR")</f>
        <v>12</v>
      </c>
      <c r="S73" s="115">
        <f>IFERROR(VLOOKUP($B73,MMWR_APP_STATE_PEN[],S$1,0),"ERROR")</f>
        <v>14</v>
      </c>
      <c r="T73" s="28"/>
    </row>
    <row r="74" spans="1:20" s="123" customFormat="1" x14ac:dyDescent="0.2">
      <c r="A74" s="28"/>
      <c r="B74" s="127" t="s">
        <v>424</v>
      </c>
      <c r="C74" s="109">
        <f>IFERROR(VLOOKUP($B74,MMWR_TRAD_AGG_STATE_PEN[],C$1,0),"ERROR")</f>
        <v>108</v>
      </c>
      <c r="D74" s="110">
        <f>IFERROR(VLOOKUP($B74,MMWR_TRAD_AGG_STATE_PEN[],D$1,0),"ERROR")</f>
        <v>107.44444444440001</v>
      </c>
      <c r="E74" s="111">
        <f>IFERROR(VLOOKUP($B74,MMWR_TRAD_AGG_STATE_PEN[],E$1,0),"ERROR")</f>
        <v>95</v>
      </c>
      <c r="F74" s="112">
        <f>IFERROR(VLOOKUP($B74,MMWR_TRAD_AGG_STATE_PEN[],F$1,0),"ERROR")</f>
        <v>9</v>
      </c>
      <c r="G74" s="113">
        <f t="shared" si="8"/>
        <v>9.4736842105263161E-2</v>
      </c>
      <c r="H74" s="111">
        <f>IFERROR(VLOOKUP($B74,MMWR_TRAD_AGG_STATE_PEN[],H$1,0),"ERROR")</f>
        <v>180</v>
      </c>
      <c r="I74" s="112">
        <f>IFERROR(VLOOKUP($B74,MMWR_TRAD_AGG_STATE_PEN[],I$1,0),"ERROR")</f>
        <v>62</v>
      </c>
      <c r="J74" s="114">
        <f t="shared" si="9"/>
        <v>0.34444444444444444</v>
      </c>
      <c r="K74" s="111">
        <f>IFERROR(VLOOKUP($B74,MMWR_TRAD_AGG_STATE_PEN[],K$1,0),"ERROR")</f>
        <v>4</v>
      </c>
      <c r="L74" s="112">
        <f>IFERROR(VLOOKUP($B74,MMWR_TRAD_AGG_STATE_PEN[],L$1,0),"ERROR")</f>
        <v>3</v>
      </c>
      <c r="M74" s="114">
        <f t="shared" si="10"/>
        <v>0.75</v>
      </c>
      <c r="N74" s="111">
        <f>IFERROR(VLOOKUP($B74,MMWR_TRAD_AGG_STATE_PEN[],N$1,0),"ERROR")</f>
        <v>23</v>
      </c>
      <c r="O74" s="112">
        <f>IFERROR(VLOOKUP($B74,MMWR_TRAD_AGG_STATE_PEN[],O$1,0),"ERROR")</f>
        <v>3</v>
      </c>
      <c r="P74" s="114">
        <f t="shared" si="11"/>
        <v>0.13043478260869565</v>
      </c>
      <c r="Q74" s="115">
        <f>IFERROR(VLOOKUP($B74,MMWR_TRAD_AGG_STATE_PEN[],Q$1,0),"ERROR")</f>
        <v>20</v>
      </c>
      <c r="R74" s="115">
        <f>IFERROR(VLOOKUP($B74,MMWR_TRAD_AGG_STATE_PEN[],R$1,0),"ERROR")</f>
        <v>28</v>
      </c>
      <c r="S74" s="115">
        <f>IFERROR(VLOOKUP($B74,MMWR_APP_STATE_PEN[],S$1,0),"ERROR")</f>
        <v>23</v>
      </c>
      <c r="T74" s="28"/>
    </row>
    <row r="75" spans="1:20" s="123" customFormat="1" x14ac:dyDescent="0.2">
      <c r="A75" s="28"/>
      <c r="B75" s="127" t="s">
        <v>384</v>
      </c>
      <c r="C75" s="109">
        <f>IFERROR(VLOOKUP($B75,MMWR_TRAD_AGG_STATE_PEN[],C$1,0),"ERROR")</f>
        <v>318</v>
      </c>
      <c r="D75" s="110">
        <f>IFERROR(VLOOKUP($B75,MMWR_TRAD_AGG_STATE_PEN[],D$1,0),"ERROR")</f>
        <v>101.84905660379999</v>
      </c>
      <c r="E75" s="111">
        <f>IFERROR(VLOOKUP($B75,MMWR_TRAD_AGG_STATE_PEN[],E$1,0),"ERROR")</f>
        <v>446</v>
      </c>
      <c r="F75" s="112">
        <f>IFERROR(VLOOKUP($B75,MMWR_TRAD_AGG_STATE_PEN[],F$1,0),"ERROR")</f>
        <v>122</v>
      </c>
      <c r="G75" s="113">
        <f t="shared" si="8"/>
        <v>0.273542600896861</v>
      </c>
      <c r="H75" s="111">
        <f>IFERROR(VLOOKUP($B75,MMWR_TRAD_AGG_STATE_PEN[],H$1,0),"ERROR")</f>
        <v>500</v>
      </c>
      <c r="I75" s="112">
        <f>IFERROR(VLOOKUP($B75,MMWR_TRAD_AGG_STATE_PEN[],I$1,0),"ERROR")</f>
        <v>158</v>
      </c>
      <c r="J75" s="114">
        <f t="shared" si="9"/>
        <v>0.316</v>
      </c>
      <c r="K75" s="111">
        <f>IFERROR(VLOOKUP($B75,MMWR_TRAD_AGG_STATE_PEN[],K$1,0),"ERROR")</f>
        <v>21</v>
      </c>
      <c r="L75" s="112">
        <f>IFERROR(VLOOKUP($B75,MMWR_TRAD_AGG_STATE_PEN[],L$1,0),"ERROR")</f>
        <v>18</v>
      </c>
      <c r="M75" s="114">
        <f t="shared" si="10"/>
        <v>0.8571428571428571</v>
      </c>
      <c r="N75" s="111">
        <f>IFERROR(VLOOKUP($B75,MMWR_TRAD_AGG_STATE_PEN[],N$1,0),"ERROR")</f>
        <v>72</v>
      </c>
      <c r="O75" s="112">
        <f>IFERROR(VLOOKUP($B75,MMWR_TRAD_AGG_STATE_PEN[],O$1,0),"ERROR")</f>
        <v>20</v>
      </c>
      <c r="P75" s="114">
        <f t="shared" si="11"/>
        <v>0.27777777777777779</v>
      </c>
      <c r="Q75" s="115">
        <f>IFERROR(VLOOKUP($B75,MMWR_TRAD_AGG_STATE_PEN[],Q$1,0),"ERROR")</f>
        <v>62</v>
      </c>
      <c r="R75" s="115">
        <f>IFERROR(VLOOKUP($B75,MMWR_TRAD_AGG_STATE_PEN[],R$1,0),"ERROR")</f>
        <v>154</v>
      </c>
      <c r="S75" s="115">
        <f>IFERROR(VLOOKUP($B75,MMWR_APP_STATE_PEN[],S$1,0),"ERROR")</f>
        <v>90</v>
      </c>
      <c r="T75" s="28"/>
    </row>
    <row r="76" spans="1:20" s="123" customFormat="1" x14ac:dyDescent="0.2">
      <c r="A76" s="28"/>
      <c r="B76" s="127" t="s">
        <v>379</v>
      </c>
      <c r="C76" s="109">
        <f>IFERROR(VLOOKUP($B76,MMWR_TRAD_AGG_STATE_PEN[],C$1,0),"ERROR")</f>
        <v>329</v>
      </c>
      <c r="D76" s="110">
        <f>IFERROR(VLOOKUP($B76,MMWR_TRAD_AGG_STATE_PEN[],D$1,0),"ERROR")</f>
        <v>101.9878419453</v>
      </c>
      <c r="E76" s="111">
        <f>IFERROR(VLOOKUP($B76,MMWR_TRAD_AGG_STATE_PEN[],E$1,0),"ERROR")</f>
        <v>446</v>
      </c>
      <c r="F76" s="112">
        <f>IFERROR(VLOOKUP($B76,MMWR_TRAD_AGG_STATE_PEN[],F$1,0),"ERROR")</f>
        <v>102</v>
      </c>
      <c r="G76" s="113">
        <f t="shared" si="8"/>
        <v>0.22869955156950672</v>
      </c>
      <c r="H76" s="111">
        <f>IFERROR(VLOOKUP($B76,MMWR_TRAD_AGG_STATE_PEN[],H$1,0),"ERROR")</f>
        <v>534</v>
      </c>
      <c r="I76" s="112">
        <f>IFERROR(VLOOKUP($B76,MMWR_TRAD_AGG_STATE_PEN[],I$1,0),"ERROR")</f>
        <v>162</v>
      </c>
      <c r="J76" s="114">
        <f t="shared" si="9"/>
        <v>0.30337078651685395</v>
      </c>
      <c r="K76" s="111">
        <f>IFERROR(VLOOKUP($B76,MMWR_TRAD_AGG_STATE_PEN[],K$1,0),"ERROR")</f>
        <v>11</v>
      </c>
      <c r="L76" s="112">
        <f>IFERROR(VLOOKUP($B76,MMWR_TRAD_AGG_STATE_PEN[],L$1,0),"ERROR")</f>
        <v>11</v>
      </c>
      <c r="M76" s="114">
        <f t="shared" si="10"/>
        <v>1</v>
      </c>
      <c r="N76" s="111">
        <f>IFERROR(VLOOKUP($B76,MMWR_TRAD_AGG_STATE_PEN[],N$1,0),"ERROR")</f>
        <v>75</v>
      </c>
      <c r="O76" s="112">
        <f>IFERROR(VLOOKUP($B76,MMWR_TRAD_AGG_STATE_PEN[],O$1,0),"ERROR")</f>
        <v>16</v>
      </c>
      <c r="P76" s="114">
        <f t="shared" si="11"/>
        <v>0.21333333333333335</v>
      </c>
      <c r="Q76" s="115">
        <f>IFERROR(VLOOKUP($B76,MMWR_TRAD_AGG_STATE_PEN[],Q$1,0),"ERROR")</f>
        <v>40</v>
      </c>
      <c r="R76" s="115">
        <f>IFERROR(VLOOKUP($B76,MMWR_TRAD_AGG_STATE_PEN[],R$1,0),"ERROR")</f>
        <v>146</v>
      </c>
      <c r="S76" s="115">
        <f>IFERROR(VLOOKUP($B76,MMWR_APP_STATE_PEN[],S$1,0),"ERROR")</f>
        <v>122</v>
      </c>
      <c r="T76" s="28"/>
    </row>
    <row r="77" spans="1:20" s="123" customFormat="1" x14ac:dyDescent="0.2">
      <c r="A77" s="28"/>
      <c r="B77" s="127" t="s">
        <v>423</v>
      </c>
      <c r="C77" s="109">
        <f>IFERROR(VLOOKUP($B77,MMWR_TRAD_AGG_STATE_PEN[],C$1,0),"ERROR")</f>
        <v>87</v>
      </c>
      <c r="D77" s="110">
        <f>IFERROR(VLOOKUP($B77,MMWR_TRAD_AGG_STATE_PEN[],D$1,0),"ERROR")</f>
        <v>92.586206896600004</v>
      </c>
      <c r="E77" s="111">
        <f>IFERROR(VLOOKUP($B77,MMWR_TRAD_AGG_STATE_PEN[],E$1,0),"ERROR")</f>
        <v>102</v>
      </c>
      <c r="F77" s="112">
        <f>IFERROR(VLOOKUP($B77,MMWR_TRAD_AGG_STATE_PEN[],F$1,0),"ERROR")</f>
        <v>18</v>
      </c>
      <c r="G77" s="113">
        <f t="shared" si="8"/>
        <v>0.17647058823529413</v>
      </c>
      <c r="H77" s="111">
        <f>IFERROR(VLOOKUP($B77,MMWR_TRAD_AGG_STATE_PEN[],H$1,0),"ERROR")</f>
        <v>133</v>
      </c>
      <c r="I77" s="112">
        <f>IFERROR(VLOOKUP($B77,MMWR_TRAD_AGG_STATE_PEN[],I$1,0),"ERROR")</f>
        <v>29</v>
      </c>
      <c r="J77" s="114">
        <f t="shared" si="9"/>
        <v>0.21804511278195488</v>
      </c>
      <c r="K77" s="111">
        <f>IFERROR(VLOOKUP($B77,MMWR_TRAD_AGG_STATE_PEN[],K$1,0),"ERROR")</f>
        <v>2</v>
      </c>
      <c r="L77" s="112">
        <f>IFERROR(VLOOKUP($B77,MMWR_TRAD_AGG_STATE_PEN[],L$1,0),"ERROR")</f>
        <v>2</v>
      </c>
      <c r="M77" s="114">
        <f t="shared" si="10"/>
        <v>1</v>
      </c>
      <c r="N77" s="111">
        <f>IFERROR(VLOOKUP($B77,MMWR_TRAD_AGG_STATE_PEN[],N$1,0),"ERROR")</f>
        <v>15</v>
      </c>
      <c r="O77" s="112">
        <f>IFERROR(VLOOKUP($B77,MMWR_TRAD_AGG_STATE_PEN[],O$1,0),"ERROR")</f>
        <v>3</v>
      </c>
      <c r="P77" s="114">
        <f t="shared" si="11"/>
        <v>0.2</v>
      </c>
      <c r="Q77" s="115">
        <f>IFERROR(VLOOKUP($B77,MMWR_TRAD_AGG_STATE_PEN[],Q$1,0),"ERROR")</f>
        <v>9</v>
      </c>
      <c r="R77" s="115">
        <f>IFERROR(VLOOKUP($B77,MMWR_TRAD_AGG_STATE_PEN[],R$1,0),"ERROR")</f>
        <v>32</v>
      </c>
      <c r="S77" s="115">
        <f>IFERROR(VLOOKUP($B77,MMWR_APP_STATE_PEN[],S$1,0),"ERROR")</f>
        <v>20</v>
      </c>
      <c r="T77" s="28"/>
    </row>
    <row r="78" spans="1:20" s="123" customFormat="1" x14ac:dyDescent="0.2">
      <c r="A78" s="28"/>
      <c r="B78" s="127" t="s">
        <v>382</v>
      </c>
      <c r="C78" s="109">
        <f>IFERROR(VLOOKUP($B78,MMWR_TRAD_AGG_STATE_PEN[],C$1,0),"ERROR")</f>
        <v>419</v>
      </c>
      <c r="D78" s="110">
        <f>IFERROR(VLOOKUP($B78,MMWR_TRAD_AGG_STATE_PEN[],D$1,0),"ERROR")</f>
        <v>100.31264916470001</v>
      </c>
      <c r="E78" s="111">
        <f>IFERROR(VLOOKUP($B78,MMWR_TRAD_AGG_STATE_PEN[],E$1,0),"ERROR")</f>
        <v>578</v>
      </c>
      <c r="F78" s="112">
        <f>IFERROR(VLOOKUP($B78,MMWR_TRAD_AGG_STATE_PEN[],F$1,0),"ERROR")</f>
        <v>154</v>
      </c>
      <c r="G78" s="113">
        <f t="shared" si="8"/>
        <v>0.26643598615916952</v>
      </c>
      <c r="H78" s="111">
        <f>IFERROR(VLOOKUP($B78,MMWR_TRAD_AGG_STATE_PEN[],H$1,0),"ERROR")</f>
        <v>635</v>
      </c>
      <c r="I78" s="112">
        <f>IFERROR(VLOOKUP($B78,MMWR_TRAD_AGG_STATE_PEN[],I$1,0),"ERROR")</f>
        <v>190</v>
      </c>
      <c r="J78" s="114">
        <f t="shared" si="9"/>
        <v>0.29921259842519687</v>
      </c>
      <c r="K78" s="111">
        <f>IFERROR(VLOOKUP($B78,MMWR_TRAD_AGG_STATE_PEN[],K$1,0),"ERROR")</f>
        <v>14</v>
      </c>
      <c r="L78" s="112">
        <f>IFERROR(VLOOKUP($B78,MMWR_TRAD_AGG_STATE_PEN[],L$1,0),"ERROR")</f>
        <v>14</v>
      </c>
      <c r="M78" s="114">
        <f t="shared" si="10"/>
        <v>1</v>
      </c>
      <c r="N78" s="111">
        <f>IFERROR(VLOOKUP($B78,MMWR_TRAD_AGG_STATE_PEN[],N$1,0),"ERROR")</f>
        <v>98</v>
      </c>
      <c r="O78" s="112">
        <f>IFERROR(VLOOKUP($B78,MMWR_TRAD_AGG_STATE_PEN[],O$1,0),"ERROR")</f>
        <v>22</v>
      </c>
      <c r="P78" s="114">
        <f t="shared" si="11"/>
        <v>0.22448979591836735</v>
      </c>
      <c r="Q78" s="115">
        <f>IFERROR(VLOOKUP($B78,MMWR_TRAD_AGG_STATE_PEN[],Q$1,0),"ERROR")</f>
        <v>66</v>
      </c>
      <c r="R78" s="115">
        <f>IFERROR(VLOOKUP($B78,MMWR_TRAD_AGG_STATE_PEN[],R$1,0),"ERROR")</f>
        <v>198</v>
      </c>
      <c r="S78" s="115">
        <f>IFERROR(VLOOKUP($B78,MMWR_APP_STATE_PEN[],S$1,0),"ERROR")</f>
        <v>179</v>
      </c>
      <c r="T78" s="28"/>
    </row>
    <row r="79" spans="1:20" s="123" customFormat="1" x14ac:dyDescent="0.2">
      <c r="A79" s="28"/>
      <c r="B79" s="127" t="s">
        <v>63</v>
      </c>
      <c r="C79" s="109">
        <f>IFERROR(VLOOKUP($B79,MMWR_TRAD_AGG_STATE_PEN[],C$1,0),"ERROR")</f>
        <v>1099</v>
      </c>
      <c r="D79" s="110">
        <f>IFERROR(VLOOKUP($B79,MMWR_TRAD_AGG_STATE_PEN[],D$1,0),"ERROR")</f>
        <v>103.5386715196</v>
      </c>
      <c r="E79" s="111">
        <f>IFERROR(VLOOKUP($B79,MMWR_TRAD_AGG_STATE_PEN[],E$1,0),"ERROR")</f>
        <v>1562</v>
      </c>
      <c r="F79" s="112">
        <f>IFERROR(VLOOKUP($B79,MMWR_TRAD_AGG_STATE_PEN[],F$1,0),"ERROR")</f>
        <v>440</v>
      </c>
      <c r="G79" s="113">
        <f t="shared" si="8"/>
        <v>0.28169014084507044</v>
      </c>
      <c r="H79" s="111">
        <f>IFERROR(VLOOKUP($B79,MMWR_TRAD_AGG_STATE_PEN[],H$1,0),"ERROR")</f>
        <v>1800</v>
      </c>
      <c r="I79" s="112">
        <f>IFERROR(VLOOKUP($B79,MMWR_TRAD_AGG_STATE_PEN[],I$1,0),"ERROR")</f>
        <v>546</v>
      </c>
      <c r="J79" s="114">
        <f t="shared" si="9"/>
        <v>0.30333333333333334</v>
      </c>
      <c r="K79" s="111">
        <f>IFERROR(VLOOKUP($B79,MMWR_TRAD_AGG_STATE_PEN[],K$1,0),"ERROR")</f>
        <v>45</v>
      </c>
      <c r="L79" s="112">
        <f>IFERROR(VLOOKUP($B79,MMWR_TRAD_AGG_STATE_PEN[],L$1,0),"ERROR")</f>
        <v>43</v>
      </c>
      <c r="M79" s="114">
        <f t="shared" si="10"/>
        <v>0.9555555555555556</v>
      </c>
      <c r="N79" s="111">
        <f>IFERROR(VLOOKUP($B79,MMWR_TRAD_AGG_STATE_PEN[],N$1,0),"ERROR")</f>
        <v>158</v>
      </c>
      <c r="O79" s="112">
        <f>IFERROR(VLOOKUP($B79,MMWR_TRAD_AGG_STATE_PEN[],O$1,0),"ERROR")</f>
        <v>37</v>
      </c>
      <c r="P79" s="114">
        <f t="shared" si="11"/>
        <v>0.23417721518987342</v>
      </c>
      <c r="Q79" s="115">
        <f>IFERROR(VLOOKUP($B79,MMWR_TRAD_AGG_STATE_PEN[],Q$1,0),"ERROR")</f>
        <v>114</v>
      </c>
      <c r="R79" s="115">
        <f>IFERROR(VLOOKUP($B79,MMWR_TRAD_AGG_STATE_PEN[],R$1,0),"ERROR")</f>
        <v>338</v>
      </c>
      <c r="S79" s="115">
        <f>IFERROR(VLOOKUP($B79,MMWR_APP_STATE_PEN[],S$1,0),"ERROR")</f>
        <v>260</v>
      </c>
      <c r="T79" s="28"/>
    </row>
    <row r="80" spans="1:20" s="123" customFormat="1" x14ac:dyDescent="0.2">
      <c r="A80" s="28"/>
      <c r="B80" s="127" t="s">
        <v>390</v>
      </c>
      <c r="C80" s="109">
        <f>IFERROR(VLOOKUP($B80,MMWR_TRAD_AGG_STATE_PEN[],C$1,0),"ERROR")</f>
        <v>1195</v>
      </c>
      <c r="D80" s="110">
        <f>IFERROR(VLOOKUP($B80,MMWR_TRAD_AGG_STATE_PEN[],D$1,0),"ERROR")</f>
        <v>106.0326359833</v>
      </c>
      <c r="E80" s="111">
        <f>IFERROR(VLOOKUP($B80,MMWR_TRAD_AGG_STATE_PEN[],E$1,0),"ERROR")</f>
        <v>1086</v>
      </c>
      <c r="F80" s="112">
        <f>IFERROR(VLOOKUP($B80,MMWR_TRAD_AGG_STATE_PEN[],F$1,0),"ERROR")</f>
        <v>272</v>
      </c>
      <c r="G80" s="113">
        <f t="shared" si="8"/>
        <v>0.25046040515653778</v>
      </c>
      <c r="H80" s="111">
        <f>IFERROR(VLOOKUP($B80,MMWR_TRAD_AGG_STATE_PEN[],H$1,0),"ERROR")</f>
        <v>1905</v>
      </c>
      <c r="I80" s="112">
        <f>IFERROR(VLOOKUP($B80,MMWR_TRAD_AGG_STATE_PEN[],I$1,0),"ERROR")</f>
        <v>625</v>
      </c>
      <c r="J80" s="114">
        <f t="shared" si="9"/>
        <v>0.32808398950131235</v>
      </c>
      <c r="K80" s="111">
        <f>IFERROR(VLOOKUP($B80,MMWR_TRAD_AGG_STATE_PEN[],K$1,0),"ERROR")</f>
        <v>66</v>
      </c>
      <c r="L80" s="112">
        <f>IFERROR(VLOOKUP($B80,MMWR_TRAD_AGG_STATE_PEN[],L$1,0),"ERROR")</f>
        <v>63</v>
      </c>
      <c r="M80" s="114">
        <f t="shared" si="10"/>
        <v>0.95454545454545459</v>
      </c>
      <c r="N80" s="111">
        <f>IFERROR(VLOOKUP($B80,MMWR_TRAD_AGG_STATE_PEN[],N$1,0),"ERROR")</f>
        <v>228</v>
      </c>
      <c r="O80" s="112">
        <f>IFERROR(VLOOKUP($B80,MMWR_TRAD_AGG_STATE_PEN[],O$1,0),"ERROR")</f>
        <v>49</v>
      </c>
      <c r="P80" s="114">
        <f t="shared" si="11"/>
        <v>0.21491228070175439</v>
      </c>
      <c r="Q80" s="115">
        <f>IFERROR(VLOOKUP($B80,MMWR_TRAD_AGG_STATE_PEN[],Q$1,0),"ERROR")</f>
        <v>215</v>
      </c>
      <c r="R80" s="115">
        <f>IFERROR(VLOOKUP($B80,MMWR_TRAD_AGG_STATE_PEN[],R$1,0),"ERROR")</f>
        <v>359</v>
      </c>
      <c r="S80" s="115">
        <f>IFERROR(VLOOKUP($B80,MMWR_APP_STATE_PEN[],S$1,0),"ERROR")</f>
        <v>236</v>
      </c>
      <c r="T80" s="28"/>
    </row>
    <row r="81" spans="1:20" s="123" customFormat="1" x14ac:dyDescent="0.2">
      <c r="A81" s="28"/>
      <c r="B81" s="127" t="s">
        <v>383</v>
      </c>
      <c r="C81" s="109">
        <f>IFERROR(VLOOKUP($B81,MMWR_TRAD_AGG_STATE_PEN[],C$1,0),"ERROR")</f>
        <v>1463</v>
      </c>
      <c r="D81" s="110">
        <f>IFERROR(VLOOKUP($B81,MMWR_TRAD_AGG_STATE_PEN[],D$1,0),"ERROR")</f>
        <v>99.390293916600001</v>
      </c>
      <c r="E81" s="111">
        <f>IFERROR(VLOOKUP($B81,MMWR_TRAD_AGG_STATE_PEN[],E$1,0),"ERROR")</f>
        <v>1864</v>
      </c>
      <c r="F81" s="112">
        <f>IFERROR(VLOOKUP($B81,MMWR_TRAD_AGG_STATE_PEN[],F$1,0),"ERROR")</f>
        <v>519</v>
      </c>
      <c r="G81" s="113">
        <f t="shared" si="8"/>
        <v>0.27843347639484978</v>
      </c>
      <c r="H81" s="111">
        <f>IFERROR(VLOOKUP($B81,MMWR_TRAD_AGG_STATE_PEN[],H$1,0),"ERROR")</f>
        <v>2318</v>
      </c>
      <c r="I81" s="112">
        <f>IFERROR(VLOOKUP($B81,MMWR_TRAD_AGG_STATE_PEN[],I$1,0),"ERROR")</f>
        <v>641</v>
      </c>
      <c r="J81" s="114">
        <f t="shared" si="9"/>
        <v>0.27653149266609145</v>
      </c>
      <c r="K81" s="111">
        <f>IFERROR(VLOOKUP($B81,MMWR_TRAD_AGG_STATE_PEN[],K$1,0),"ERROR")</f>
        <v>47</v>
      </c>
      <c r="L81" s="112">
        <f>IFERROR(VLOOKUP($B81,MMWR_TRAD_AGG_STATE_PEN[],L$1,0),"ERROR")</f>
        <v>45</v>
      </c>
      <c r="M81" s="114">
        <f t="shared" si="10"/>
        <v>0.95744680851063835</v>
      </c>
      <c r="N81" s="111">
        <f>IFERROR(VLOOKUP($B81,MMWR_TRAD_AGG_STATE_PEN[],N$1,0),"ERROR")</f>
        <v>282</v>
      </c>
      <c r="O81" s="112">
        <f>IFERROR(VLOOKUP($B81,MMWR_TRAD_AGG_STATE_PEN[],O$1,0),"ERROR")</f>
        <v>59</v>
      </c>
      <c r="P81" s="114">
        <f t="shared" si="11"/>
        <v>0.20921985815602837</v>
      </c>
      <c r="Q81" s="115">
        <f>IFERROR(VLOOKUP($B81,MMWR_TRAD_AGG_STATE_PEN[],Q$1,0),"ERROR")</f>
        <v>113</v>
      </c>
      <c r="R81" s="115">
        <f>IFERROR(VLOOKUP($B81,MMWR_TRAD_AGG_STATE_PEN[],R$1,0),"ERROR")</f>
        <v>421</v>
      </c>
      <c r="S81" s="115">
        <f>IFERROR(VLOOKUP($B81,MMWR_APP_STATE_PEN[],S$1,0),"ERROR")</f>
        <v>289</v>
      </c>
      <c r="T81" s="28"/>
    </row>
    <row r="82" spans="1:20" s="123" customFormat="1" x14ac:dyDescent="0.2">
      <c r="A82" s="28"/>
      <c r="B82" s="127" t="s">
        <v>380</v>
      </c>
      <c r="C82" s="109">
        <f>IFERROR(VLOOKUP($B82,MMWR_TRAD_AGG_STATE_PEN[],C$1,0),"ERROR")</f>
        <v>61</v>
      </c>
      <c r="D82" s="110">
        <f>IFERROR(VLOOKUP($B82,MMWR_TRAD_AGG_STATE_PEN[],D$1,0),"ERROR")</f>
        <v>91.852459016400005</v>
      </c>
      <c r="E82" s="111">
        <f>IFERROR(VLOOKUP($B82,MMWR_TRAD_AGG_STATE_PEN[],E$1,0),"ERROR")</f>
        <v>120</v>
      </c>
      <c r="F82" s="112">
        <f>IFERROR(VLOOKUP($B82,MMWR_TRAD_AGG_STATE_PEN[],F$1,0),"ERROR")</f>
        <v>30</v>
      </c>
      <c r="G82" s="113">
        <f t="shared" si="8"/>
        <v>0.25</v>
      </c>
      <c r="H82" s="111">
        <f>IFERROR(VLOOKUP($B82,MMWR_TRAD_AGG_STATE_PEN[],H$1,0),"ERROR")</f>
        <v>111</v>
      </c>
      <c r="I82" s="112">
        <f>IFERROR(VLOOKUP($B82,MMWR_TRAD_AGG_STATE_PEN[],I$1,0),"ERROR")</f>
        <v>24</v>
      </c>
      <c r="J82" s="114">
        <f t="shared" si="9"/>
        <v>0.21621621621621623</v>
      </c>
      <c r="K82" s="111">
        <f>IFERROR(VLOOKUP($B82,MMWR_TRAD_AGG_STATE_PEN[],K$1,0),"ERROR")</f>
        <v>5</v>
      </c>
      <c r="L82" s="112">
        <f>IFERROR(VLOOKUP($B82,MMWR_TRAD_AGG_STATE_PEN[],L$1,0),"ERROR")</f>
        <v>5</v>
      </c>
      <c r="M82" s="114">
        <f t="shared" si="10"/>
        <v>1</v>
      </c>
      <c r="N82" s="111">
        <f>IFERROR(VLOOKUP($B82,MMWR_TRAD_AGG_STATE_PEN[],N$1,0),"ERROR")</f>
        <v>16</v>
      </c>
      <c r="O82" s="112">
        <f>IFERROR(VLOOKUP($B82,MMWR_TRAD_AGG_STATE_PEN[],O$1,0),"ERROR")</f>
        <v>3</v>
      </c>
      <c r="P82" s="114">
        <f t="shared" si="11"/>
        <v>0.1875</v>
      </c>
      <c r="Q82" s="115">
        <f>IFERROR(VLOOKUP($B82,MMWR_TRAD_AGG_STATE_PEN[],Q$1,0),"ERROR")</f>
        <v>13</v>
      </c>
      <c r="R82" s="115">
        <f>IFERROR(VLOOKUP($B82,MMWR_TRAD_AGG_STATE_PEN[],R$1,0),"ERROR")</f>
        <v>27</v>
      </c>
      <c r="S82" s="115">
        <f>IFERROR(VLOOKUP($B82,MMWR_APP_STATE_PEN[],S$1,0),"ERROR")</f>
        <v>26</v>
      </c>
      <c r="T82" s="28"/>
    </row>
    <row r="83" spans="1:20" s="123" customFormat="1" x14ac:dyDescent="0.2">
      <c r="A83" s="28"/>
      <c r="B83" s="127" t="s">
        <v>425</v>
      </c>
      <c r="C83" s="109">
        <f>IFERROR(VLOOKUP($B83,MMWR_TRAD_AGG_STATE_PEN[],C$1,0),"ERROR")</f>
        <v>31</v>
      </c>
      <c r="D83" s="110">
        <f>IFERROR(VLOOKUP($B83,MMWR_TRAD_AGG_STATE_PEN[],D$1,0),"ERROR")</f>
        <v>98.774193548400007</v>
      </c>
      <c r="E83" s="111">
        <f>IFERROR(VLOOKUP($B83,MMWR_TRAD_AGG_STATE_PEN[],E$1,0),"ERROR")</f>
        <v>25</v>
      </c>
      <c r="F83" s="112">
        <f>IFERROR(VLOOKUP($B83,MMWR_TRAD_AGG_STATE_PEN[],F$1,0),"ERROR")</f>
        <v>6</v>
      </c>
      <c r="G83" s="113">
        <f t="shared" si="8"/>
        <v>0.24</v>
      </c>
      <c r="H83" s="111">
        <f>IFERROR(VLOOKUP($B83,MMWR_TRAD_AGG_STATE_PEN[],H$1,0),"ERROR")</f>
        <v>41</v>
      </c>
      <c r="I83" s="112">
        <f>IFERROR(VLOOKUP($B83,MMWR_TRAD_AGG_STATE_PEN[],I$1,0),"ERROR")</f>
        <v>14</v>
      </c>
      <c r="J83" s="114">
        <f t="shared" si="9"/>
        <v>0.34146341463414637</v>
      </c>
      <c r="K83" s="111">
        <f>IFERROR(VLOOKUP($B83,MMWR_TRAD_AGG_STATE_PEN[],K$1,0),"ERROR")</f>
        <v>2</v>
      </c>
      <c r="L83" s="112">
        <f>IFERROR(VLOOKUP($B83,MMWR_TRAD_AGG_STATE_PEN[],L$1,0),"ERROR")</f>
        <v>2</v>
      </c>
      <c r="M83" s="114">
        <f t="shared" si="10"/>
        <v>1</v>
      </c>
      <c r="N83" s="111">
        <f>IFERROR(VLOOKUP($B83,MMWR_TRAD_AGG_STATE_PEN[],N$1,0),"ERROR")</f>
        <v>6</v>
      </c>
      <c r="O83" s="112">
        <f>IFERROR(VLOOKUP($B83,MMWR_TRAD_AGG_STATE_PEN[],O$1,0),"ERROR")</f>
        <v>1</v>
      </c>
      <c r="P83" s="114">
        <f t="shared" si="11"/>
        <v>0.16666666666666666</v>
      </c>
      <c r="Q83" s="115">
        <f>IFERROR(VLOOKUP($B83,MMWR_TRAD_AGG_STATE_PEN[],Q$1,0),"ERROR")</f>
        <v>6</v>
      </c>
      <c r="R83" s="115">
        <f>IFERROR(VLOOKUP($B83,MMWR_TRAD_AGG_STATE_PEN[],R$1,0),"ERROR")</f>
        <v>6</v>
      </c>
      <c r="S83" s="115">
        <f>IFERROR(VLOOKUP($B83,MMWR_APP_STATE_PEN[],S$1,0),"ERROR")</f>
        <v>8</v>
      </c>
      <c r="T83" s="28"/>
    </row>
    <row r="84" spans="1:20" s="123" customFormat="1" x14ac:dyDescent="0.2">
      <c r="A84" s="28"/>
      <c r="B84" s="127" t="s">
        <v>386</v>
      </c>
      <c r="C84" s="109">
        <f>IFERROR(VLOOKUP($B84,MMWR_TRAD_AGG_STATE_PEN[],C$1,0),"ERROR")</f>
        <v>721</v>
      </c>
      <c r="D84" s="110">
        <f>IFERROR(VLOOKUP($B84,MMWR_TRAD_AGG_STATE_PEN[],D$1,0),"ERROR")</f>
        <v>104.57420249650001</v>
      </c>
      <c r="E84" s="111">
        <f>IFERROR(VLOOKUP($B84,MMWR_TRAD_AGG_STATE_PEN[],E$1,0),"ERROR")</f>
        <v>687</v>
      </c>
      <c r="F84" s="112">
        <f>IFERROR(VLOOKUP($B84,MMWR_TRAD_AGG_STATE_PEN[],F$1,0),"ERROR")</f>
        <v>165</v>
      </c>
      <c r="G84" s="113">
        <f t="shared" si="8"/>
        <v>0.24017467248908297</v>
      </c>
      <c r="H84" s="111">
        <f>IFERROR(VLOOKUP($B84,MMWR_TRAD_AGG_STATE_PEN[],H$1,0),"ERROR")</f>
        <v>1084</v>
      </c>
      <c r="I84" s="112">
        <f>IFERROR(VLOOKUP($B84,MMWR_TRAD_AGG_STATE_PEN[],I$1,0),"ERROR")</f>
        <v>345</v>
      </c>
      <c r="J84" s="114">
        <f t="shared" si="9"/>
        <v>0.31826568265682659</v>
      </c>
      <c r="K84" s="111">
        <f>IFERROR(VLOOKUP($B84,MMWR_TRAD_AGG_STATE_PEN[],K$1,0),"ERROR")</f>
        <v>158</v>
      </c>
      <c r="L84" s="112">
        <f>IFERROR(VLOOKUP($B84,MMWR_TRAD_AGG_STATE_PEN[],L$1,0),"ERROR")</f>
        <v>155</v>
      </c>
      <c r="M84" s="114">
        <f t="shared" si="10"/>
        <v>0.98101265822784811</v>
      </c>
      <c r="N84" s="111">
        <f>IFERROR(VLOOKUP($B84,MMWR_TRAD_AGG_STATE_PEN[],N$1,0),"ERROR")</f>
        <v>130</v>
      </c>
      <c r="O84" s="112">
        <f>IFERROR(VLOOKUP($B84,MMWR_TRAD_AGG_STATE_PEN[],O$1,0),"ERROR")</f>
        <v>30</v>
      </c>
      <c r="P84" s="114">
        <f t="shared" si="11"/>
        <v>0.23076923076923078</v>
      </c>
      <c r="Q84" s="115">
        <f>IFERROR(VLOOKUP($B84,MMWR_TRAD_AGG_STATE_PEN[],Q$1,0),"ERROR")</f>
        <v>110</v>
      </c>
      <c r="R84" s="115">
        <f>IFERROR(VLOOKUP($B84,MMWR_TRAD_AGG_STATE_PEN[],R$1,0),"ERROR")</f>
        <v>277</v>
      </c>
      <c r="S84" s="115">
        <f>IFERROR(VLOOKUP($B84,MMWR_APP_STATE_PEN[],S$1,0),"ERROR")</f>
        <v>176</v>
      </c>
      <c r="T84" s="28"/>
    </row>
    <row r="85" spans="1:20" s="123" customFormat="1" x14ac:dyDescent="0.2">
      <c r="A85" s="28"/>
      <c r="B85" s="127" t="s">
        <v>387</v>
      </c>
      <c r="C85" s="109">
        <f>IFERROR(VLOOKUP($B85,MMWR_TRAD_AGG_STATE_PEN[],C$1,0),"ERROR")</f>
        <v>239</v>
      </c>
      <c r="D85" s="110">
        <f>IFERROR(VLOOKUP($B85,MMWR_TRAD_AGG_STATE_PEN[],D$1,0),"ERROR")</f>
        <v>105.64016736400001</v>
      </c>
      <c r="E85" s="111">
        <f>IFERROR(VLOOKUP($B85,MMWR_TRAD_AGG_STATE_PEN[],E$1,0),"ERROR")</f>
        <v>216</v>
      </c>
      <c r="F85" s="112">
        <f>IFERROR(VLOOKUP($B85,MMWR_TRAD_AGG_STATE_PEN[],F$1,0),"ERROR")</f>
        <v>46</v>
      </c>
      <c r="G85" s="113">
        <f t="shared" si="8"/>
        <v>0.21296296296296297</v>
      </c>
      <c r="H85" s="111">
        <f>IFERROR(VLOOKUP($B85,MMWR_TRAD_AGG_STATE_PEN[],H$1,0),"ERROR")</f>
        <v>340</v>
      </c>
      <c r="I85" s="112">
        <f>IFERROR(VLOOKUP($B85,MMWR_TRAD_AGG_STATE_PEN[],I$1,0),"ERROR")</f>
        <v>109</v>
      </c>
      <c r="J85" s="114">
        <f t="shared" si="9"/>
        <v>0.32058823529411767</v>
      </c>
      <c r="K85" s="111">
        <f>IFERROR(VLOOKUP($B85,MMWR_TRAD_AGG_STATE_PEN[],K$1,0),"ERROR")</f>
        <v>8</v>
      </c>
      <c r="L85" s="112">
        <f>IFERROR(VLOOKUP($B85,MMWR_TRAD_AGG_STATE_PEN[],L$1,0),"ERROR")</f>
        <v>7</v>
      </c>
      <c r="M85" s="114">
        <f t="shared" si="10"/>
        <v>0.875</v>
      </c>
      <c r="N85" s="111">
        <f>IFERROR(VLOOKUP($B85,MMWR_TRAD_AGG_STATE_PEN[],N$1,0),"ERROR")</f>
        <v>44</v>
      </c>
      <c r="O85" s="112">
        <f>IFERROR(VLOOKUP($B85,MMWR_TRAD_AGG_STATE_PEN[],O$1,0),"ERROR")</f>
        <v>12</v>
      </c>
      <c r="P85" s="114">
        <f t="shared" si="11"/>
        <v>0.27272727272727271</v>
      </c>
      <c r="Q85" s="115">
        <f>IFERROR(VLOOKUP($B85,MMWR_TRAD_AGG_STATE_PEN[],Q$1,0),"ERROR")</f>
        <v>36</v>
      </c>
      <c r="R85" s="115">
        <f>IFERROR(VLOOKUP($B85,MMWR_TRAD_AGG_STATE_PEN[],R$1,0),"ERROR")</f>
        <v>71</v>
      </c>
      <c r="S85" s="115">
        <f>IFERROR(VLOOKUP($B85,MMWR_APP_STATE_PEN[],S$1,0),"ERROR")</f>
        <v>48</v>
      </c>
      <c r="T85" s="28"/>
    </row>
    <row r="86" spans="1:20" s="123" customFormat="1" x14ac:dyDescent="0.2">
      <c r="A86" s="28"/>
      <c r="B86" s="126" t="s">
        <v>398</v>
      </c>
      <c r="C86" s="102">
        <f>IFERROR(VLOOKUP($B86,MMWR_TRAD_AGG_ST_DISTRICT_PEN[],C$1,0),"ERROR")</f>
        <v>2080</v>
      </c>
      <c r="D86" s="103">
        <f>IFERROR(VLOOKUP($B86,MMWR_TRAD_AGG_ST_DISTRICT_PEN[],D$1,0),"ERROR")</f>
        <v>57.088942307700002</v>
      </c>
      <c r="E86" s="102">
        <f>IFERROR(VLOOKUP($B86,MMWR_TRAD_AGG_ST_DISTRICT_PEN[],E$1,0),"ERROR")</f>
        <v>5188</v>
      </c>
      <c r="F86" s="102">
        <f>IFERROR(VLOOKUP($B86,MMWR_TRAD_AGG_ST_DISTRICT_PEN[],F$1,0),"ERROR")</f>
        <v>345</v>
      </c>
      <c r="G86" s="104">
        <f t="shared" si="8"/>
        <v>6.6499614494988438E-2</v>
      </c>
      <c r="H86" s="102">
        <f>IFERROR(VLOOKUP($B86,MMWR_TRAD_AGG_ST_DISTRICT_PEN[],H$1,0),"ERROR")</f>
        <v>3888</v>
      </c>
      <c r="I86" s="102">
        <f>IFERROR(VLOOKUP($B86,MMWR_TRAD_AGG_ST_DISTRICT_PEN[],I$1,0),"ERROR")</f>
        <v>297</v>
      </c>
      <c r="J86" s="104">
        <f t="shared" si="9"/>
        <v>7.6388888888888895E-2</v>
      </c>
      <c r="K86" s="102">
        <f>IFERROR(VLOOKUP($B86,MMWR_TRAD_AGG_ST_DISTRICT_PEN[],K$1,0),"ERROR")</f>
        <v>30</v>
      </c>
      <c r="L86" s="102">
        <f>IFERROR(VLOOKUP($B86,MMWR_TRAD_AGG_ST_DISTRICT_PEN[],L$1,0),"ERROR")</f>
        <v>19</v>
      </c>
      <c r="M86" s="104">
        <f t="shared" si="10"/>
        <v>0.6333333333333333</v>
      </c>
      <c r="N86" s="102">
        <f>IFERROR(VLOOKUP($B86,MMWR_TRAD_AGG_ST_DISTRICT_PEN[],N$1,0),"ERROR")</f>
        <v>244</v>
      </c>
      <c r="O86" s="102">
        <f>IFERROR(VLOOKUP($B86,MMWR_TRAD_AGG_ST_DISTRICT_PEN[],O$1,0),"ERROR")</f>
        <v>76</v>
      </c>
      <c r="P86" s="104">
        <f t="shared" si="11"/>
        <v>0.31147540983606559</v>
      </c>
      <c r="Q86" s="102">
        <f>IFERROR(VLOOKUP($B86,MMWR_TRAD_AGG_ST_DISTRICT_PEN[],Q$1,0),"ERROR")</f>
        <v>3689</v>
      </c>
      <c r="R86" s="106">
        <f>IFERROR(VLOOKUP($B86,MMWR_TRAD_AGG_ST_DISTRICT_PEN[],R$1,0),"ERROR")</f>
        <v>449</v>
      </c>
      <c r="S86" s="106">
        <f>IFERROR(VLOOKUP($B86,MMWR_APP_STATE_PEN[],S$1,0),"ERROR")</f>
        <v>1146</v>
      </c>
      <c r="T86" s="28"/>
    </row>
    <row r="87" spans="1:20" s="123" customFormat="1" x14ac:dyDescent="0.2">
      <c r="A87" s="28"/>
      <c r="B87" s="127" t="s">
        <v>402</v>
      </c>
      <c r="C87" s="109">
        <f>IFERROR(VLOOKUP($B87,MMWR_TRAD_AGG_STATE_PEN[],C$1,0),"ERROR")</f>
        <v>287</v>
      </c>
      <c r="D87" s="110">
        <f>IFERROR(VLOOKUP($B87,MMWR_TRAD_AGG_STATE_PEN[],D$1,0),"ERROR")</f>
        <v>58.459930313599997</v>
      </c>
      <c r="E87" s="111">
        <f>IFERROR(VLOOKUP($B87,MMWR_TRAD_AGG_STATE_PEN[],E$1,0),"ERROR")</f>
        <v>765</v>
      </c>
      <c r="F87" s="112">
        <f>IFERROR(VLOOKUP($B87,MMWR_TRAD_AGG_STATE_PEN[],F$1,0),"ERROR")</f>
        <v>64</v>
      </c>
      <c r="G87" s="113">
        <f t="shared" si="8"/>
        <v>8.3660130718954243E-2</v>
      </c>
      <c r="H87" s="111">
        <f>IFERROR(VLOOKUP($B87,MMWR_TRAD_AGG_STATE_PEN[],H$1,0),"ERROR")</f>
        <v>509</v>
      </c>
      <c r="I87" s="112">
        <f>IFERROR(VLOOKUP($B87,MMWR_TRAD_AGG_STATE_PEN[],I$1,0),"ERROR")</f>
        <v>36</v>
      </c>
      <c r="J87" s="114">
        <f t="shared" si="9"/>
        <v>7.072691552062868E-2</v>
      </c>
      <c r="K87" s="111">
        <f>IFERROR(VLOOKUP($B87,MMWR_TRAD_AGG_STATE_PEN[],K$1,0),"ERROR")</f>
        <v>4</v>
      </c>
      <c r="L87" s="112">
        <f>IFERROR(VLOOKUP($B87,MMWR_TRAD_AGG_STATE_PEN[],L$1,0),"ERROR")</f>
        <v>2</v>
      </c>
      <c r="M87" s="114">
        <f t="shared" si="10"/>
        <v>0.5</v>
      </c>
      <c r="N87" s="111">
        <f>IFERROR(VLOOKUP($B87,MMWR_TRAD_AGG_STATE_PEN[],N$1,0),"ERROR")</f>
        <v>50</v>
      </c>
      <c r="O87" s="112">
        <f>IFERROR(VLOOKUP($B87,MMWR_TRAD_AGG_STATE_PEN[],O$1,0),"ERROR")</f>
        <v>13</v>
      </c>
      <c r="P87" s="114">
        <f t="shared" si="11"/>
        <v>0.26</v>
      </c>
      <c r="Q87" s="115">
        <f>IFERROR(VLOOKUP($B87,MMWR_TRAD_AGG_STATE_PEN[],Q$1,0),"ERROR")</f>
        <v>538</v>
      </c>
      <c r="R87" s="115">
        <f>IFERROR(VLOOKUP($B87,MMWR_TRAD_AGG_STATE_PEN[],R$1,0),"ERROR")</f>
        <v>48</v>
      </c>
      <c r="S87" s="115">
        <f>IFERROR(VLOOKUP($B87,MMWR_APP_STATE_PEN[],S$1,0),"ERROR")</f>
        <v>280</v>
      </c>
      <c r="T87" s="28"/>
    </row>
    <row r="88" spans="1:20" s="123" customFormat="1" x14ac:dyDescent="0.2">
      <c r="A88" s="28"/>
      <c r="B88" s="127" t="s">
        <v>400</v>
      </c>
      <c r="C88" s="109">
        <f>IFERROR(VLOOKUP($B88,MMWR_TRAD_AGG_STATE_PEN[],C$1,0),"ERROR")</f>
        <v>210</v>
      </c>
      <c r="D88" s="110">
        <f>IFERROR(VLOOKUP($B88,MMWR_TRAD_AGG_STATE_PEN[],D$1,0),"ERROR")</f>
        <v>57.376190476200001</v>
      </c>
      <c r="E88" s="111">
        <f>IFERROR(VLOOKUP($B88,MMWR_TRAD_AGG_STATE_PEN[],E$1,0),"ERROR")</f>
        <v>544</v>
      </c>
      <c r="F88" s="112">
        <f>IFERROR(VLOOKUP($B88,MMWR_TRAD_AGG_STATE_PEN[],F$1,0),"ERROR")</f>
        <v>47</v>
      </c>
      <c r="G88" s="113">
        <f t="shared" si="8"/>
        <v>8.639705882352941E-2</v>
      </c>
      <c r="H88" s="111">
        <f>IFERROR(VLOOKUP($B88,MMWR_TRAD_AGG_STATE_PEN[],H$1,0),"ERROR")</f>
        <v>419</v>
      </c>
      <c r="I88" s="112">
        <f>IFERROR(VLOOKUP($B88,MMWR_TRAD_AGG_STATE_PEN[],I$1,0),"ERROR")</f>
        <v>40</v>
      </c>
      <c r="J88" s="114">
        <f t="shared" si="9"/>
        <v>9.5465393794749401E-2</v>
      </c>
      <c r="K88" s="111">
        <f>IFERROR(VLOOKUP($B88,MMWR_TRAD_AGG_STATE_PEN[],K$1,0),"ERROR")</f>
        <v>2</v>
      </c>
      <c r="L88" s="112">
        <f>IFERROR(VLOOKUP($B88,MMWR_TRAD_AGG_STATE_PEN[],L$1,0),"ERROR")</f>
        <v>2</v>
      </c>
      <c r="M88" s="114">
        <f t="shared" si="10"/>
        <v>1</v>
      </c>
      <c r="N88" s="111">
        <f>IFERROR(VLOOKUP($B88,MMWR_TRAD_AGG_STATE_PEN[],N$1,0),"ERROR")</f>
        <v>28</v>
      </c>
      <c r="O88" s="112">
        <f>IFERROR(VLOOKUP($B88,MMWR_TRAD_AGG_STATE_PEN[],O$1,0),"ERROR")</f>
        <v>14</v>
      </c>
      <c r="P88" s="114">
        <f t="shared" si="11"/>
        <v>0.5</v>
      </c>
      <c r="Q88" s="115">
        <f>IFERROR(VLOOKUP($B88,MMWR_TRAD_AGG_STATE_PEN[],Q$1,0),"ERROR")</f>
        <v>334</v>
      </c>
      <c r="R88" s="115">
        <f>IFERROR(VLOOKUP($B88,MMWR_TRAD_AGG_STATE_PEN[],R$1,0),"ERROR")</f>
        <v>43</v>
      </c>
      <c r="S88" s="115">
        <f>IFERROR(VLOOKUP($B88,MMWR_APP_STATE_PEN[],S$1,0),"ERROR")</f>
        <v>114</v>
      </c>
      <c r="T88" s="28"/>
    </row>
    <row r="89" spans="1:20" s="123" customFormat="1" x14ac:dyDescent="0.2">
      <c r="A89" s="28"/>
      <c r="B89" s="127" t="s">
        <v>407</v>
      </c>
      <c r="C89" s="109">
        <f>IFERROR(VLOOKUP($B89,MMWR_TRAD_AGG_STATE_PEN[],C$1,0),"ERROR")</f>
        <v>83</v>
      </c>
      <c r="D89" s="110">
        <f>IFERROR(VLOOKUP($B89,MMWR_TRAD_AGG_STATE_PEN[],D$1,0),"ERROR")</f>
        <v>41.469879518100001</v>
      </c>
      <c r="E89" s="111">
        <f>IFERROR(VLOOKUP($B89,MMWR_TRAD_AGG_STATE_PEN[],E$1,0),"ERROR")</f>
        <v>278</v>
      </c>
      <c r="F89" s="112">
        <f>IFERROR(VLOOKUP($B89,MMWR_TRAD_AGG_STATE_PEN[],F$1,0),"ERROR")</f>
        <v>8</v>
      </c>
      <c r="G89" s="113">
        <f t="shared" si="8"/>
        <v>2.8776978417266189E-2</v>
      </c>
      <c r="H89" s="111">
        <f>IFERROR(VLOOKUP($B89,MMWR_TRAD_AGG_STATE_PEN[],H$1,0),"ERROR")</f>
        <v>139</v>
      </c>
      <c r="I89" s="112">
        <f>IFERROR(VLOOKUP($B89,MMWR_TRAD_AGG_STATE_PEN[],I$1,0),"ERROR")</f>
        <v>4</v>
      </c>
      <c r="J89" s="114">
        <f t="shared" si="9"/>
        <v>2.8776978417266189E-2</v>
      </c>
      <c r="K89" s="111">
        <f>IFERROR(VLOOKUP($B89,MMWR_TRAD_AGG_STATE_PEN[],K$1,0),"ERROR")</f>
        <v>0</v>
      </c>
      <c r="L89" s="112">
        <f>IFERROR(VLOOKUP($B89,MMWR_TRAD_AGG_STATE_PEN[],L$1,0),"ERROR")</f>
        <v>0</v>
      </c>
      <c r="M89" s="114" t="str">
        <f t="shared" si="10"/>
        <v>0%</v>
      </c>
      <c r="N89" s="111">
        <f>IFERROR(VLOOKUP($B89,MMWR_TRAD_AGG_STATE_PEN[],N$1,0),"ERROR")</f>
        <v>2</v>
      </c>
      <c r="O89" s="112">
        <f>IFERROR(VLOOKUP($B89,MMWR_TRAD_AGG_STATE_PEN[],O$1,0),"ERROR")</f>
        <v>0</v>
      </c>
      <c r="P89" s="114">
        <f t="shared" si="11"/>
        <v>0</v>
      </c>
      <c r="Q89" s="115">
        <f>IFERROR(VLOOKUP($B89,MMWR_TRAD_AGG_STATE_PEN[],Q$1,0),"ERROR")</f>
        <v>154</v>
      </c>
      <c r="R89" s="115">
        <f>IFERROR(VLOOKUP($B89,MMWR_TRAD_AGG_STATE_PEN[],R$1,0),"ERROR")</f>
        <v>35</v>
      </c>
      <c r="S89" s="115">
        <f>IFERROR(VLOOKUP($B89,MMWR_APP_STATE_PEN[],S$1,0),"ERROR")</f>
        <v>24</v>
      </c>
      <c r="T89" s="28"/>
    </row>
    <row r="90" spans="1:20" s="123" customFormat="1" x14ac:dyDescent="0.2">
      <c r="A90" s="28"/>
      <c r="B90" s="127" t="s">
        <v>430</v>
      </c>
      <c r="C90" s="109">
        <f>IFERROR(VLOOKUP($B90,MMWR_TRAD_AGG_STATE_PEN[],C$1,0),"ERROR")</f>
        <v>67</v>
      </c>
      <c r="D90" s="110">
        <f>IFERROR(VLOOKUP($B90,MMWR_TRAD_AGG_STATE_PEN[],D$1,0),"ERROR")</f>
        <v>38.582089552200003</v>
      </c>
      <c r="E90" s="111">
        <f>IFERROR(VLOOKUP($B90,MMWR_TRAD_AGG_STATE_PEN[],E$1,0),"ERROR")</f>
        <v>244</v>
      </c>
      <c r="F90" s="112">
        <f>IFERROR(VLOOKUP($B90,MMWR_TRAD_AGG_STATE_PEN[],F$1,0),"ERROR")</f>
        <v>13</v>
      </c>
      <c r="G90" s="113">
        <f t="shared" si="8"/>
        <v>5.3278688524590161E-2</v>
      </c>
      <c r="H90" s="111">
        <f>IFERROR(VLOOKUP($B90,MMWR_TRAD_AGG_STATE_PEN[],H$1,0),"ERROR")</f>
        <v>133</v>
      </c>
      <c r="I90" s="112">
        <f>IFERROR(VLOOKUP($B90,MMWR_TRAD_AGG_STATE_PEN[],I$1,0),"ERROR")</f>
        <v>5</v>
      </c>
      <c r="J90" s="114">
        <f t="shared" si="9"/>
        <v>3.7593984962406013E-2</v>
      </c>
      <c r="K90" s="111">
        <f>IFERROR(VLOOKUP($B90,MMWR_TRAD_AGG_STATE_PEN[],K$1,0),"ERROR")</f>
        <v>2</v>
      </c>
      <c r="L90" s="112">
        <f>IFERROR(VLOOKUP($B90,MMWR_TRAD_AGG_STATE_PEN[],L$1,0),"ERROR")</f>
        <v>2</v>
      </c>
      <c r="M90" s="114">
        <f t="shared" si="10"/>
        <v>1</v>
      </c>
      <c r="N90" s="111">
        <f>IFERROR(VLOOKUP($B90,MMWR_TRAD_AGG_STATE_PEN[],N$1,0),"ERROR")</f>
        <v>6</v>
      </c>
      <c r="O90" s="112">
        <f>IFERROR(VLOOKUP($B90,MMWR_TRAD_AGG_STATE_PEN[],O$1,0),"ERROR")</f>
        <v>4</v>
      </c>
      <c r="P90" s="114">
        <f t="shared" si="11"/>
        <v>0.66666666666666663</v>
      </c>
      <c r="Q90" s="115">
        <f>IFERROR(VLOOKUP($B90,MMWR_TRAD_AGG_STATE_PEN[],Q$1,0),"ERROR")</f>
        <v>110</v>
      </c>
      <c r="R90" s="115">
        <f>IFERROR(VLOOKUP($B90,MMWR_TRAD_AGG_STATE_PEN[],R$1,0),"ERROR")</f>
        <v>35</v>
      </c>
      <c r="S90" s="115">
        <f>IFERROR(VLOOKUP($B90,MMWR_APP_STATE_PEN[],S$1,0),"ERROR")</f>
        <v>17</v>
      </c>
      <c r="T90" s="28"/>
    </row>
    <row r="91" spans="1:20" s="123" customFormat="1" x14ac:dyDescent="0.2">
      <c r="A91" s="28"/>
      <c r="B91" s="127" t="s">
        <v>403</v>
      </c>
      <c r="C91" s="109">
        <f>IFERROR(VLOOKUP($B91,MMWR_TRAD_AGG_STATE_PEN[],C$1,0),"ERROR")</f>
        <v>367</v>
      </c>
      <c r="D91" s="110">
        <f>IFERROR(VLOOKUP($B91,MMWR_TRAD_AGG_STATE_PEN[],D$1,0),"ERROR")</f>
        <v>57.768392370599997</v>
      </c>
      <c r="E91" s="111">
        <f>IFERROR(VLOOKUP($B91,MMWR_TRAD_AGG_STATE_PEN[],E$1,0),"ERROR")</f>
        <v>967</v>
      </c>
      <c r="F91" s="112">
        <f>IFERROR(VLOOKUP($B91,MMWR_TRAD_AGG_STATE_PEN[],F$1,0),"ERROR")</f>
        <v>68</v>
      </c>
      <c r="G91" s="113">
        <f t="shared" si="8"/>
        <v>7.0320579110651496E-2</v>
      </c>
      <c r="H91" s="111">
        <f>IFERROR(VLOOKUP($B91,MMWR_TRAD_AGG_STATE_PEN[],H$1,0),"ERROR")</f>
        <v>698</v>
      </c>
      <c r="I91" s="112">
        <f>IFERROR(VLOOKUP($B91,MMWR_TRAD_AGG_STATE_PEN[],I$1,0),"ERROR")</f>
        <v>55</v>
      </c>
      <c r="J91" s="114">
        <f t="shared" si="9"/>
        <v>7.8796561604584522E-2</v>
      </c>
      <c r="K91" s="111">
        <f>IFERROR(VLOOKUP($B91,MMWR_TRAD_AGG_STATE_PEN[],K$1,0),"ERROR")</f>
        <v>3</v>
      </c>
      <c r="L91" s="112">
        <f>IFERROR(VLOOKUP($B91,MMWR_TRAD_AGG_STATE_PEN[],L$1,0),"ERROR")</f>
        <v>3</v>
      </c>
      <c r="M91" s="114">
        <f t="shared" si="10"/>
        <v>1</v>
      </c>
      <c r="N91" s="111">
        <f>IFERROR(VLOOKUP($B91,MMWR_TRAD_AGG_STATE_PEN[],N$1,0),"ERROR")</f>
        <v>47</v>
      </c>
      <c r="O91" s="112">
        <f>IFERROR(VLOOKUP($B91,MMWR_TRAD_AGG_STATE_PEN[],O$1,0),"ERROR")</f>
        <v>10</v>
      </c>
      <c r="P91" s="114">
        <f t="shared" si="11"/>
        <v>0.21276595744680851</v>
      </c>
      <c r="Q91" s="115">
        <f>IFERROR(VLOOKUP($B91,MMWR_TRAD_AGG_STATE_PEN[],Q$1,0),"ERROR")</f>
        <v>591</v>
      </c>
      <c r="R91" s="115">
        <f>IFERROR(VLOOKUP($B91,MMWR_TRAD_AGG_STATE_PEN[],R$1,0),"ERROR")</f>
        <v>78</v>
      </c>
      <c r="S91" s="115">
        <f>IFERROR(VLOOKUP($B91,MMWR_APP_STATE_PEN[],S$1,0),"ERROR")</f>
        <v>201</v>
      </c>
      <c r="T91" s="28"/>
    </row>
    <row r="92" spans="1:20" s="123" customFormat="1" x14ac:dyDescent="0.2">
      <c r="A92" s="28"/>
      <c r="B92" s="127" t="s">
        <v>409</v>
      </c>
      <c r="C92" s="109">
        <f>IFERROR(VLOOKUP($B92,MMWR_TRAD_AGG_STATE_PEN[],C$1,0),"ERROR")</f>
        <v>93</v>
      </c>
      <c r="D92" s="110">
        <f>IFERROR(VLOOKUP($B92,MMWR_TRAD_AGG_STATE_PEN[],D$1,0),"ERROR")</f>
        <v>33.827956989199997</v>
      </c>
      <c r="E92" s="111">
        <f>IFERROR(VLOOKUP($B92,MMWR_TRAD_AGG_STATE_PEN[],E$1,0),"ERROR")</f>
        <v>308</v>
      </c>
      <c r="F92" s="112">
        <f>IFERROR(VLOOKUP($B92,MMWR_TRAD_AGG_STATE_PEN[],F$1,0),"ERROR")</f>
        <v>13</v>
      </c>
      <c r="G92" s="113">
        <f t="shared" si="8"/>
        <v>4.2207792207792208E-2</v>
      </c>
      <c r="H92" s="111">
        <f>IFERROR(VLOOKUP($B92,MMWR_TRAD_AGG_STATE_PEN[],H$1,0),"ERROR")</f>
        <v>153</v>
      </c>
      <c r="I92" s="112">
        <f>IFERROR(VLOOKUP($B92,MMWR_TRAD_AGG_STATE_PEN[],I$1,0),"ERROR")</f>
        <v>4</v>
      </c>
      <c r="J92" s="114">
        <f t="shared" si="9"/>
        <v>2.6143790849673203E-2</v>
      </c>
      <c r="K92" s="111">
        <f>IFERROR(VLOOKUP($B92,MMWR_TRAD_AGG_STATE_PEN[],K$1,0),"ERROR")</f>
        <v>1</v>
      </c>
      <c r="L92" s="112">
        <f>IFERROR(VLOOKUP($B92,MMWR_TRAD_AGG_STATE_PEN[],L$1,0),"ERROR")</f>
        <v>1</v>
      </c>
      <c r="M92" s="114">
        <f t="shared" si="10"/>
        <v>1</v>
      </c>
      <c r="N92" s="111">
        <f>IFERROR(VLOOKUP($B92,MMWR_TRAD_AGG_STATE_PEN[],N$1,0),"ERROR")</f>
        <v>5</v>
      </c>
      <c r="O92" s="112">
        <f>IFERROR(VLOOKUP($B92,MMWR_TRAD_AGG_STATE_PEN[],O$1,0),"ERROR")</f>
        <v>1</v>
      </c>
      <c r="P92" s="114">
        <f t="shared" si="11"/>
        <v>0.2</v>
      </c>
      <c r="Q92" s="115">
        <f>IFERROR(VLOOKUP($B92,MMWR_TRAD_AGG_STATE_PEN[],Q$1,0),"ERROR")</f>
        <v>373</v>
      </c>
      <c r="R92" s="115">
        <f>IFERROR(VLOOKUP($B92,MMWR_TRAD_AGG_STATE_PEN[],R$1,0),"ERROR")</f>
        <v>41</v>
      </c>
      <c r="S92" s="115">
        <f>IFERROR(VLOOKUP($B92,MMWR_APP_STATE_PEN[],S$1,0),"ERROR")</f>
        <v>26</v>
      </c>
      <c r="T92" s="28"/>
    </row>
    <row r="93" spans="1:20" s="123" customFormat="1" x14ac:dyDescent="0.2">
      <c r="A93" s="28"/>
      <c r="B93" s="127" t="s">
        <v>405</v>
      </c>
      <c r="C93" s="109">
        <f>IFERROR(VLOOKUP($B93,MMWR_TRAD_AGG_STATE_PEN[],C$1,0),"ERROR")</f>
        <v>299</v>
      </c>
      <c r="D93" s="110">
        <f>IFERROR(VLOOKUP($B93,MMWR_TRAD_AGG_STATE_PEN[],D$1,0),"ERROR")</f>
        <v>64.408026755899996</v>
      </c>
      <c r="E93" s="111">
        <f>IFERROR(VLOOKUP($B93,MMWR_TRAD_AGG_STATE_PEN[],E$1,0),"ERROR")</f>
        <v>551</v>
      </c>
      <c r="F93" s="112">
        <f>IFERROR(VLOOKUP($B93,MMWR_TRAD_AGG_STATE_PEN[],F$1,0),"ERROR")</f>
        <v>36</v>
      </c>
      <c r="G93" s="113">
        <f t="shared" si="8"/>
        <v>6.5335753176043551E-2</v>
      </c>
      <c r="H93" s="111">
        <f>IFERROR(VLOOKUP($B93,MMWR_TRAD_AGG_STATE_PEN[],H$1,0),"ERROR")</f>
        <v>565</v>
      </c>
      <c r="I93" s="112">
        <f>IFERROR(VLOOKUP($B93,MMWR_TRAD_AGG_STATE_PEN[],I$1,0),"ERROR")</f>
        <v>46</v>
      </c>
      <c r="J93" s="114">
        <f t="shared" si="9"/>
        <v>8.1415929203539822E-2</v>
      </c>
      <c r="K93" s="111">
        <f>IFERROR(VLOOKUP($B93,MMWR_TRAD_AGG_STATE_PEN[],K$1,0),"ERROR")</f>
        <v>1</v>
      </c>
      <c r="L93" s="112">
        <f>IFERROR(VLOOKUP($B93,MMWR_TRAD_AGG_STATE_PEN[],L$1,0),"ERROR")</f>
        <v>1</v>
      </c>
      <c r="M93" s="114">
        <f t="shared" si="10"/>
        <v>1</v>
      </c>
      <c r="N93" s="111">
        <f>IFERROR(VLOOKUP($B93,MMWR_TRAD_AGG_STATE_PEN[],N$1,0),"ERROR")</f>
        <v>38</v>
      </c>
      <c r="O93" s="112">
        <f>IFERROR(VLOOKUP($B93,MMWR_TRAD_AGG_STATE_PEN[],O$1,0),"ERROR")</f>
        <v>12</v>
      </c>
      <c r="P93" s="114">
        <f t="shared" si="11"/>
        <v>0.31578947368421051</v>
      </c>
      <c r="Q93" s="115">
        <f>IFERROR(VLOOKUP($B93,MMWR_TRAD_AGG_STATE_PEN[],Q$1,0),"ERROR")</f>
        <v>445</v>
      </c>
      <c r="R93" s="115">
        <f>IFERROR(VLOOKUP($B93,MMWR_TRAD_AGG_STATE_PEN[],R$1,0),"ERROR")</f>
        <v>54</v>
      </c>
      <c r="S93" s="115">
        <f>IFERROR(VLOOKUP($B93,MMWR_APP_STATE_PEN[],S$1,0),"ERROR")</f>
        <v>161</v>
      </c>
      <c r="T93" s="28"/>
    </row>
    <row r="94" spans="1:20" s="123" customFormat="1" x14ac:dyDescent="0.2">
      <c r="A94" s="28"/>
      <c r="B94" s="127" t="s">
        <v>408</v>
      </c>
      <c r="C94" s="109">
        <f>IFERROR(VLOOKUP($B94,MMWR_TRAD_AGG_STATE_PEN[],C$1,0),"ERROR")</f>
        <v>25</v>
      </c>
      <c r="D94" s="110">
        <f>IFERROR(VLOOKUP($B94,MMWR_TRAD_AGG_STATE_PEN[],D$1,0),"ERROR")</f>
        <v>27.16</v>
      </c>
      <c r="E94" s="111">
        <f>IFERROR(VLOOKUP($B94,MMWR_TRAD_AGG_STATE_PEN[],E$1,0),"ERROR")</f>
        <v>89</v>
      </c>
      <c r="F94" s="112">
        <f>IFERROR(VLOOKUP($B94,MMWR_TRAD_AGG_STATE_PEN[],F$1,0),"ERROR")</f>
        <v>3</v>
      </c>
      <c r="G94" s="113">
        <f t="shared" si="8"/>
        <v>3.3707865168539325E-2</v>
      </c>
      <c r="H94" s="111">
        <f>IFERROR(VLOOKUP($B94,MMWR_TRAD_AGG_STATE_PEN[],H$1,0),"ERROR")</f>
        <v>45</v>
      </c>
      <c r="I94" s="112">
        <f>IFERROR(VLOOKUP($B94,MMWR_TRAD_AGG_STATE_PEN[],I$1,0),"ERROR")</f>
        <v>1</v>
      </c>
      <c r="J94" s="114">
        <f t="shared" si="9"/>
        <v>2.2222222222222223E-2</v>
      </c>
      <c r="K94" s="111">
        <f>IFERROR(VLOOKUP($B94,MMWR_TRAD_AGG_STATE_PEN[],K$1,0),"ERROR")</f>
        <v>0</v>
      </c>
      <c r="L94" s="112">
        <f>IFERROR(VLOOKUP($B94,MMWR_TRAD_AGG_STATE_PEN[],L$1,0),"ERROR")</f>
        <v>0</v>
      </c>
      <c r="M94" s="114" t="str">
        <f t="shared" si="10"/>
        <v>0%</v>
      </c>
      <c r="N94" s="111">
        <f>IFERROR(VLOOKUP($B94,MMWR_TRAD_AGG_STATE_PEN[],N$1,0),"ERROR")</f>
        <v>1</v>
      </c>
      <c r="O94" s="112">
        <f>IFERROR(VLOOKUP($B94,MMWR_TRAD_AGG_STATE_PEN[],O$1,0),"ERROR")</f>
        <v>0</v>
      </c>
      <c r="P94" s="114">
        <f t="shared" si="11"/>
        <v>0</v>
      </c>
      <c r="Q94" s="115">
        <f>IFERROR(VLOOKUP($B94,MMWR_TRAD_AGG_STATE_PEN[],Q$1,0),"ERROR")</f>
        <v>142</v>
      </c>
      <c r="R94" s="115">
        <f>IFERROR(VLOOKUP($B94,MMWR_TRAD_AGG_STATE_PEN[],R$1,0),"ERROR")</f>
        <v>15</v>
      </c>
      <c r="S94" s="115">
        <f>IFERROR(VLOOKUP($B94,MMWR_APP_STATE_PEN[],S$1,0),"ERROR")</f>
        <v>22</v>
      </c>
      <c r="T94" s="28"/>
    </row>
    <row r="95" spans="1:20" s="123" customFormat="1" x14ac:dyDescent="0.2">
      <c r="A95" s="28"/>
      <c r="B95" s="127" t="s">
        <v>427</v>
      </c>
      <c r="C95" s="109">
        <f>IFERROR(VLOOKUP($B95,MMWR_TRAD_AGG_STATE_PEN[],C$1,0),"ERROR")</f>
        <v>12</v>
      </c>
      <c r="D95" s="110">
        <f>IFERROR(VLOOKUP($B95,MMWR_TRAD_AGG_STATE_PEN[],D$1,0),"ERROR")</f>
        <v>40.916666666700003</v>
      </c>
      <c r="E95" s="111">
        <f>IFERROR(VLOOKUP($B95,MMWR_TRAD_AGG_STATE_PEN[],E$1,0),"ERROR")</f>
        <v>32</v>
      </c>
      <c r="F95" s="112">
        <f>IFERROR(VLOOKUP($B95,MMWR_TRAD_AGG_STATE_PEN[],F$1,0),"ERROR")</f>
        <v>0</v>
      </c>
      <c r="G95" s="113">
        <f t="shared" si="8"/>
        <v>0</v>
      </c>
      <c r="H95" s="111">
        <f>IFERROR(VLOOKUP($B95,MMWR_TRAD_AGG_STATE_PEN[],H$1,0),"ERROR")</f>
        <v>24</v>
      </c>
      <c r="I95" s="112">
        <f>IFERROR(VLOOKUP($B95,MMWR_TRAD_AGG_STATE_PEN[],I$1,0),"ERROR")</f>
        <v>0</v>
      </c>
      <c r="J95" s="114">
        <f t="shared" si="9"/>
        <v>0</v>
      </c>
      <c r="K95" s="111">
        <f>IFERROR(VLOOKUP($B95,MMWR_TRAD_AGG_STATE_PEN[],K$1,0),"ERROR")</f>
        <v>0</v>
      </c>
      <c r="L95" s="112">
        <f>IFERROR(VLOOKUP($B95,MMWR_TRAD_AGG_STATE_PEN[],L$1,0),"ERROR")</f>
        <v>0</v>
      </c>
      <c r="M95" s="114" t="str">
        <f t="shared" si="10"/>
        <v>0%</v>
      </c>
      <c r="N95" s="111">
        <f>IFERROR(VLOOKUP($B95,MMWR_TRAD_AGG_STATE_PEN[],N$1,0),"ERROR")</f>
        <v>0</v>
      </c>
      <c r="O95" s="112">
        <f>IFERROR(VLOOKUP($B95,MMWR_TRAD_AGG_STATE_PEN[],O$1,0),"ERROR")</f>
        <v>0</v>
      </c>
      <c r="P95" s="114" t="str">
        <f t="shared" si="11"/>
        <v>0%</v>
      </c>
      <c r="Q95" s="115">
        <f>IFERROR(VLOOKUP($B95,MMWR_TRAD_AGG_STATE_PEN[],Q$1,0),"ERROR")</f>
        <v>41</v>
      </c>
      <c r="R95" s="115">
        <f>IFERROR(VLOOKUP($B95,MMWR_TRAD_AGG_STATE_PEN[],R$1,0),"ERROR")</f>
        <v>6</v>
      </c>
      <c r="S95" s="115">
        <f>IFERROR(VLOOKUP($B95,MMWR_APP_STATE_PEN[],S$1,0),"ERROR")</f>
        <v>2</v>
      </c>
      <c r="T95" s="28"/>
    </row>
    <row r="96" spans="1:20" s="123" customFormat="1" x14ac:dyDescent="0.2">
      <c r="A96" s="28"/>
      <c r="B96" s="127" t="s">
        <v>399</v>
      </c>
      <c r="C96" s="109">
        <f>IFERROR(VLOOKUP($B96,MMWR_TRAD_AGG_STATE_PEN[],C$1,0),"ERROR")</f>
        <v>436</v>
      </c>
      <c r="D96" s="110">
        <f>IFERROR(VLOOKUP($B96,MMWR_TRAD_AGG_STATE_PEN[],D$1,0),"ERROR")</f>
        <v>66.172018348600005</v>
      </c>
      <c r="E96" s="111">
        <f>IFERROR(VLOOKUP($B96,MMWR_TRAD_AGG_STATE_PEN[],E$1,0),"ERROR")</f>
        <v>1029</v>
      </c>
      <c r="F96" s="112">
        <f>IFERROR(VLOOKUP($B96,MMWR_TRAD_AGG_STATE_PEN[],F$1,0),"ERROR")</f>
        <v>81</v>
      </c>
      <c r="G96" s="113">
        <f t="shared" si="8"/>
        <v>7.8717201166180764E-2</v>
      </c>
      <c r="H96" s="111">
        <f>IFERROR(VLOOKUP($B96,MMWR_TRAD_AGG_STATE_PEN[],H$1,0),"ERROR")</f>
        <v>818</v>
      </c>
      <c r="I96" s="112">
        <f>IFERROR(VLOOKUP($B96,MMWR_TRAD_AGG_STATE_PEN[],I$1,0),"ERROR")</f>
        <v>88</v>
      </c>
      <c r="J96" s="114">
        <f t="shared" si="9"/>
        <v>0.10757946210268948</v>
      </c>
      <c r="K96" s="111">
        <f>IFERROR(VLOOKUP($B96,MMWR_TRAD_AGG_STATE_PEN[],K$1,0),"ERROR")</f>
        <v>17</v>
      </c>
      <c r="L96" s="112">
        <f>IFERROR(VLOOKUP($B96,MMWR_TRAD_AGG_STATE_PEN[],L$1,0),"ERROR")</f>
        <v>8</v>
      </c>
      <c r="M96" s="114">
        <f t="shared" si="10"/>
        <v>0.47058823529411764</v>
      </c>
      <c r="N96" s="111">
        <f>IFERROR(VLOOKUP($B96,MMWR_TRAD_AGG_STATE_PEN[],N$1,0),"ERROR")</f>
        <v>46</v>
      </c>
      <c r="O96" s="112">
        <f>IFERROR(VLOOKUP($B96,MMWR_TRAD_AGG_STATE_PEN[],O$1,0),"ERROR")</f>
        <v>15</v>
      </c>
      <c r="P96" s="114">
        <f t="shared" si="11"/>
        <v>0.32608695652173914</v>
      </c>
      <c r="Q96" s="115">
        <f>IFERROR(VLOOKUP($B96,MMWR_TRAD_AGG_STATE_PEN[],Q$1,0),"ERROR")</f>
        <v>576</v>
      </c>
      <c r="R96" s="115">
        <f>IFERROR(VLOOKUP($B96,MMWR_TRAD_AGG_STATE_PEN[],R$1,0),"ERROR")</f>
        <v>64</v>
      </c>
      <c r="S96" s="115">
        <f>IFERROR(VLOOKUP($B96,MMWR_APP_STATE_PEN[],S$1,0),"ERROR")</f>
        <v>206</v>
      </c>
      <c r="T96" s="28"/>
    </row>
    <row r="97" spans="1:20" s="123" customFormat="1" x14ac:dyDescent="0.2">
      <c r="A97" s="28"/>
      <c r="B97" s="127" t="s">
        <v>428</v>
      </c>
      <c r="C97" s="109">
        <f>IFERROR(VLOOKUP($B97,MMWR_TRAD_AGG_STATE_PEN[],C$1,0),"ERROR")</f>
        <v>12</v>
      </c>
      <c r="D97" s="110">
        <f>IFERROR(VLOOKUP($B97,MMWR_TRAD_AGG_STATE_PEN[],D$1,0),"ERROR")</f>
        <v>22.083333333300001</v>
      </c>
      <c r="E97" s="111">
        <f>IFERROR(VLOOKUP($B97,MMWR_TRAD_AGG_STATE_PEN[],E$1,0),"ERROR")</f>
        <v>51</v>
      </c>
      <c r="F97" s="112">
        <f>IFERROR(VLOOKUP($B97,MMWR_TRAD_AGG_STATE_PEN[],F$1,0),"ERROR")</f>
        <v>1</v>
      </c>
      <c r="G97" s="113">
        <f t="shared" si="8"/>
        <v>1.9607843137254902E-2</v>
      </c>
      <c r="H97" s="111">
        <f>IFERROR(VLOOKUP($B97,MMWR_TRAD_AGG_STATE_PEN[],H$1,0),"ERROR")</f>
        <v>27</v>
      </c>
      <c r="I97" s="112">
        <f>IFERROR(VLOOKUP($B97,MMWR_TRAD_AGG_STATE_PEN[],I$1,0),"ERROR")</f>
        <v>1</v>
      </c>
      <c r="J97" s="114">
        <f t="shared" si="9"/>
        <v>3.7037037037037035E-2</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1</v>
      </c>
      <c r="P97" s="114">
        <f t="shared" si="11"/>
        <v>1</v>
      </c>
      <c r="Q97" s="115">
        <f>IFERROR(VLOOKUP($B97,MMWR_TRAD_AGG_STATE_PEN[],Q$1,0),"ERROR")</f>
        <v>82</v>
      </c>
      <c r="R97" s="115">
        <f>IFERROR(VLOOKUP($B97,MMWR_TRAD_AGG_STATE_PEN[],R$1,0),"ERROR")</f>
        <v>7</v>
      </c>
      <c r="S97" s="115">
        <f>IFERROR(VLOOKUP($B97,MMWR_APP_STATE_PEN[],S$1,0),"ERROR")</f>
        <v>7</v>
      </c>
      <c r="T97" s="28"/>
    </row>
    <row r="98" spans="1:20" s="123" customFormat="1" x14ac:dyDescent="0.2">
      <c r="A98" s="28"/>
      <c r="B98" s="127" t="s">
        <v>404</v>
      </c>
      <c r="C98" s="109">
        <f>IFERROR(VLOOKUP($B98,MMWR_TRAD_AGG_STATE_PEN[],C$1,0),"ERROR")</f>
        <v>189</v>
      </c>
      <c r="D98" s="110">
        <f>IFERROR(VLOOKUP($B98,MMWR_TRAD_AGG_STATE_PEN[],D$1,0),"ERROR")</f>
        <v>52.910052910099999</v>
      </c>
      <c r="E98" s="111">
        <f>IFERROR(VLOOKUP($B98,MMWR_TRAD_AGG_STATE_PEN[],E$1,0),"ERROR")</f>
        <v>330</v>
      </c>
      <c r="F98" s="112">
        <f>IFERROR(VLOOKUP($B98,MMWR_TRAD_AGG_STATE_PEN[],F$1,0),"ERROR")</f>
        <v>11</v>
      </c>
      <c r="G98" s="113">
        <f t="shared" si="8"/>
        <v>3.3333333333333333E-2</v>
      </c>
      <c r="H98" s="111">
        <f>IFERROR(VLOOKUP($B98,MMWR_TRAD_AGG_STATE_PEN[],H$1,0),"ERROR")</f>
        <v>358</v>
      </c>
      <c r="I98" s="112">
        <f>IFERROR(VLOOKUP($B98,MMWR_TRAD_AGG_STATE_PEN[],I$1,0),"ERROR")</f>
        <v>17</v>
      </c>
      <c r="J98" s="114">
        <f t="shared" si="9"/>
        <v>4.7486033519553071E-2</v>
      </c>
      <c r="K98" s="111">
        <f>IFERROR(VLOOKUP($B98,MMWR_TRAD_AGG_STATE_PEN[],K$1,0),"ERROR")</f>
        <v>0</v>
      </c>
      <c r="L98" s="112">
        <f>IFERROR(VLOOKUP($B98,MMWR_TRAD_AGG_STATE_PEN[],L$1,0),"ERROR")</f>
        <v>0</v>
      </c>
      <c r="M98" s="114" t="str">
        <f t="shared" si="10"/>
        <v>0%</v>
      </c>
      <c r="N98" s="111">
        <f>IFERROR(VLOOKUP($B98,MMWR_TRAD_AGG_STATE_PEN[],N$1,0),"ERROR")</f>
        <v>20</v>
      </c>
      <c r="O98" s="112">
        <f>IFERROR(VLOOKUP($B98,MMWR_TRAD_AGG_STATE_PEN[],O$1,0),"ERROR")</f>
        <v>6</v>
      </c>
      <c r="P98" s="114">
        <f t="shared" si="11"/>
        <v>0.3</v>
      </c>
      <c r="Q98" s="115">
        <f>IFERROR(VLOOKUP($B98,MMWR_TRAD_AGG_STATE_PEN[],Q$1,0),"ERROR")</f>
        <v>303</v>
      </c>
      <c r="R98" s="115">
        <f>IFERROR(VLOOKUP($B98,MMWR_TRAD_AGG_STATE_PEN[],R$1,0),"ERROR")</f>
        <v>23</v>
      </c>
      <c r="S98" s="115">
        <f>IFERROR(VLOOKUP($B98,MMWR_APP_STATE_PEN[],S$1,0),"ERROR")</f>
        <v>86</v>
      </c>
      <c r="T98" s="28"/>
    </row>
    <row r="99" spans="1:20" s="123" customFormat="1" x14ac:dyDescent="0.2">
      <c r="A99" s="28"/>
      <c r="B99" s="126" t="s">
        <v>393</v>
      </c>
      <c r="C99" s="102">
        <f>IFERROR(VLOOKUP($B99,MMWR_TRAD_AGG_ST_DISTRICT_PEN[],C$1,0),"ERROR")</f>
        <v>1191</v>
      </c>
      <c r="D99" s="103">
        <f>IFERROR(VLOOKUP($B99,MMWR_TRAD_AGG_ST_DISTRICT_PEN[],D$1,0),"ERROR")</f>
        <v>53.9227539882</v>
      </c>
      <c r="E99" s="102">
        <f>IFERROR(VLOOKUP($B99,MMWR_TRAD_AGG_ST_DISTRICT_PEN[],E$1,0),"ERROR")</f>
        <v>2909</v>
      </c>
      <c r="F99" s="102">
        <f>IFERROR(VLOOKUP($B99,MMWR_TRAD_AGG_ST_DISTRICT_PEN[],F$1,0),"ERROR")</f>
        <v>95</v>
      </c>
      <c r="G99" s="104">
        <f t="shared" si="8"/>
        <v>3.2657270539704367E-2</v>
      </c>
      <c r="H99" s="102">
        <f>IFERROR(VLOOKUP($B99,MMWR_TRAD_AGG_ST_DISTRICT_PEN[],H$1,0),"ERROR")</f>
        <v>2281</v>
      </c>
      <c r="I99" s="102">
        <f>IFERROR(VLOOKUP($B99,MMWR_TRAD_AGG_ST_DISTRICT_PEN[],I$1,0),"ERROR")</f>
        <v>210</v>
      </c>
      <c r="J99" s="104">
        <f t="shared" si="9"/>
        <v>9.2064883822884705E-2</v>
      </c>
      <c r="K99" s="102">
        <f>IFERROR(VLOOKUP($B99,MMWR_TRAD_AGG_ST_DISTRICT_PEN[],K$1,0),"ERROR")</f>
        <v>26</v>
      </c>
      <c r="L99" s="102">
        <f>IFERROR(VLOOKUP($B99,MMWR_TRAD_AGG_ST_DISTRICT_PEN[],L$1,0),"ERROR")</f>
        <v>25</v>
      </c>
      <c r="M99" s="104">
        <f t="shared" si="10"/>
        <v>0.96153846153846156</v>
      </c>
      <c r="N99" s="102">
        <f>IFERROR(VLOOKUP($B99,MMWR_TRAD_AGG_ST_DISTRICT_PEN[],N$1,0),"ERROR")</f>
        <v>150</v>
      </c>
      <c r="O99" s="102">
        <f>IFERROR(VLOOKUP($B99,MMWR_TRAD_AGG_ST_DISTRICT_PEN[],O$1,0),"ERROR")</f>
        <v>75</v>
      </c>
      <c r="P99" s="104">
        <f t="shared" si="11"/>
        <v>0.5</v>
      </c>
      <c r="Q99" s="102">
        <f>IFERROR(VLOOKUP($B99,MMWR_TRAD_AGG_ST_DISTRICT_PEN[],Q$1,0),"ERROR")</f>
        <v>2462</v>
      </c>
      <c r="R99" s="106">
        <f>IFERROR(VLOOKUP($B99,MMWR_TRAD_AGG_ST_DISTRICT_PEN[],R$1,0),"ERROR")</f>
        <v>460</v>
      </c>
      <c r="S99" s="106">
        <f>IFERROR(VLOOKUP($B99,MMWR_APP_STATE_PEN[],S$1,0),"ERROR")</f>
        <v>750</v>
      </c>
      <c r="T99" s="28"/>
    </row>
    <row r="100" spans="1:20" s="123" customFormat="1" x14ac:dyDescent="0.2">
      <c r="A100" s="28"/>
      <c r="B100" s="127" t="s">
        <v>419</v>
      </c>
      <c r="C100" s="109">
        <f>IFERROR(VLOOKUP($B100,MMWR_TRAD_AGG_STATE_PEN[],C$1,0),"ERROR")</f>
        <v>141</v>
      </c>
      <c r="D100" s="110">
        <f>IFERROR(VLOOKUP($B100,MMWR_TRAD_AGG_STATE_PEN[],D$1,0),"ERROR")</f>
        <v>72.453900709199999</v>
      </c>
      <c r="E100" s="111">
        <f>IFERROR(VLOOKUP($B100,MMWR_TRAD_AGG_STATE_PEN[],E$1,0),"ERROR")</f>
        <v>189</v>
      </c>
      <c r="F100" s="112">
        <f>IFERROR(VLOOKUP($B100,MMWR_TRAD_AGG_STATE_PEN[],F$1,0),"ERROR")</f>
        <v>7</v>
      </c>
      <c r="G100" s="113">
        <f t="shared" si="8"/>
        <v>3.7037037037037035E-2</v>
      </c>
      <c r="H100" s="111">
        <f>IFERROR(VLOOKUP($B100,MMWR_TRAD_AGG_STATE_PEN[],H$1,0),"ERROR")</f>
        <v>239</v>
      </c>
      <c r="I100" s="112">
        <f>IFERROR(VLOOKUP($B100,MMWR_TRAD_AGG_STATE_PEN[],I$1,0),"ERROR")</f>
        <v>35</v>
      </c>
      <c r="J100" s="114">
        <f t="shared" si="9"/>
        <v>0.14644351464435146</v>
      </c>
      <c r="K100" s="111">
        <f>IFERROR(VLOOKUP($B100,MMWR_TRAD_AGG_STATE_PEN[],K$1,0),"ERROR")</f>
        <v>4</v>
      </c>
      <c r="L100" s="112">
        <f>IFERROR(VLOOKUP($B100,MMWR_TRAD_AGG_STATE_PEN[],L$1,0),"ERROR")</f>
        <v>4</v>
      </c>
      <c r="M100" s="114">
        <f t="shared" si="10"/>
        <v>1</v>
      </c>
      <c r="N100" s="111">
        <f>IFERROR(VLOOKUP($B100,MMWR_TRAD_AGG_STATE_PEN[],N$1,0),"ERROR")</f>
        <v>13</v>
      </c>
      <c r="O100" s="112">
        <f>IFERROR(VLOOKUP($B100,MMWR_TRAD_AGG_STATE_PEN[],O$1,0),"ERROR")</f>
        <v>4</v>
      </c>
      <c r="P100" s="114">
        <f t="shared" si="11"/>
        <v>0.30769230769230771</v>
      </c>
      <c r="Q100" s="115">
        <f>IFERROR(VLOOKUP($B100,MMWR_TRAD_AGG_STATE_PEN[],Q$1,0),"ERROR")</f>
        <v>253</v>
      </c>
      <c r="R100" s="115">
        <f>IFERROR(VLOOKUP($B100,MMWR_TRAD_AGG_STATE_PEN[],R$1,0),"ERROR")</f>
        <v>18</v>
      </c>
      <c r="S100" s="115">
        <f>IFERROR(VLOOKUP($B100,MMWR_APP_STATE_PEN[],S$1,0),"ERROR")</f>
        <v>114</v>
      </c>
      <c r="T100" s="28"/>
    </row>
    <row r="101" spans="1:20" s="123" customFormat="1" x14ac:dyDescent="0.2">
      <c r="A101" s="28"/>
      <c r="B101" s="127" t="s">
        <v>411</v>
      </c>
      <c r="C101" s="109">
        <f>IFERROR(VLOOKUP($B101,MMWR_TRAD_AGG_STATE_PEN[],C$1,0),"ERROR")</f>
        <v>70</v>
      </c>
      <c r="D101" s="110">
        <f>IFERROR(VLOOKUP($B101,MMWR_TRAD_AGG_STATE_PEN[],D$1,0),"ERROR")</f>
        <v>40.185714285700001</v>
      </c>
      <c r="E101" s="111">
        <f>IFERROR(VLOOKUP($B101,MMWR_TRAD_AGG_STATE_PEN[],E$1,0),"ERROR")</f>
        <v>227</v>
      </c>
      <c r="F101" s="112">
        <f>IFERROR(VLOOKUP($B101,MMWR_TRAD_AGG_STATE_PEN[],F$1,0),"ERROR")</f>
        <v>5</v>
      </c>
      <c r="G101" s="113">
        <f t="shared" ref="G101:G127" si="12">IFERROR(F101/E101,"0%")</f>
        <v>2.2026431718061675E-2</v>
      </c>
      <c r="H101" s="111">
        <f>IFERROR(VLOOKUP($B101,MMWR_TRAD_AGG_STATE_PEN[],H$1,0),"ERROR")</f>
        <v>158</v>
      </c>
      <c r="I101" s="112">
        <f>IFERROR(VLOOKUP($B101,MMWR_TRAD_AGG_STATE_PEN[],I$1,0),"ERROR")</f>
        <v>13</v>
      </c>
      <c r="J101" s="114">
        <f t="shared" ref="J101:J127" si="13">IFERROR(I101/H101,"0%")</f>
        <v>8.2278481012658222E-2</v>
      </c>
      <c r="K101" s="111">
        <f>IFERROR(VLOOKUP($B101,MMWR_TRAD_AGG_STATE_PEN[],K$1,0),"ERROR")</f>
        <v>3</v>
      </c>
      <c r="L101" s="112">
        <f>IFERROR(VLOOKUP($B101,MMWR_TRAD_AGG_STATE_PEN[],L$1,0),"ERROR")</f>
        <v>3</v>
      </c>
      <c r="M101" s="114">
        <f t="shared" ref="M101:M127" si="14">IFERROR(L101/K101,"0%")</f>
        <v>1</v>
      </c>
      <c r="N101" s="111">
        <f>IFERROR(VLOOKUP($B101,MMWR_TRAD_AGG_STATE_PEN[],N$1,0),"ERROR")</f>
        <v>19</v>
      </c>
      <c r="O101" s="112">
        <f>IFERROR(VLOOKUP($B101,MMWR_TRAD_AGG_STATE_PEN[],O$1,0),"ERROR")</f>
        <v>10</v>
      </c>
      <c r="P101" s="114">
        <f t="shared" ref="P101:P127" si="15">IFERROR(O101/N101,"0%")</f>
        <v>0.52631578947368418</v>
      </c>
      <c r="Q101" s="115">
        <f>IFERROR(VLOOKUP($B101,MMWR_TRAD_AGG_STATE_PEN[],Q$1,0),"ERROR")</f>
        <v>227</v>
      </c>
      <c r="R101" s="115">
        <f>IFERROR(VLOOKUP($B101,MMWR_TRAD_AGG_STATE_PEN[],R$1,0),"ERROR")</f>
        <v>43</v>
      </c>
      <c r="S101" s="115">
        <f>IFERROR(VLOOKUP($B101,MMWR_APP_STATE_PEN[],S$1,0),"ERROR")</f>
        <v>44</v>
      </c>
      <c r="T101" s="28"/>
    </row>
    <row r="102" spans="1:20" s="123" customFormat="1" x14ac:dyDescent="0.2">
      <c r="A102" s="28"/>
      <c r="B102" s="127" t="s">
        <v>395</v>
      </c>
      <c r="C102" s="109">
        <f>IFERROR(VLOOKUP($B102,MMWR_TRAD_AGG_STATE_PEN[],C$1,0),"ERROR")</f>
        <v>260</v>
      </c>
      <c r="D102" s="110">
        <f>IFERROR(VLOOKUP($B102,MMWR_TRAD_AGG_STATE_PEN[],D$1,0),"ERROR")</f>
        <v>53.580769230800001</v>
      </c>
      <c r="E102" s="111">
        <f>IFERROR(VLOOKUP($B102,MMWR_TRAD_AGG_STATE_PEN[],E$1,0),"ERROR")</f>
        <v>366</v>
      </c>
      <c r="F102" s="112">
        <f>IFERROR(VLOOKUP($B102,MMWR_TRAD_AGG_STATE_PEN[],F$1,0),"ERROR")</f>
        <v>22</v>
      </c>
      <c r="G102" s="113">
        <f t="shared" si="12"/>
        <v>6.0109289617486336E-2</v>
      </c>
      <c r="H102" s="111">
        <f>IFERROR(VLOOKUP($B102,MMWR_TRAD_AGG_STATE_PEN[],H$1,0),"ERROR")</f>
        <v>432</v>
      </c>
      <c r="I102" s="112">
        <f>IFERROR(VLOOKUP($B102,MMWR_TRAD_AGG_STATE_PEN[],I$1,0),"ERROR")</f>
        <v>32</v>
      </c>
      <c r="J102" s="114">
        <f t="shared" si="13"/>
        <v>7.407407407407407E-2</v>
      </c>
      <c r="K102" s="111">
        <f>IFERROR(VLOOKUP($B102,MMWR_TRAD_AGG_STATE_PEN[],K$1,0),"ERROR")</f>
        <v>5</v>
      </c>
      <c r="L102" s="112">
        <f>IFERROR(VLOOKUP($B102,MMWR_TRAD_AGG_STATE_PEN[],L$1,0),"ERROR")</f>
        <v>5</v>
      </c>
      <c r="M102" s="114">
        <f t="shared" si="14"/>
        <v>1</v>
      </c>
      <c r="N102" s="111">
        <f>IFERROR(VLOOKUP($B102,MMWR_TRAD_AGG_STATE_PEN[],N$1,0),"ERROR")</f>
        <v>21</v>
      </c>
      <c r="O102" s="112">
        <f>IFERROR(VLOOKUP($B102,MMWR_TRAD_AGG_STATE_PEN[],O$1,0),"ERROR")</f>
        <v>6</v>
      </c>
      <c r="P102" s="114">
        <f t="shared" si="15"/>
        <v>0.2857142857142857</v>
      </c>
      <c r="Q102" s="115">
        <f>IFERROR(VLOOKUP($B102,MMWR_TRAD_AGG_STATE_PEN[],Q$1,0),"ERROR")</f>
        <v>223</v>
      </c>
      <c r="R102" s="115">
        <f>IFERROR(VLOOKUP($B102,MMWR_TRAD_AGG_STATE_PEN[],R$1,0),"ERROR")</f>
        <v>29</v>
      </c>
      <c r="S102" s="115">
        <f>IFERROR(VLOOKUP($B102,MMWR_APP_STATE_PEN[],S$1,0),"ERROR")</f>
        <v>136</v>
      </c>
      <c r="T102" s="28"/>
    </row>
    <row r="103" spans="1:20" s="123" customFormat="1" x14ac:dyDescent="0.2">
      <c r="A103" s="28"/>
      <c r="B103" s="127" t="s">
        <v>397</v>
      </c>
      <c r="C103" s="109">
        <f>IFERROR(VLOOKUP($B103,MMWR_TRAD_AGG_STATE_PEN[],C$1,0),"ERROR")</f>
        <v>159</v>
      </c>
      <c r="D103" s="110">
        <f>IFERROR(VLOOKUP($B103,MMWR_TRAD_AGG_STATE_PEN[],D$1,0),"ERROR")</f>
        <v>75.509433962299994</v>
      </c>
      <c r="E103" s="111">
        <f>IFERROR(VLOOKUP($B103,MMWR_TRAD_AGG_STATE_PEN[],E$1,0),"ERROR")</f>
        <v>246</v>
      </c>
      <c r="F103" s="112">
        <f>IFERROR(VLOOKUP($B103,MMWR_TRAD_AGG_STATE_PEN[],F$1,0),"ERROR")</f>
        <v>11</v>
      </c>
      <c r="G103" s="113">
        <f t="shared" si="12"/>
        <v>4.4715447154471545E-2</v>
      </c>
      <c r="H103" s="111">
        <f>IFERROR(VLOOKUP($B103,MMWR_TRAD_AGG_STATE_PEN[],H$1,0),"ERROR")</f>
        <v>279</v>
      </c>
      <c r="I103" s="112">
        <f>IFERROR(VLOOKUP($B103,MMWR_TRAD_AGG_STATE_PEN[],I$1,0),"ERROR")</f>
        <v>40</v>
      </c>
      <c r="J103" s="114">
        <f t="shared" si="13"/>
        <v>0.14336917562724014</v>
      </c>
      <c r="K103" s="111">
        <f>IFERROR(VLOOKUP($B103,MMWR_TRAD_AGG_STATE_PEN[],K$1,0),"ERROR")</f>
        <v>4</v>
      </c>
      <c r="L103" s="112">
        <f>IFERROR(VLOOKUP($B103,MMWR_TRAD_AGG_STATE_PEN[],L$1,0),"ERROR")</f>
        <v>4</v>
      </c>
      <c r="M103" s="114">
        <f t="shared" si="14"/>
        <v>1</v>
      </c>
      <c r="N103" s="111">
        <f>IFERROR(VLOOKUP($B103,MMWR_TRAD_AGG_STATE_PEN[],N$1,0),"ERROR")</f>
        <v>25</v>
      </c>
      <c r="O103" s="112">
        <f>IFERROR(VLOOKUP($B103,MMWR_TRAD_AGG_STATE_PEN[],O$1,0),"ERROR")</f>
        <v>8</v>
      </c>
      <c r="P103" s="114">
        <f t="shared" si="15"/>
        <v>0.32</v>
      </c>
      <c r="Q103" s="115">
        <f>IFERROR(VLOOKUP($B103,MMWR_TRAD_AGG_STATE_PEN[],Q$1,0),"ERROR")</f>
        <v>316</v>
      </c>
      <c r="R103" s="115">
        <f>IFERROR(VLOOKUP($B103,MMWR_TRAD_AGG_STATE_PEN[],R$1,0),"ERROR")</f>
        <v>27</v>
      </c>
      <c r="S103" s="115">
        <f>IFERROR(VLOOKUP($B103,MMWR_APP_STATE_PEN[],S$1,0),"ERROR")</f>
        <v>112</v>
      </c>
      <c r="T103" s="28"/>
    </row>
    <row r="104" spans="1:20" s="123" customFormat="1" x14ac:dyDescent="0.2">
      <c r="A104" s="28"/>
      <c r="B104" s="127" t="s">
        <v>426</v>
      </c>
      <c r="C104" s="109">
        <f>IFERROR(VLOOKUP($B104,MMWR_TRAD_AGG_STATE_PEN[],C$1,0),"ERROR")</f>
        <v>19</v>
      </c>
      <c r="D104" s="110">
        <f>IFERROR(VLOOKUP($B104,MMWR_TRAD_AGG_STATE_PEN[],D$1,0),"ERROR")</f>
        <v>32.789473684199997</v>
      </c>
      <c r="E104" s="111">
        <f>IFERROR(VLOOKUP($B104,MMWR_TRAD_AGG_STATE_PEN[],E$1,0),"ERROR")</f>
        <v>78</v>
      </c>
      <c r="F104" s="112">
        <f>IFERROR(VLOOKUP($B104,MMWR_TRAD_AGG_STATE_PEN[],F$1,0),"ERROR")</f>
        <v>0</v>
      </c>
      <c r="G104" s="113">
        <f t="shared" si="12"/>
        <v>0</v>
      </c>
      <c r="H104" s="111">
        <f>IFERROR(VLOOKUP($B104,MMWR_TRAD_AGG_STATE_PEN[],H$1,0),"ERROR")</f>
        <v>37</v>
      </c>
      <c r="I104" s="112">
        <f>IFERROR(VLOOKUP($B104,MMWR_TRAD_AGG_STATE_PEN[],I$1,0),"ERROR")</f>
        <v>2</v>
      </c>
      <c r="J104" s="114">
        <f t="shared" si="13"/>
        <v>5.4054054054054057E-2</v>
      </c>
      <c r="K104" s="111">
        <f>IFERROR(VLOOKUP($B104,MMWR_TRAD_AGG_STATE_PEN[],K$1,0),"ERROR")</f>
        <v>0</v>
      </c>
      <c r="L104" s="112">
        <f>IFERROR(VLOOKUP($B104,MMWR_TRAD_AGG_STATE_PEN[],L$1,0),"ERROR")</f>
        <v>0</v>
      </c>
      <c r="M104" s="114" t="str">
        <f t="shared" si="14"/>
        <v>0%</v>
      </c>
      <c r="N104" s="111">
        <f>IFERROR(VLOOKUP($B104,MMWR_TRAD_AGG_STATE_PEN[],N$1,0),"ERROR")</f>
        <v>2</v>
      </c>
      <c r="O104" s="112">
        <f>IFERROR(VLOOKUP($B104,MMWR_TRAD_AGG_STATE_PEN[],O$1,0),"ERROR")</f>
        <v>0</v>
      </c>
      <c r="P104" s="114">
        <f t="shared" si="15"/>
        <v>0</v>
      </c>
      <c r="Q104" s="115">
        <f>IFERROR(VLOOKUP($B104,MMWR_TRAD_AGG_STATE_PEN[],Q$1,0),"ERROR")</f>
        <v>61</v>
      </c>
      <c r="R104" s="115">
        <f>IFERROR(VLOOKUP($B104,MMWR_TRAD_AGG_STATE_PEN[],R$1,0),"ERROR")</f>
        <v>9</v>
      </c>
      <c r="S104" s="115">
        <f>IFERROR(VLOOKUP($B104,MMWR_APP_STATE_PEN[],S$1,0),"ERROR")</f>
        <v>5</v>
      </c>
      <c r="T104" s="28"/>
    </row>
    <row r="105" spans="1:20" s="123" customFormat="1" x14ac:dyDescent="0.2">
      <c r="A105" s="28"/>
      <c r="B105" s="127" t="s">
        <v>420</v>
      </c>
      <c r="C105" s="109">
        <f>IFERROR(VLOOKUP($B105,MMWR_TRAD_AGG_STATE_PEN[],C$1,0),"ERROR")</f>
        <v>83</v>
      </c>
      <c r="D105" s="110">
        <f>IFERROR(VLOOKUP($B105,MMWR_TRAD_AGG_STATE_PEN[],D$1,0),"ERROR")</f>
        <v>44.084337349400002</v>
      </c>
      <c r="E105" s="111">
        <f>IFERROR(VLOOKUP($B105,MMWR_TRAD_AGG_STATE_PEN[],E$1,0),"ERROR")</f>
        <v>232</v>
      </c>
      <c r="F105" s="112">
        <f>IFERROR(VLOOKUP($B105,MMWR_TRAD_AGG_STATE_PEN[],F$1,0),"ERROR")</f>
        <v>10</v>
      </c>
      <c r="G105" s="113">
        <f t="shared" si="12"/>
        <v>4.3103448275862072E-2</v>
      </c>
      <c r="H105" s="111">
        <f>IFERROR(VLOOKUP($B105,MMWR_TRAD_AGG_STATE_PEN[],H$1,0),"ERROR")</f>
        <v>158</v>
      </c>
      <c r="I105" s="112">
        <f>IFERROR(VLOOKUP($B105,MMWR_TRAD_AGG_STATE_PEN[],I$1,0),"ERROR")</f>
        <v>7</v>
      </c>
      <c r="J105" s="114">
        <f t="shared" si="13"/>
        <v>4.4303797468354431E-2</v>
      </c>
      <c r="K105" s="111">
        <f>IFERROR(VLOOKUP($B105,MMWR_TRAD_AGG_STATE_PEN[],K$1,0),"ERROR")</f>
        <v>2</v>
      </c>
      <c r="L105" s="112">
        <f>IFERROR(VLOOKUP($B105,MMWR_TRAD_AGG_STATE_PEN[],L$1,0),"ERROR")</f>
        <v>2</v>
      </c>
      <c r="M105" s="114">
        <f t="shared" si="14"/>
        <v>1</v>
      </c>
      <c r="N105" s="111">
        <f>IFERROR(VLOOKUP($B105,MMWR_TRAD_AGG_STATE_PEN[],N$1,0),"ERROR")</f>
        <v>15</v>
      </c>
      <c r="O105" s="112">
        <f>IFERROR(VLOOKUP($B105,MMWR_TRAD_AGG_STATE_PEN[],O$1,0),"ERROR")</f>
        <v>5</v>
      </c>
      <c r="P105" s="114">
        <f t="shared" si="15"/>
        <v>0.33333333333333331</v>
      </c>
      <c r="Q105" s="115">
        <f>IFERROR(VLOOKUP($B105,MMWR_TRAD_AGG_STATE_PEN[],Q$1,0),"ERROR")</f>
        <v>337</v>
      </c>
      <c r="R105" s="115">
        <f>IFERROR(VLOOKUP($B105,MMWR_TRAD_AGG_STATE_PEN[],R$1,0),"ERROR")</f>
        <v>63</v>
      </c>
      <c r="S105" s="115">
        <f>IFERROR(VLOOKUP($B105,MMWR_APP_STATE_PEN[],S$1,0),"ERROR")</f>
        <v>79</v>
      </c>
      <c r="T105" s="28"/>
    </row>
    <row r="106" spans="1:20" s="123" customFormat="1" x14ac:dyDescent="0.2">
      <c r="A106" s="28"/>
      <c r="B106" s="127" t="s">
        <v>418</v>
      </c>
      <c r="C106" s="109">
        <f>IFERROR(VLOOKUP($B106,MMWR_TRAD_AGG_STATE_PEN[],C$1,0),"ERROR")</f>
        <v>418</v>
      </c>
      <c r="D106" s="110">
        <f>IFERROR(VLOOKUP($B106,MMWR_TRAD_AGG_STATE_PEN[],D$1,0),"ERROR")</f>
        <v>44.260765550199999</v>
      </c>
      <c r="E106" s="111">
        <f>IFERROR(VLOOKUP($B106,MMWR_TRAD_AGG_STATE_PEN[],E$1,0),"ERROR")</f>
        <v>1396</v>
      </c>
      <c r="F106" s="112">
        <f>IFERROR(VLOOKUP($B106,MMWR_TRAD_AGG_STATE_PEN[],F$1,0),"ERROR")</f>
        <v>37</v>
      </c>
      <c r="G106" s="113">
        <f t="shared" si="12"/>
        <v>2.650429799426934E-2</v>
      </c>
      <c r="H106" s="111">
        <f>IFERROR(VLOOKUP($B106,MMWR_TRAD_AGG_STATE_PEN[],H$1,0),"ERROR")</f>
        <v>890</v>
      </c>
      <c r="I106" s="112">
        <f>IFERROR(VLOOKUP($B106,MMWR_TRAD_AGG_STATE_PEN[],I$1,0),"ERROR")</f>
        <v>75</v>
      </c>
      <c r="J106" s="114">
        <f t="shared" si="13"/>
        <v>8.4269662921348312E-2</v>
      </c>
      <c r="K106" s="111">
        <f>IFERROR(VLOOKUP($B106,MMWR_TRAD_AGG_STATE_PEN[],K$1,0),"ERROR")</f>
        <v>8</v>
      </c>
      <c r="L106" s="112">
        <f>IFERROR(VLOOKUP($B106,MMWR_TRAD_AGG_STATE_PEN[],L$1,0),"ERROR")</f>
        <v>7</v>
      </c>
      <c r="M106" s="114">
        <f t="shared" si="14"/>
        <v>0.875</v>
      </c>
      <c r="N106" s="111">
        <f>IFERROR(VLOOKUP($B106,MMWR_TRAD_AGG_STATE_PEN[],N$1,0),"ERROR")</f>
        <v>51</v>
      </c>
      <c r="O106" s="112">
        <f>IFERROR(VLOOKUP($B106,MMWR_TRAD_AGG_STATE_PEN[],O$1,0),"ERROR")</f>
        <v>38</v>
      </c>
      <c r="P106" s="114">
        <f t="shared" si="15"/>
        <v>0.74509803921568629</v>
      </c>
      <c r="Q106" s="115">
        <f>IFERROR(VLOOKUP($B106,MMWR_TRAD_AGG_STATE_PEN[],Q$1,0),"ERROR")</f>
        <v>916</v>
      </c>
      <c r="R106" s="115">
        <f>IFERROR(VLOOKUP($B106,MMWR_TRAD_AGG_STATE_PEN[],R$1,0),"ERROR")</f>
        <v>251</v>
      </c>
      <c r="S106" s="115">
        <f>IFERROR(VLOOKUP($B106,MMWR_APP_STATE_PEN[],S$1,0),"ERROR")</f>
        <v>245</v>
      </c>
      <c r="T106" s="28"/>
    </row>
    <row r="107" spans="1:20" s="123" customFormat="1" x14ac:dyDescent="0.2">
      <c r="A107" s="28"/>
      <c r="B107" s="127" t="s">
        <v>414</v>
      </c>
      <c r="C107" s="109">
        <f>IFERROR(VLOOKUP($B107,MMWR_TRAD_AGG_STATE_PEN[],C$1,0),"ERROR")</f>
        <v>32</v>
      </c>
      <c r="D107" s="110">
        <f>IFERROR(VLOOKUP($B107,MMWR_TRAD_AGG_STATE_PEN[],D$1,0),"ERROR")</f>
        <v>67.5</v>
      </c>
      <c r="E107" s="111">
        <f>IFERROR(VLOOKUP($B107,MMWR_TRAD_AGG_STATE_PEN[],E$1,0),"ERROR")</f>
        <v>153</v>
      </c>
      <c r="F107" s="112">
        <f>IFERROR(VLOOKUP($B107,MMWR_TRAD_AGG_STATE_PEN[],F$1,0),"ERROR")</f>
        <v>2</v>
      </c>
      <c r="G107" s="113">
        <f t="shared" si="12"/>
        <v>1.3071895424836602E-2</v>
      </c>
      <c r="H107" s="111">
        <f>IFERROR(VLOOKUP($B107,MMWR_TRAD_AGG_STATE_PEN[],H$1,0),"ERROR")</f>
        <v>67</v>
      </c>
      <c r="I107" s="112">
        <f>IFERROR(VLOOKUP($B107,MMWR_TRAD_AGG_STATE_PEN[],I$1,0),"ERROR")</f>
        <v>3</v>
      </c>
      <c r="J107" s="114">
        <f t="shared" si="13"/>
        <v>4.4776119402985072E-2</v>
      </c>
      <c r="K107" s="111">
        <f>IFERROR(VLOOKUP($B107,MMWR_TRAD_AGG_STATE_PEN[],K$1,0),"ERROR")</f>
        <v>0</v>
      </c>
      <c r="L107" s="112">
        <f>IFERROR(VLOOKUP($B107,MMWR_TRAD_AGG_STATE_PEN[],L$1,0),"ERROR")</f>
        <v>0</v>
      </c>
      <c r="M107" s="114" t="str">
        <f t="shared" si="14"/>
        <v>0%</v>
      </c>
      <c r="N107" s="111">
        <f>IFERROR(VLOOKUP($B107,MMWR_TRAD_AGG_STATE_PEN[],N$1,0),"ERROR")</f>
        <v>3</v>
      </c>
      <c r="O107" s="112">
        <f>IFERROR(VLOOKUP($B107,MMWR_TRAD_AGG_STATE_PEN[],O$1,0),"ERROR")</f>
        <v>3</v>
      </c>
      <c r="P107" s="114">
        <f t="shared" si="15"/>
        <v>1</v>
      </c>
      <c r="Q107" s="115">
        <f>IFERROR(VLOOKUP($B107,MMWR_TRAD_AGG_STATE_PEN[],Q$1,0),"ERROR")</f>
        <v>90</v>
      </c>
      <c r="R107" s="115">
        <f>IFERROR(VLOOKUP($B107,MMWR_TRAD_AGG_STATE_PEN[],R$1,0),"ERROR")</f>
        <v>16</v>
      </c>
      <c r="S107" s="115">
        <f>IFERROR(VLOOKUP($B107,MMWR_APP_STATE_PEN[],S$1,0),"ERROR")</f>
        <v>13</v>
      </c>
      <c r="T107" s="28"/>
    </row>
    <row r="108" spans="1:20" s="123" customFormat="1" x14ac:dyDescent="0.2">
      <c r="A108" s="28"/>
      <c r="B108" s="127" t="s">
        <v>429</v>
      </c>
      <c r="C108" s="109">
        <f>IFERROR(VLOOKUP($B108,MMWR_TRAD_AGG_STATE_PEN[],C$1,0),"ERROR")</f>
        <v>9</v>
      </c>
      <c r="D108" s="110">
        <f>IFERROR(VLOOKUP($B108,MMWR_TRAD_AGG_STATE_PEN[],D$1,0),"ERROR")</f>
        <v>34.777777777799997</v>
      </c>
      <c r="E108" s="111">
        <f>IFERROR(VLOOKUP($B108,MMWR_TRAD_AGG_STATE_PEN[],E$1,0),"ERROR")</f>
        <v>22</v>
      </c>
      <c r="F108" s="112">
        <f>IFERROR(VLOOKUP($B108,MMWR_TRAD_AGG_STATE_PEN[],F$1,0),"ERROR")</f>
        <v>1</v>
      </c>
      <c r="G108" s="113">
        <f t="shared" si="12"/>
        <v>4.5454545454545456E-2</v>
      </c>
      <c r="H108" s="111">
        <f>IFERROR(VLOOKUP($B108,MMWR_TRAD_AGG_STATE_PEN[],H$1,0),"ERROR")</f>
        <v>21</v>
      </c>
      <c r="I108" s="112">
        <f>IFERROR(VLOOKUP($B108,MMWR_TRAD_AGG_STATE_PEN[],I$1,0),"ERROR")</f>
        <v>3</v>
      </c>
      <c r="J108" s="114">
        <f t="shared" si="13"/>
        <v>0.14285714285714285</v>
      </c>
      <c r="K108" s="111">
        <f>IFERROR(VLOOKUP($B108,MMWR_TRAD_AGG_STATE_PEN[],K$1,0),"ERROR")</f>
        <v>0</v>
      </c>
      <c r="L108" s="112">
        <f>IFERROR(VLOOKUP($B108,MMWR_TRAD_AGG_STATE_PEN[],L$1,0),"ERROR")</f>
        <v>0</v>
      </c>
      <c r="M108" s="114" t="str">
        <f t="shared" si="14"/>
        <v>0%</v>
      </c>
      <c r="N108" s="111">
        <f>IFERROR(VLOOKUP($B108,MMWR_TRAD_AGG_STATE_PEN[],N$1,0),"ERROR")</f>
        <v>1</v>
      </c>
      <c r="O108" s="112">
        <f>IFERROR(VLOOKUP($B108,MMWR_TRAD_AGG_STATE_PEN[],O$1,0),"ERROR")</f>
        <v>1</v>
      </c>
      <c r="P108" s="114">
        <f t="shared" si="15"/>
        <v>1</v>
      </c>
      <c r="Q108" s="115">
        <f>IFERROR(VLOOKUP($B108,MMWR_TRAD_AGG_STATE_PEN[],Q$1,0),"ERROR")</f>
        <v>39</v>
      </c>
      <c r="R108" s="115">
        <f>IFERROR(VLOOKUP($B108,MMWR_TRAD_AGG_STATE_PEN[],R$1,0),"ERROR")</f>
        <v>4</v>
      </c>
      <c r="S108" s="115">
        <f>IFERROR(VLOOKUP($B108,MMWR_APP_STATE_PEN[],S$1,0),"ERROR")</f>
        <v>2</v>
      </c>
      <c r="T108" s="28"/>
    </row>
    <row r="109" spans="1:20" s="123" customFormat="1" x14ac:dyDescent="0.2">
      <c r="A109" s="28"/>
      <c r="B109" s="126" t="s">
        <v>412</v>
      </c>
      <c r="C109" s="102">
        <f>IFERROR(VLOOKUP($B109,MMWR_TRAD_AGG_ST_DISTRICT_PEN[],C$1,0),"ERROR")</f>
        <v>969</v>
      </c>
      <c r="D109" s="103">
        <f>IFERROR(VLOOKUP($B109,MMWR_TRAD_AGG_ST_DISTRICT_PEN[],D$1,0),"ERROR")</f>
        <v>41.294117647100002</v>
      </c>
      <c r="E109" s="102">
        <f>IFERROR(VLOOKUP($B109,MMWR_TRAD_AGG_ST_DISTRICT_PEN[],E$1,0),"ERROR")</f>
        <v>3896</v>
      </c>
      <c r="F109" s="102">
        <f>IFERROR(VLOOKUP($B109,MMWR_TRAD_AGG_ST_DISTRICT_PEN[],F$1,0),"ERROR")</f>
        <v>137</v>
      </c>
      <c r="G109" s="104">
        <f t="shared" si="12"/>
        <v>3.5164271047227927E-2</v>
      </c>
      <c r="H109" s="102">
        <f>IFERROR(VLOOKUP($B109,MMWR_TRAD_AGG_ST_DISTRICT_PEN[],H$1,0),"ERROR")</f>
        <v>1812</v>
      </c>
      <c r="I109" s="102">
        <f>IFERROR(VLOOKUP($B109,MMWR_TRAD_AGG_ST_DISTRICT_PEN[],I$1,0),"ERROR")</f>
        <v>132</v>
      </c>
      <c r="J109" s="104">
        <f t="shared" si="13"/>
        <v>7.2847682119205295E-2</v>
      </c>
      <c r="K109" s="102">
        <f>IFERROR(VLOOKUP($B109,MMWR_TRAD_AGG_ST_DISTRICT_PEN[],K$1,0),"ERROR")</f>
        <v>19</v>
      </c>
      <c r="L109" s="102">
        <f>IFERROR(VLOOKUP($B109,MMWR_TRAD_AGG_ST_DISTRICT_PEN[],L$1,0),"ERROR")</f>
        <v>17</v>
      </c>
      <c r="M109" s="104">
        <f t="shared" si="14"/>
        <v>0.89473684210526316</v>
      </c>
      <c r="N109" s="102">
        <f>IFERROR(VLOOKUP($B109,MMWR_TRAD_AGG_ST_DISTRICT_PEN[],N$1,0),"ERROR")</f>
        <v>109</v>
      </c>
      <c r="O109" s="102">
        <f>IFERROR(VLOOKUP($B109,MMWR_TRAD_AGG_ST_DISTRICT_PEN[],O$1,0),"ERROR")</f>
        <v>62</v>
      </c>
      <c r="P109" s="104">
        <f t="shared" si="15"/>
        <v>0.56880733944954132</v>
      </c>
      <c r="Q109" s="102">
        <f>IFERROR(VLOOKUP($B109,MMWR_TRAD_AGG_ST_DISTRICT_PEN[],Q$1,0),"ERROR")</f>
        <v>1934</v>
      </c>
      <c r="R109" s="106">
        <f>IFERROR(VLOOKUP($B109,MMWR_TRAD_AGG_ST_DISTRICT_PEN[],R$1,0),"ERROR")</f>
        <v>504</v>
      </c>
      <c r="S109" s="106">
        <f>IFERROR(VLOOKUP($B109,MMWR_APP_STATE_PEN[],S$1,0),"ERROR")</f>
        <v>446</v>
      </c>
      <c r="T109" s="28"/>
    </row>
    <row r="110" spans="1:20" s="123" customFormat="1" x14ac:dyDescent="0.2">
      <c r="A110" s="28"/>
      <c r="B110" s="127" t="s">
        <v>432</v>
      </c>
      <c r="C110" s="109">
        <f>IFERROR(VLOOKUP($B110,MMWR_TRAD_AGG_STATE_PEN[],C$1,0),"ERROR")</f>
        <v>6</v>
      </c>
      <c r="D110" s="110">
        <f>IFERROR(VLOOKUP($B110,MMWR_TRAD_AGG_STATE_PEN[],D$1,0),"ERROR")</f>
        <v>34.5</v>
      </c>
      <c r="E110" s="111">
        <f>IFERROR(VLOOKUP($B110,MMWR_TRAD_AGG_STATE_PEN[],E$1,0),"ERROR")</f>
        <v>12</v>
      </c>
      <c r="F110" s="112">
        <f>IFERROR(VLOOKUP($B110,MMWR_TRAD_AGG_STATE_PEN[],F$1,0),"ERROR")</f>
        <v>0</v>
      </c>
      <c r="G110" s="113">
        <f t="shared" si="12"/>
        <v>0</v>
      </c>
      <c r="H110" s="111">
        <f>IFERROR(VLOOKUP($B110,MMWR_TRAD_AGG_STATE_PEN[],H$1,0),"ERROR")</f>
        <v>13</v>
      </c>
      <c r="I110" s="112">
        <f>IFERROR(VLOOKUP($B110,MMWR_TRAD_AGG_STATE_PEN[],I$1,0),"ERROR")</f>
        <v>2</v>
      </c>
      <c r="J110" s="114">
        <f t="shared" si="13"/>
        <v>0.15384615384615385</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21</v>
      </c>
      <c r="R110" s="115">
        <f>IFERROR(VLOOKUP($B110,MMWR_TRAD_AGG_STATE_PEN[],R$1,0),"ERROR")</f>
        <v>5</v>
      </c>
      <c r="S110" s="115">
        <f>IFERROR(VLOOKUP($B110,MMWR_APP_STATE_PEN[],S$1,0),"ERROR")</f>
        <v>5</v>
      </c>
      <c r="T110" s="28"/>
    </row>
    <row r="111" spans="1:20" s="123" customFormat="1" x14ac:dyDescent="0.2">
      <c r="A111" s="28"/>
      <c r="B111" s="127" t="s">
        <v>434</v>
      </c>
      <c r="C111" s="109">
        <f>IFERROR(VLOOKUP($B111,MMWR_TRAD_AGG_STATE_PEN[],C$1,0),"ERROR")</f>
        <v>117</v>
      </c>
      <c r="D111" s="110">
        <f>IFERROR(VLOOKUP($B111,MMWR_TRAD_AGG_STATE_PEN[],D$1,0),"ERROR")</f>
        <v>40.444444444399998</v>
      </c>
      <c r="E111" s="111">
        <f>IFERROR(VLOOKUP($B111,MMWR_TRAD_AGG_STATE_PEN[],E$1,0),"ERROR")</f>
        <v>504</v>
      </c>
      <c r="F111" s="112">
        <f>IFERROR(VLOOKUP($B111,MMWR_TRAD_AGG_STATE_PEN[],F$1,0),"ERROR")</f>
        <v>21</v>
      </c>
      <c r="G111" s="113">
        <f t="shared" si="12"/>
        <v>4.1666666666666664E-2</v>
      </c>
      <c r="H111" s="111">
        <f>IFERROR(VLOOKUP($B111,MMWR_TRAD_AGG_STATE_PEN[],H$1,0),"ERROR")</f>
        <v>203</v>
      </c>
      <c r="I111" s="112">
        <f>IFERROR(VLOOKUP($B111,MMWR_TRAD_AGG_STATE_PEN[],I$1,0),"ERROR")</f>
        <v>11</v>
      </c>
      <c r="J111" s="114">
        <f t="shared" si="13"/>
        <v>5.4187192118226604E-2</v>
      </c>
      <c r="K111" s="111">
        <f>IFERROR(VLOOKUP($B111,MMWR_TRAD_AGG_STATE_PEN[],K$1,0),"ERROR")</f>
        <v>3</v>
      </c>
      <c r="L111" s="112">
        <f>IFERROR(VLOOKUP($B111,MMWR_TRAD_AGG_STATE_PEN[],L$1,0),"ERROR")</f>
        <v>3</v>
      </c>
      <c r="M111" s="114">
        <f t="shared" si="14"/>
        <v>1</v>
      </c>
      <c r="N111" s="111">
        <f>IFERROR(VLOOKUP($B111,MMWR_TRAD_AGG_STATE_PEN[],N$1,0),"ERROR")</f>
        <v>12</v>
      </c>
      <c r="O111" s="112">
        <f>IFERROR(VLOOKUP($B111,MMWR_TRAD_AGG_STATE_PEN[],O$1,0),"ERROR")</f>
        <v>5</v>
      </c>
      <c r="P111" s="114">
        <f t="shared" si="15"/>
        <v>0.41666666666666669</v>
      </c>
      <c r="Q111" s="115">
        <f>IFERROR(VLOOKUP($B111,MMWR_TRAD_AGG_STATE_PEN[],Q$1,0),"ERROR")</f>
        <v>224</v>
      </c>
      <c r="R111" s="115">
        <f>IFERROR(VLOOKUP($B111,MMWR_TRAD_AGG_STATE_PEN[],R$1,0),"ERROR")</f>
        <v>64</v>
      </c>
      <c r="S111" s="115">
        <f>IFERROR(VLOOKUP($B111,MMWR_APP_STATE_PEN[],S$1,0),"ERROR")</f>
        <v>47</v>
      </c>
      <c r="T111" s="28"/>
    </row>
    <row r="112" spans="1:20" s="123" customFormat="1" x14ac:dyDescent="0.2">
      <c r="A112" s="28"/>
      <c r="B112" s="127" t="s">
        <v>415</v>
      </c>
      <c r="C112" s="109">
        <f>IFERROR(VLOOKUP($B112,MMWR_TRAD_AGG_STATE_PEN[],C$1,0),"ERROR")</f>
        <v>522</v>
      </c>
      <c r="D112" s="110">
        <f>IFERROR(VLOOKUP($B112,MMWR_TRAD_AGG_STATE_PEN[],D$1,0),"ERROR")</f>
        <v>39.848659003800002</v>
      </c>
      <c r="E112" s="111">
        <f>IFERROR(VLOOKUP($B112,MMWR_TRAD_AGG_STATE_PEN[],E$1,0),"ERROR")</f>
        <v>2180</v>
      </c>
      <c r="F112" s="112">
        <f>IFERROR(VLOOKUP($B112,MMWR_TRAD_AGG_STATE_PEN[],F$1,0),"ERROR")</f>
        <v>70</v>
      </c>
      <c r="G112" s="113">
        <f t="shared" si="12"/>
        <v>3.2110091743119268E-2</v>
      </c>
      <c r="H112" s="111">
        <f>IFERROR(VLOOKUP($B112,MMWR_TRAD_AGG_STATE_PEN[],H$1,0),"ERROR")</f>
        <v>942</v>
      </c>
      <c r="I112" s="112">
        <f>IFERROR(VLOOKUP($B112,MMWR_TRAD_AGG_STATE_PEN[],I$1,0),"ERROR")</f>
        <v>59</v>
      </c>
      <c r="J112" s="114">
        <f t="shared" si="13"/>
        <v>6.2632696390658174E-2</v>
      </c>
      <c r="K112" s="111">
        <f>IFERROR(VLOOKUP($B112,MMWR_TRAD_AGG_STATE_PEN[],K$1,0),"ERROR")</f>
        <v>10</v>
      </c>
      <c r="L112" s="112">
        <f>IFERROR(VLOOKUP($B112,MMWR_TRAD_AGG_STATE_PEN[],L$1,0),"ERROR")</f>
        <v>9</v>
      </c>
      <c r="M112" s="114">
        <f t="shared" si="14"/>
        <v>0.9</v>
      </c>
      <c r="N112" s="111">
        <f>IFERROR(VLOOKUP($B112,MMWR_TRAD_AGG_STATE_PEN[],N$1,0),"ERROR")</f>
        <v>66</v>
      </c>
      <c r="O112" s="112">
        <f>IFERROR(VLOOKUP($B112,MMWR_TRAD_AGG_STATE_PEN[],O$1,0),"ERROR")</f>
        <v>38</v>
      </c>
      <c r="P112" s="114">
        <f t="shared" si="15"/>
        <v>0.5757575757575758</v>
      </c>
      <c r="Q112" s="115">
        <f>IFERROR(VLOOKUP($B112,MMWR_TRAD_AGG_STATE_PEN[],Q$1,0),"ERROR")</f>
        <v>875</v>
      </c>
      <c r="R112" s="115">
        <f>IFERROR(VLOOKUP($B112,MMWR_TRAD_AGG_STATE_PEN[],R$1,0),"ERROR")</f>
        <v>278</v>
      </c>
      <c r="S112" s="115">
        <f>IFERROR(VLOOKUP($B112,MMWR_APP_STATE_PEN[],S$1,0),"ERROR")</f>
        <v>237</v>
      </c>
      <c r="T112" s="28"/>
    </row>
    <row r="113" spans="1:20" s="123" customFormat="1" x14ac:dyDescent="0.2">
      <c r="A113" s="28"/>
      <c r="B113" s="127" t="s">
        <v>436</v>
      </c>
      <c r="C113" s="109">
        <f>IFERROR(VLOOKUP($B113,MMWR_TRAD_AGG_STATE_PEN[],C$1,0),"ERROR")</f>
        <v>13</v>
      </c>
      <c r="D113" s="110">
        <f>IFERROR(VLOOKUP($B113,MMWR_TRAD_AGG_STATE_PEN[],D$1,0),"ERROR")</f>
        <v>41.384615384600004</v>
      </c>
      <c r="E113" s="111">
        <f>IFERROR(VLOOKUP($B113,MMWR_TRAD_AGG_STATE_PEN[],E$1,0),"ERROR")</f>
        <v>43</v>
      </c>
      <c r="F113" s="112">
        <f>IFERROR(VLOOKUP($B113,MMWR_TRAD_AGG_STATE_PEN[],F$1,0),"ERROR")</f>
        <v>2</v>
      </c>
      <c r="G113" s="113">
        <f t="shared" si="12"/>
        <v>4.6511627906976744E-2</v>
      </c>
      <c r="H113" s="111">
        <f>IFERROR(VLOOKUP($B113,MMWR_TRAD_AGG_STATE_PEN[],H$1,0),"ERROR")</f>
        <v>25</v>
      </c>
      <c r="I113" s="112">
        <f>IFERROR(VLOOKUP($B113,MMWR_TRAD_AGG_STATE_PEN[],I$1,0),"ERROR")</f>
        <v>1</v>
      </c>
      <c r="J113" s="114">
        <f t="shared" si="13"/>
        <v>0.04</v>
      </c>
      <c r="K113" s="111">
        <f>IFERROR(VLOOKUP($B113,MMWR_TRAD_AGG_STATE_PEN[],K$1,0),"ERROR")</f>
        <v>3</v>
      </c>
      <c r="L113" s="112">
        <f>IFERROR(VLOOKUP($B113,MMWR_TRAD_AGG_STATE_PEN[],L$1,0),"ERROR")</f>
        <v>2</v>
      </c>
      <c r="M113" s="114">
        <f t="shared" si="14"/>
        <v>0.66666666666666663</v>
      </c>
      <c r="N113" s="111">
        <f>IFERROR(VLOOKUP($B113,MMWR_TRAD_AGG_STATE_PEN[],N$1,0),"ERROR")</f>
        <v>0</v>
      </c>
      <c r="O113" s="112">
        <f>IFERROR(VLOOKUP($B113,MMWR_TRAD_AGG_STATE_PEN[],O$1,0),"ERROR")</f>
        <v>0</v>
      </c>
      <c r="P113" s="114" t="str">
        <f t="shared" si="15"/>
        <v>0%</v>
      </c>
      <c r="Q113" s="115">
        <f>IFERROR(VLOOKUP($B113,MMWR_TRAD_AGG_STATE_PEN[],Q$1,0),"ERROR")</f>
        <v>36</v>
      </c>
      <c r="R113" s="115">
        <f>IFERROR(VLOOKUP($B113,MMWR_TRAD_AGG_STATE_PEN[],R$1,0),"ERROR")</f>
        <v>6</v>
      </c>
      <c r="S113" s="115">
        <f>IFERROR(VLOOKUP($B113,MMWR_APP_STATE_PEN[],S$1,0),"ERROR")</f>
        <v>9</v>
      </c>
      <c r="T113" s="28"/>
    </row>
    <row r="114" spans="1:20" s="123" customFormat="1" x14ac:dyDescent="0.2">
      <c r="A114" s="28"/>
      <c r="B114" s="127" t="s">
        <v>416</v>
      </c>
      <c r="C114" s="109">
        <f>IFERROR(VLOOKUP($B114,MMWR_TRAD_AGG_STATE_PEN[],C$1,0),"ERROR")</f>
        <v>38</v>
      </c>
      <c r="D114" s="110">
        <f>IFERROR(VLOOKUP($B114,MMWR_TRAD_AGG_STATE_PEN[],D$1,0),"ERROR")</f>
        <v>26.157894736799999</v>
      </c>
      <c r="E114" s="111">
        <f>IFERROR(VLOOKUP($B114,MMWR_TRAD_AGG_STATE_PEN[],E$1,0),"ERROR")</f>
        <v>82</v>
      </c>
      <c r="F114" s="112">
        <f>IFERROR(VLOOKUP($B114,MMWR_TRAD_AGG_STATE_PEN[],F$1,0),"ERROR")</f>
        <v>3</v>
      </c>
      <c r="G114" s="113">
        <f t="shared" si="12"/>
        <v>3.6585365853658534E-2</v>
      </c>
      <c r="H114" s="111">
        <f>IFERROR(VLOOKUP($B114,MMWR_TRAD_AGG_STATE_PEN[],H$1,0),"ERROR")</f>
        <v>59</v>
      </c>
      <c r="I114" s="112">
        <f>IFERROR(VLOOKUP($B114,MMWR_TRAD_AGG_STATE_PEN[],I$1,0),"ERROR")</f>
        <v>0</v>
      </c>
      <c r="J114" s="114">
        <f t="shared" si="13"/>
        <v>0</v>
      </c>
      <c r="K114" s="111">
        <f>IFERROR(VLOOKUP($B114,MMWR_TRAD_AGG_STATE_PEN[],K$1,0),"ERROR")</f>
        <v>1</v>
      </c>
      <c r="L114" s="112">
        <f>IFERROR(VLOOKUP($B114,MMWR_TRAD_AGG_STATE_PEN[],L$1,0),"ERROR")</f>
        <v>1</v>
      </c>
      <c r="M114" s="114">
        <f t="shared" si="14"/>
        <v>1</v>
      </c>
      <c r="N114" s="111">
        <f>IFERROR(VLOOKUP($B114,MMWR_TRAD_AGG_STATE_PEN[],N$1,0),"ERROR")</f>
        <v>0</v>
      </c>
      <c r="O114" s="112">
        <f>IFERROR(VLOOKUP($B114,MMWR_TRAD_AGG_STATE_PEN[],O$1,0),"ERROR")</f>
        <v>0</v>
      </c>
      <c r="P114" s="114" t="str">
        <f t="shared" si="15"/>
        <v>0%</v>
      </c>
      <c r="Q114" s="115">
        <f>IFERROR(VLOOKUP($B114,MMWR_TRAD_AGG_STATE_PEN[],Q$1,0),"ERROR")</f>
        <v>68</v>
      </c>
      <c r="R114" s="115">
        <f>IFERROR(VLOOKUP($B114,MMWR_TRAD_AGG_STATE_PEN[],R$1,0),"ERROR")</f>
        <v>8</v>
      </c>
      <c r="S114" s="115">
        <f>IFERROR(VLOOKUP($B114,MMWR_APP_STATE_PEN[],S$1,0),"ERROR")</f>
        <v>5</v>
      </c>
      <c r="T114" s="28"/>
    </row>
    <row r="115" spans="1:20" s="123" customFormat="1" x14ac:dyDescent="0.2">
      <c r="A115" s="28"/>
      <c r="B115" s="127" t="s">
        <v>421</v>
      </c>
      <c r="C115" s="109">
        <f>IFERROR(VLOOKUP($B115,MMWR_TRAD_AGG_STATE_PEN[],C$1,0),"ERROR")</f>
        <v>60</v>
      </c>
      <c r="D115" s="110">
        <f>IFERROR(VLOOKUP($B115,MMWR_TRAD_AGG_STATE_PEN[],D$1,0),"ERROR")</f>
        <v>58.65</v>
      </c>
      <c r="E115" s="111">
        <f>IFERROR(VLOOKUP($B115,MMWR_TRAD_AGG_STATE_PEN[],E$1,0),"ERROR")</f>
        <v>179</v>
      </c>
      <c r="F115" s="112">
        <f>IFERROR(VLOOKUP($B115,MMWR_TRAD_AGG_STATE_PEN[],F$1,0),"ERROR")</f>
        <v>8</v>
      </c>
      <c r="G115" s="113">
        <f t="shared" si="12"/>
        <v>4.4692737430167599E-2</v>
      </c>
      <c r="H115" s="111">
        <f>IFERROR(VLOOKUP($B115,MMWR_TRAD_AGG_STATE_PEN[],H$1,0),"ERROR")</f>
        <v>113</v>
      </c>
      <c r="I115" s="112">
        <f>IFERROR(VLOOKUP($B115,MMWR_TRAD_AGG_STATE_PEN[],I$1,0),"ERROR")</f>
        <v>14</v>
      </c>
      <c r="J115" s="114">
        <f t="shared" si="13"/>
        <v>0.12389380530973451</v>
      </c>
      <c r="K115" s="111">
        <f>IFERROR(VLOOKUP($B115,MMWR_TRAD_AGG_STATE_PEN[],K$1,0),"ERROR")</f>
        <v>0</v>
      </c>
      <c r="L115" s="112">
        <f>IFERROR(VLOOKUP($B115,MMWR_TRAD_AGG_STATE_PEN[],L$1,0),"ERROR")</f>
        <v>0</v>
      </c>
      <c r="M115" s="114" t="str">
        <f t="shared" si="14"/>
        <v>0%</v>
      </c>
      <c r="N115" s="111">
        <f>IFERROR(VLOOKUP($B115,MMWR_TRAD_AGG_STATE_PEN[],N$1,0),"ERROR")</f>
        <v>9</v>
      </c>
      <c r="O115" s="112">
        <f>IFERROR(VLOOKUP($B115,MMWR_TRAD_AGG_STATE_PEN[],O$1,0),"ERROR")</f>
        <v>9</v>
      </c>
      <c r="P115" s="114">
        <f t="shared" si="15"/>
        <v>1</v>
      </c>
      <c r="Q115" s="115">
        <f>IFERROR(VLOOKUP($B115,MMWR_TRAD_AGG_STATE_PEN[],Q$1,0),"ERROR")</f>
        <v>92</v>
      </c>
      <c r="R115" s="115">
        <f>IFERROR(VLOOKUP($B115,MMWR_TRAD_AGG_STATE_PEN[],R$1,0),"ERROR")</f>
        <v>28</v>
      </c>
      <c r="S115" s="115">
        <f>IFERROR(VLOOKUP($B115,MMWR_APP_STATE_PEN[],S$1,0),"ERROR")</f>
        <v>34</v>
      </c>
      <c r="T115" s="28"/>
    </row>
    <row r="116" spans="1:20" s="123" customFormat="1" x14ac:dyDescent="0.2">
      <c r="A116" s="28"/>
      <c r="B116" s="127" t="s">
        <v>413</v>
      </c>
      <c r="C116" s="109">
        <f>IFERROR(VLOOKUP($B116,MMWR_TRAD_AGG_STATE_PEN[],C$1,0),"ERROR")</f>
        <v>32</v>
      </c>
      <c r="D116" s="110">
        <f>IFERROR(VLOOKUP($B116,MMWR_TRAD_AGG_STATE_PEN[],D$1,0),"ERROR")</f>
        <v>39.375</v>
      </c>
      <c r="E116" s="111">
        <f>IFERROR(VLOOKUP($B116,MMWR_TRAD_AGG_STATE_PEN[],E$1,0),"ERROR")</f>
        <v>136</v>
      </c>
      <c r="F116" s="112">
        <f>IFERROR(VLOOKUP($B116,MMWR_TRAD_AGG_STATE_PEN[],F$1,0),"ERROR")</f>
        <v>3</v>
      </c>
      <c r="G116" s="113">
        <f t="shared" si="12"/>
        <v>2.2058823529411766E-2</v>
      </c>
      <c r="H116" s="111">
        <f>IFERROR(VLOOKUP($B116,MMWR_TRAD_AGG_STATE_PEN[],H$1,0),"ERROR")</f>
        <v>57</v>
      </c>
      <c r="I116" s="112">
        <f>IFERROR(VLOOKUP($B116,MMWR_TRAD_AGG_STATE_PEN[],I$1,0),"ERROR")</f>
        <v>4</v>
      </c>
      <c r="J116" s="114">
        <f t="shared" si="13"/>
        <v>7.0175438596491224E-2</v>
      </c>
      <c r="K116" s="111">
        <f>IFERROR(VLOOKUP($B116,MMWR_TRAD_AGG_STATE_PEN[],K$1,0),"ERROR")</f>
        <v>0</v>
      </c>
      <c r="L116" s="112">
        <f>IFERROR(VLOOKUP($B116,MMWR_TRAD_AGG_STATE_PEN[],L$1,0),"ERROR")</f>
        <v>0</v>
      </c>
      <c r="M116" s="114" t="str">
        <f t="shared" si="14"/>
        <v>0%</v>
      </c>
      <c r="N116" s="111">
        <f>IFERROR(VLOOKUP($B116,MMWR_TRAD_AGG_STATE_PEN[],N$1,0),"ERROR")</f>
        <v>5</v>
      </c>
      <c r="O116" s="112">
        <f>IFERROR(VLOOKUP($B116,MMWR_TRAD_AGG_STATE_PEN[],O$1,0),"ERROR")</f>
        <v>1</v>
      </c>
      <c r="P116" s="114">
        <f t="shared" si="15"/>
        <v>0.2</v>
      </c>
      <c r="Q116" s="115">
        <f>IFERROR(VLOOKUP($B116,MMWR_TRAD_AGG_STATE_PEN[],Q$1,0),"ERROR")</f>
        <v>157</v>
      </c>
      <c r="R116" s="115">
        <f>IFERROR(VLOOKUP($B116,MMWR_TRAD_AGG_STATE_PEN[],R$1,0),"ERROR")</f>
        <v>18</v>
      </c>
      <c r="S116" s="115">
        <f>IFERROR(VLOOKUP($B116,MMWR_APP_STATE_PEN[],S$1,0),"ERROR")</f>
        <v>17</v>
      </c>
      <c r="T116" s="28"/>
    </row>
    <row r="117" spans="1:20" s="123" customFormat="1" x14ac:dyDescent="0.2">
      <c r="A117" s="28"/>
      <c r="B117" s="127" t="s">
        <v>417</v>
      </c>
      <c r="C117" s="109">
        <f>IFERROR(VLOOKUP($B117,MMWR_TRAD_AGG_STATE_PEN[],C$1,0),"ERROR")</f>
        <v>70</v>
      </c>
      <c r="D117" s="110">
        <f>IFERROR(VLOOKUP($B117,MMWR_TRAD_AGG_STATE_PEN[],D$1,0),"ERROR")</f>
        <v>40.128571428599997</v>
      </c>
      <c r="E117" s="111">
        <f>IFERROR(VLOOKUP($B117,MMWR_TRAD_AGG_STATE_PEN[],E$1,0),"ERROR")</f>
        <v>280</v>
      </c>
      <c r="F117" s="112">
        <f>IFERROR(VLOOKUP($B117,MMWR_TRAD_AGG_STATE_PEN[],F$1,0),"ERROR")</f>
        <v>9</v>
      </c>
      <c r="G117" s="113">
        <f t="shared" si="12"/>
        <v>3.214285714285714E-2</v>
      </c>
      <c r="H117" s="111">
        <f>IFERROR(VLOOKUP($B117,MMWR_TRAD_AGG_STATE_PEN[],H$1,0),"ERROR")</f>
        <v>131</v>
      </c>
      <c r="I117" s="112">
        <f>IFERROR(VLOOKUP($B117,MMWR_TRAD_AGG_STATE_PEN[],I$1,0),"ERROR")</f>
        <v>9</v>
      </c>
      <c r="J117" s="114">
        <f t="shared" si="13"/>
        <v>6.8702290076335881E-2</v>
      </c>
      <c r="K117" s="111">
        <f>IFERROR(VLOOKUP($B117,MMWR_TRAD_AGG_STATE_PEN[],K$1,0),"ERROR")</f>
        <v>1</v>
      </c>
      <c r="L117" s="112">
        <f>IFERROR(VLOOKUP($B117,MMWR_TRAD_AGG_STATE_PEN[],L$1,0),"ERROR")</f>
        <v>1</v>
      </c>
      <c r="M117" s="114">
        <f t="shared" si="14"/>
        <v>1</v>
      </c>
      <c r="N117" s="111">
        <f>IFERROR(VLOOKUP($B117,MMWR_TRAD_AGG_STATE_PEN[],N$1,0),"ERROR")</f>
        <v>7</v>
      </c>
      <c r="O117" s="112">
        <f>IFERROR(VLOOKUP($B117,MMWR_TRAD_AGG_STATE_PEN[],O$1,0),"ERROR")</f>
        <v>6</v>
      </c>
      <c r="P117" s="114">
        <f t="shared" si="15"/>
        <v>0.8571428571428571</v>
      </c>
      <c r="Q117" s="115">
        <f>IFERROR(VLOOKUP($B117,MMWR_TRAD_AGG_STATE_PEN[],Q$1,0),"ERROR")</f>
        <v>204</v>
      </c>
      <c r="R117" s="115">
        <f>IFERROR(VLOOKUP($B117,MMWR_TRAD_AGG_STATE_PEN[],R$1,0),"ERROR")</f>
        <v>39</v>
      </c>
      <c r="S117" s="115">
        <f>IFERROR(VLOOKUP($B117,MMWR_APP_STATE_PEN[],S$1,0),"ERROR")</f>
        <v>35</v>
      </c>
      <c r="T117" s="28"/>
    </row>
    <row r="118" spans="1:20" s="123" customFormat="1" x14ac:dyDescent="0.2">
      <c r="A118" s="28"/>
      <c r="B118" s="127" t="s">
        <v>83</v>
      </c>
      <c r="C118" s="109">
        <f>IFERROR(VLOOKUP($B118,MMWR_TRAD_AGG_STATE_PEN[],C$1,0),"ERROR")</f>
        <v>111</v>
      </c>
      <c r="D118" s="110">
        <f>IFERROR(VLOOKUP($B118,MMWR_TRAD_AGG_STATE_PEN[],D$1,0),"ERROR")</f>
        <v>46.432432432399999</v>
      </c>
      <c r="E118" s="111">
        <f>IFERROR(VLOOKUP($B118,MMWR_TRAD_AGG_STATE_PEN[],E$1,0),"ERROR")</f>
        <v>480</v>
      </c>
      <c r="F118" s="112">
        <f>IFERROR(VLOOKUP($B118,MMWR_TRAD_AGG_STATE_PEN[],F$1,0),"ERROR")</f>
        <v>21</v>
      </c>
      <c r="G118" s="113">
        <f t="shared" si="12"/>
        <v>4.3749999999999997E-2</v>
      </c>
      <c r="H118" s="111">
        <f>IFERROR(VLOOKUP($B118,MMWR_TRAD_AGG_STATE_PEN[],H$1,0),"ERROR")</f>
        <v>269</v>
      </c>
      <c r="I118" s="112">
        <f>IFERROR(VLOOKUP($B118,MMWR_TRAD_AGG_STATE_PEN[],I$1,0),"ERROR")</f>
        <v>32</v>
      </c>
      <c r="J118" s="114">
        <f t="shared" si="13"/>
        <v>0.11895910780669144</v>
      </c>
      <c r="K118" s="111">
        <f>IFERROR(VLOOKUP($B118,MMWR_TRAD_AGG_STATE_PEN[],K$1,0),"ERROR")</f>
        <v>1</v>
      </c>
      <c r="L118" s="112">
        <f>IFERROR(VLOOKUP($B118,MMWR_TRAD_AGG_STATE_PEN[],L$1,0),"ERROR")</f>
        <v>1</v>
      </c>
      <c r="M118" s="114">
        <f t="shared" si="14"/>
        <v>1</v>
      </c>
      <c r="N118" s="111">
        <f>IFERROR(VLOOKUP($B118,MMWR_TRAD_AGG_STATE_PEN[],N$1,0),"ERROR")</f>
        <v>10</v>
      </c>
      <c r="O118" s="112">
        <f>IFERROR(VLOOKUP($B118,MMWR_TRAD_AGG_STATE_PEN[],O$1,0),"ERROR")</f>
        <v>3</v>
      </c>
      <c r="P118" s="114">
        <f t="shared" si="15"/>
        <v>0.3</v>
      </c>
      <c r="Q118" s="115">
        <f>IFERROR(VLOOKUP($B118,MMWR_TRAD_AGG_STATE_PEN[],Q$1,0),"ERROR")</f>
        <v>257</v>
      </c>
      <c r="R118" s="115">
        <f>IFERROR(VLOOKUP($B118,MMWR_TRAD_AGG_STATE_PEN[],R$1,0),"ERROR")</f>
        <v>58</v>
      </c>
      <c r="S118" s="115">
        <f>IFERROR(VLOOKUP($B118,MMWR_APP_STATE_PEN[],S$1,0),"ERROR")</f>
        <v>57</v>
      </c>
      <c r="T118" s="28"/>
    </row>
    <row r="119" spans="1:20" s="123" customFormat="1" x14ac:dyDescent="0.2">
      <c r="A119" s="28"/>
      <c r="B119" s="126" t="s">
        <v>388</v>
      </c>
      <c r="C119" s="102">
        <f>IFERROR(VLOOKUP($B119,MMWR_TRAD_AGG_ST_DISTRICT_PEN[],C$1,0),"ERROR")</f>
        <v>6149</v>
      </c>
      <c r="D119" s="103">
        <f>IFERROR(VLOOKUP($B119,MMWR_TRAD_AGG_ST_DISTRICT_PEN[],D$1,0),"ERROR")</f>
        <v>98.565132541899999</v>
      </c>
      <c r="E119" s="102">
        <f>IFERROR(VLOOKUP($B119,MMWR_TRAD_AGG_ST_DISTRICT_PEN[],E$1,0),"ERROR")</f>
        <v>6613</v>
      </c>
      <c r="F119" s="102">
        <f>IFERROR(VLOOKUP($B119,MMWR_TRAD_AGG_ST_DISTRICT_PEN[],F$1,0),"ERROR")</f>
        <v>1348</v>
      </c>
      <c r="G119" s="104">
        <f t="shared" si="12"/>
        <v>0.20384091940117949</v>
      </c>
      <c r="H119" s="102">
        <f>IFERROR(VLOOKUP($B119,MMWR_TRAD_AGG_ST_DISTRICT_PEN[],H$1,0),"ERROR")</f>
        <v>10111</v>
      </c>
      <c r="I119" s="102">
        <f>IFERROR(VLOOKUP($B119,MMWR_TRAD_AGG_ST_DISTRICT_PEN[],I$1,0),"ERROR")</f>
        <v>2702</v>
      </c>
      <c r="J119" s="104">
        <f t="shared" si="13"/>
        <v>0.26723370586489964</v>
      </c>
      <c r="K119" s="102">
        <f>IFERROR(VLOOKUP($B119,MMWR_TRAD_AGG_ST_DISTRICT_PEN[],K$1,0),"ERROR")</f>
        <v>210</v>
      </c>
      <c r="L119" s="102">
        <f>IFERROR(VLOOKUP($B119,MMWR_TRAD_AGG_ST_DISTRICT_PEN[],L$1,0),"ERROR")</f>
        <v>189</v>
      </c>
      <c r="M119" s="104">
        <f t="shared" si="14"/>
        <v>0.9</v>
      </c>
      <c r="N119" s="102">
        <f>IFERROR(VLOOKUP($B119,MMWR_TRAD_AGG_ST_DISTRICT_PEN[],N$1,0),"ERROR")</f>
        <v>901</v>
      </c>
      <c r="O119" s="102">
        <f>IFERROR(VLOOKUP($B119,MMWR_TRAD_AGG_ST_DISTRICT_PEN[],O$1,0),"ERROR")</f>
        <v>218</v>
      </c>
      <c r="P119" s="104">
        <f t="shared" si="15"/>
        <v>0.24195338512763595</v>
      </c>
      <c r="Q119" s="102">
        <f>IFERROR(VLOOKUP($B119,MMWR_TRAD_AGG_ST_DISTRICT_PEN[],Q$1,0),"ERROR")</f>
        <v>1715</v>
      </c>
      <c r="R119" s="106">
        <f>IFERROR(VLOOKUP($B119,MMWR_TRAD_AGG_ST_DISTRICT_PEN[],R$1,0),"ERROR")</f>
        <v>1586</v>
      </c>
      <c r="S119" s="106">
        <f>IFERROR(VLOOKUP($B119,MMWR_APP_STATE_PEN[],S$1,0),"ERROR")</f>
        <v>1645</v>
      </c>
      <c r="T119" s="28"/>
    </row>
    <row r="120" spans="1:20" s="123" customFormat="1" x14ac:dyDescent="0.2">
      <c r="A120" s="28"/>
      <c r="B120" s="127" t="s">
        <v>396</v>
      </c>
      <c r="C120" s="109">
        <f>IFERROR(VLOOKUP($B120,MMWR_TRAD_AGG_STATE_PEN[],C$1,0),"ERROR")</f>
        <v>380</v>
      </c>
      <c r="D120" s="110">
        <f>IFERROR(VLOOKUP($B120,MMWR_TRAD_AGG_STATE_PEN[],D$1,0),"ERROR")</f>
        <v>64.086842105299993</v>
      </c>
      <c r="E120" s="111">
        <f>IFERROR(VLOOKUP($B120,MMWR_TRAD_AGG_STATE_PEN[],E$1,0),"ERROR")</f>
        <v>703</v>
      </c>
      <c r="F120" s="112">
        <f>IFERROR(VLOOKUP($B120,MMWR_TRAD_AGG_STATE_PEN[],F$1,0),"ERROR")</f>
        <v>34</v>
      </c>
      <c r="G120" s="113">
        <f t="shared" si="12"/>
        <v>4.8364153627311522E-2</v>
      </c>
      <c r="H120" s="111">
        <f>IFERROR(VLOOKUP($B120,MMWR_TRAD_AGG_STATE_PEN[],H$1,0),"ERROR")</f>
        <v>788</v>
      </c>
      <c r="I120" s="112">
        <f>IFERROR(VLOOKUP($B120,MMWR_TRAD_AGG_STATE_PEN[],I$1,0),"ERROR")</f>
        <v>59</v>
      </c>
      <c r="J120" s="114">
        <f t="shared" si="13"/>
        <v>7.487309644670051E-2</v>
      </c>
      <c r="K120" s="111">
        <f>IFERROR(VLOOKUP($B120,MMWR_TRAD_AGG_STATE_PEN[],K$1,0),"ERROR")</f>
        <v>6</v>
      </c>
      <c r="L120" s="112">
        <f>IFERROR(VLOOKUP($B120,MMWR_TRAD_AGG_STATE_PEN[],L$1,0),"ERROR")</f>
        <v>5</v>
      </c>
      <c r="M120" s="114">
        <f t="shared" si="14"/>
        <v>0.83333333333333337</v>
      </c>
      <c r="N120" s="111">
        <f>IFERROR(VLOOKUP($B120,MMWR_TRAD_AGG_STATE_PEN[],N$1,0),"ERROR")</f>
        <v>54</v>
      </c>
      <c r="O120" s="112">
        <f>IFERROR(VLOOKUP($B120,MMWR_TRAD_AGG_STATE_PEN[],O$1,0),"ERROR")</f>
        <v>15</v>
      </c>
      <c r="P120" s="114">
        <f t="shared" si="15"/>
        <v>0.27777777777777779</v>
      </c>
      <c r="Q120" s="115">
        <f>IFERROR(VLOOKUP($B120,MMWR_TRAD_AGG_STATE_PEN[],Q$1,0),"ERROR")</f>
        <v>375</v>
      </c>
      <c r="R120" s="115">
        <f>IFERROR(VLOOKUP($B120,MMWR_TRAD_AGG_STATE_PEN[],R$1,0),"ERROR")</f>
        <v>45</v>
      </c>
      <c r="S120" s="115">
        <f>IFERROR(VLOOKUP($B120,MMWR_APP_STATE_PEN[],S$1,0),"ERROR")</f>
        <v>172</v>
      </c>
      <c r="T120" s="28"/>
    </row>
    <row r="121" spans="1:20" s="123" customFormat="1" x14ac:dyDescent="0.2">
      <c r="A121" s="28"/>
      <c r="B121" s="127" t="s">
        <v>433</v>
      </c>
      <c r="C121" s="109">
        <f>IFERROR(VLOOKUP($B121,MMWR_TRAD_AGG_STATE_PEN[],C$1,0),"ERROR")</f>
        <v>2278</v>
      </c>
      <c r="D121" s="110">
        <f>IFERROR(VLOOKUP($B121,MMWR_TRAD_AGG_STATE_PEN[],D$1,0),"ERROR")</f>
        <v>100.9086918349</v>
      </c>
      <c r="E121" s="111">
        <f>IFERROR(VLOOKUP($B121,MMWR_TRAD_AGG_STATE_PEN[],E$1,0),"ERROR")</f>
        <v>2627</v>
      </c>
      <c r="F121" s="112">
        <f>IFERROR(VLOOKUP($B121,MMWR_TRAD_AGG_STATE_PEN[],F$1,0),"ERROR")</f>
        <v>653</v>
      </c>
      <c r="G121" s="113">
        <f t="shared" si="12"/>
        <v>0.24857251617814999</v>
      </c>
      <c r="H121" s="111">
        <f>IFERROR(VLOOKUP($B121,MMWR_TRAD_AGG_STATE_PEN[],H$1,0),"ERROR")</f>
        <v>3565</v>
      </c>
      <c r="I121" s="112">
        <f>IFERROR(VLOOKUP($B121,MMWR_TRAD_AGG_STATE_PEN[],I$1,0),"ERROR")</f>
        <v>1021</v>
      </c>
      <c r="J121" s="114">
        <f t="shared" si="13"/>
        <v>0.28639551192145862</v>
      </c>
      <c r="K121" s="111">
        <f>IFERROR(VLOOKUP($B121,MMWR_TRAD_AGG_STATE_PEN[],K$1,0),"ERROR")</f>
        <v>94</v>
      </c>
      <c r="L121" s="112">
        <f>IFERROR(VLOOKUP($B121,MMWR_TRAD_AGG_STATE_PEN[],L$1,0),"ERROR")</f>
        <v>88</v>
      </c>
      <c r="M121" s="114">
        <f t="shared" si="14"/>
        <v>0.93617021276595747</v>
      </c>
      <c r="N121" s="111">
        <f>IFERROR(VLOOKUP($B121,MMWR_TRAD_AGG_STATE_PEN[],N$1,0),"ERROR")</f>
        <v>343</v>
      </c>
      <c r="O121" s="112">
        <f>IFERROR(VLOOKUP($B121,MMWR_TRAD_AGG_STATE_PEN[],O$1,0),"ERROR")</f>
        <v>81</v>
      </c>
      <c r="P121" s="114">
        <f t="shared" si="15"/>
        <v>0.23615160349854228</v>
      </c>
      <c r="Q121" s="115">
        <f>IFERROR(VLOOKUP($B121,MMWR_TRAD_AGG_STATE_PEN[],Q$1,0),"ERROR")</f>
        <v>295</v>
      </c>
      <c r="R121" s="115">
        <f>IFERROR(VLOOKUP($B121,MMWR_TRAD_AGG_STATE_PEN[],R$1,0),"ERROR")</f>
        <v>669</v>
      </c>
      <c r="S121" s="115">
        <f>IFERROR(VLOOKUP($B121,MMWR_APP_STATE_PEN[],S$1,0),"ERROR")</f>
        <v>531</v>
      </c>
      <c r="T121" s="28"/>
    </row>
    <row r="122" spans="1:20" s="123" customFormat="1" x14ac:dyDescent="0.2">
      <c r="A122" s="28"/>
      <c r="B122" s="127" t="s">
        <v>389</v>
      </c>
      <c r="C122" s="109">
        <f>IFERROR(VLOOKUP($B122,MMWR_TRAD_AGG_STATE_PEN[],C$1,0),"ERROR")</f>
        <v>1136</v>
      </c>
      <c r="D122" s="110">
        <f>IFERROR(VLOOKUP($B122,MMWR_TRAD_AGG_STATE_PEN[],D$1,0),"ERROR")</f>
        <v>104.65669014079999</v>
      </c>
      <c r="E122" s="111">
        <f>IFERROR(VLOOKUP($B122,MMWR_TRAD_AGG_STATE_PEN[],E$1,0),"ERROR")</f>
        <v>1171</v>
      </c>
      <c r="F122" s="112">
        <f>IFERROR(VLOOKUP($B122,MMWR_TRAD_AGG_STATE_PEN[],F$1,0),"ERROR")</f>
        <v>298</v>
      </c>
      <c r="G122" s="113">
        <f t="shared" si="12"/>
        <v>0.25448334756618274</v>
      </c>
      <c r="H122" s="111">
        <f>IFERROR(VLOOKUP($B122,MMWR_TRAD_AGG_STATE_PEN[],H$1,0),"ERROR")</f>
        <v>1771</v>
      </c>
      <c r="I122" s="112">
        <f>IFERROR(VLOOKUP($B122,MMWR_TRAD_AGG_STATE_PEN[],I$1,0),"ERROR")</f>
        <v>539</v>
      </c>
      <c r="J122" s="114">
        <f t="shared" si="13"/>
        <v>0.30434782608695654</v>
      </c>
      <c r="K122" s="111">
        <f>IFERROR(VLOOKUP($B122,MMWR_TRAD_AGG_STATE_PEN[],K$1,0),"ERROR")</f>
        <v>55</v>
      </c>
      <c r="L122" s="112">
        <f>IFERROR(VLOOKUP($B122,MMWR_TRAD_AGG_STATE_PEN[],L$1,0),"ERROR")</f>
        <v>52</v>
      </c>
      <c r="M122" s="114">
        <f t="shared" si="14"/>
        <v>0.94545454545454544</v>
      </c>
      <c r="N122" s="111">
        <f>IFERROR(VLOOKUP($B122,MMWR_TRAD_AGG_STATE_PEN[],N$1,0),"ERROR")</f>
        <v>210</v>
      </c>
      <c r="O122" s="112">
        <f>IFERROR(VLOOKUP($B122,MMWR_TRAD_AGG_STATE_PEN[],O$1,0),"ERROR")</f>
        <v>48</v>
      </c>
      <c r="P122" s="114">
        <f t="shared" si="15"/>
        <v>0.22857142857142856</v>
      </c>
      <c r="Q122" s="115">
        <f>IFERROR(VLOOKUP($B122,MMWR_TRAD_AGG_STATE_PEN[],Q$1,0),"ERROR")</f>
        <v>147</v>
      </c>
      <c r="R122" s="115">
        <f>IFERROR(VLOOKUP($B122,MMWR_TRAD_AGG_STATE_PEN[],R$1,0),"ERROR")</f>
        <v>422</v>
      </c>
      <c r="S122" s="115">
        <f>IFERROR(VLOOKUP($B122,MMWR_APP_STATE_PEN[],S$1,0),"ERROR")</f>
        <v>336</v>
      </c>
      <c r="T122" s="28"/>
    </row>
    <row r="123" spans="1:20" s="123" customFormat="1" x14ac:dyDescent="0.2">
      <c r="A123" s="28"/>
      <c r="B123" s="127" t="s">
        <v>401</v>
      </c>
      <c r="C123" s="109">
        <f>IFERROR(VLOOKUP($B123,MMWR_TRAD_AGG_STATE_PEN[],C$1,0),"ERROR")</f>
        <v>170</v>
      </c>
      <c r="D123" s="110">
        <f>IFERROR(VLOOKUP($B123,MMWR_TRAD_AGG_STATE_PEN[],D$1,0),"ERROR")</f>
        <v>76.117647058800003</v>
      </c>
      <c r="E123" s="111">
        <f>IFERROR(VLOOKUP($B123,MMWR_TRAD_AGG_STATE_PEN[],E$1,0),"ERROR")</f>
        <v>356</v>
      </c>
      <c r="F123" s="112">
        <f>IFERROR(VLOOKUP($B123,MMWR_TRAD_AGG_STATE_PEN[],F$1,0),"ERROR")</f>
        <v>23</v>
      </c>
      <c r="G123" s="113">
        <f t="shared" si="12"/>
        <v>6.4606741573033713E-2</v>
      </c>
      <c r="H123" s="111">
        <f>IFERROR(VLOOKUP($B123,MMWR_TRAD_AGG_STATE_PEN[],H$1,0),"ERROR")</f>
        <v>334</v>
      </c>
      <c r="I123" s="112">
        <f>IFERROR(VLOOKUP($B123,MMWR_TRAD_AGG_STATE_PEN[],I$1,0),"ERROR")</f>
        <v>47</v>
      </c>
      <c r="J123" s="114">
        <f t="shared" si="13"/>
        <v>0.1407185628742515</v>
      </c>
      <c r="K123" s="111">
        <f>IFERROR(VLOOKUP($B123,MMWR_TRAD_AGG_STATE_PEN[],K$1,0),"ERROR")</f>
        <v>5</v>
      </c>
      <c r="L123" s="112">
        <f>IFERROR(VLOOKUP($B123,MMWR_TRAD_AGG_STATE_PEN[],L$1,0),"ERROR")</f>
        <v>4</v>
      </c>
      <c r="M123" s="114">
        <f t="shared" si="14"/>
        <v>0.8</v>
      </c>
      <c r="N123" s="111">
        <f>IFERROR(VLOOKUP($B123,MMWR_TRAD_AGG_STATE_PEN[],N$1,0),"ERROR")</f>
        <v>40</v>
      </c>
      <c r="O123" s="112">
        <f>IFERROR(VLOOKUP($B123,MMWR_TRAD_AGG_STATE_PEN[],O$1,0),"ERROR")</f>
        <v>4</v>
      </c>
      <c r="P123" s="114">
        <f t="shared" si="15"/>
        <v>0.1</v>
      </c>
      <c r="Q123" s="115">
        <f>IFERROR(VLOOKUP($B123,MMWR_TRAD_AGG_STATE_PEN[],Q$1,0),"ERROR")</f>
        <v>315</v>
      </c>
      <c r="R123" s="115">
        <f>IFERROR(VLOOKUP($B123,MMWR_TRAD_AGG_STATE_PEN[],R$1,0),"ERROR")</f>
        <v>35</v>
      </c>
      <c r="S123" s="115">
        <f>IFERROR(VLOOKUP($B123,MMWR_APP_STATE_PEN[],S$1,0),"ERROR")</f>
        <v>106</v>
      </c>
      <c r="T123" s="28"/>
    </row>
    <row r="124" spans="1:20" s="123" customFormat="1" x14ac:dyDescent="0.2">
      <c r="A124" s="28"/>
      <c r="B124" s="127" t="s">
        <v>435</v>
      </c>
      <c r="C124" s="109">
        <f>IFERROR(VLOOKUP($B124,MMWR_TRAD_AGG_STATE_PEN[],C$1,0),"ERROR")</f>
        <v>1074</v>
      </c>
      <c r="D124" s="110">
        <f>IFERROR(VLOOKUP($B124,MMWR_TRAD_AGG_STATE_PEN[],D$1,0),"ERROR")</f>
        <v>112.3752327747</v>
      </c>
      <c r="E124" s="111">
        <f>IFERROR(VLOOKUP($B124,MMWR_TRAD_AGG_STATE_PEN[],E$1,0),"ERROR")</f>
        <v>454</v>
      </c>
      <c r="F124" s="112">
        <f>IFERROR(VLOOKUP($B124,MMWR_TRAD_AGG_STATE_PEN[],F$1,0),"ERROR")</f>
        <v>132</v>
      </c>
      <c r="G124" s="113">
        <f t="shared" si="12"/>
        <v>0.29074889867841408</v>
      </c>
      <c r="H124" s="111">
        <f>IFERROR(VLOOKUP($B124,MMWR_TRAD_AGG_STATE_PEN[],H$1,0),"ERROR")</f>
        <v>1831</v>
      </c>
      <c r="I124" s="112">
        <f>IFERROR(VLOOKUP($B124,MMWR_TRAD_AGG_STATE_PEN[],I$1,0),"ERROR")</f>
        <v>605</v>
      </c>
      <c r="J124" s="114">
        <f t="shared" si="13"/>
        <v>0.3304205352266521</v>
      </c>
      <c r="K124" s="111">
        <f>IFERROR(VLOOKUP($B124,MMWR_TRAD_AGG_STATE_PEN[],K$1,0),"ERROR")</f>
        <v>27</v>
      </c>
      <c r="L124" s="112">
        <f>IFERROR(VLOOKUP($B124,MMWR_TRAD_AGG_STATE_PEN[],L$1,0),"ERROR")</f>
        <v>20</v>
      </c>
      <c r="M124" s="114">
        <f t="shared" si="14"/>
        <v>0.7407407407407407</v>
      </c>
      <c r="N124" s="111">
        <f>IFERROR(VLOOKUP($B124,MMWR_TRAD_AGG_STATE_PEN[],N$1,0),"ERROR")</f>
        <v>66</v>
      </c>
      <c r="O124" s="112">
        <f>IFERROR(VLOOKUP($B124,MMWR_TRAD_AGG_STATE_PEN[],O$1,0),"ERROR")</f>
        <v>25</v>
      </c>
      <c r="P124" s="114">
        <f t="shared" si="15"/>
        <v>0.37878787878787878</v>
      </c>
      <c r="Q124" s="115">
        <f>IFERROR(VLOOKUP($B124,MMWR_TRAD_AGG_STATE_PEN[],Q$1,0),"ERROR")</f>
        <v>68</v>
      </c>
      <c r="R124" s="115">
        <f>IFERROR(VLOOKUP($B124,MMWR_TRAD_AGG_STATE_PEN[],R$1,0),"ERROR")</f>
        <v>106</v>
      </c>
      <c r="S124" s="115">
        <f>IFERROR(VLOOKUP($B124,MMWR_APP_STATE_PEN[],S$1,0),"ERROR")</f>
        <v>131</v>
      </c>
      <c r="T124" s="28"/>
    </row>
    <row r="125" spans="1:20" s="123" customFormat="1" x14ac:dyDescent="0.2">
      <c r="A125" s="28"/>
      <c r="B125" s="127" t="s">
        <v>391</v>
      </c>
      <c r="C125" s="109">
        <f>IFERROR(VLOOKUP($B125,MMWR_TRAD_AGG_STATE_PEN[],C$1,0),"ERROR")</f>
        <v>815</v>
      </c>
      <c r="D125" s="110">
        <f>IFERROR(VLOOKUP($B125,MMWR_TRAD_AGG_STATE_PEN[],D$1,0),"ERROR")</f>
        <v>98.907975460100005</v>
      </c>
      <c r="E125" s="111">
        <f>IFERROR(VLOOKUP($B125,MMWR_TRAD_AGG_STATE_PEN[],E$1,0),"ERROR")</f>
        <v>741</v>
      </c>
      <c r="F125" s="112">
        <f>IFERROR(VLOOKUP($B125,MMWR_TRAD_AGG_STATE_PEN[],F$1,0),"ERROR")</f>
        <v>179</v>
      </c>
      <c r="G125" s="113">
        <f t="shared" si="12"/>
        <v>0.24156545209176788</v>
      </c>
      <c r="H125" s="111">
        <f>IFERROR(VLOOKUP($B125,MMWR_TRAD_AGG_STATE_PEN[],H$1,0),"ERROR")</f>
        <v>1260</v>
      </c>
      <c r="I125" s="112">
        <f>IFERROR(VLOOKUP($B125,MMWR_TRAD_AGG_STATE_PEN[],I$1,0),"ERROR")</f>
        <v>372</v>
      </c>
      <c r="J125" s="114">
        <f t="shared" si="13"/>
        <v>0.29523809523809524</v>
      </c>
      <c r="K125" s="111">
        <f>IFERROR(VLOOKUP($B125,MMWR_TRAD_AGG_STATE_PEN[],K$1,0),"ERROR")</f>
        <v>18</v>
      </c>
      <c r="L125" s="112">
        <f>IFERROR(VLOOKUP($B125,MMWR_TRAD_AGG_STATE_PEN[],L$1,0),"ERROR")</f>
        <v>15</v>
      </c>
      <c r="M125" s="114">
        <f t="shared" si="14"/>
        <v>0.83333333333333337</v>
      </c>
      <c r="N125" s="111">
        <f>IFERROR(VLOOKUP($B125,MMWR_TRAD_AGG_STATE_PEN[],N$1,0),"ERROR")</f>
        <v>134</v>
      </c>
      <c r="O125" s="112">
        <f>IFERROR(VLOOKUP($B125,MMWR_TRAD_AGG_STATE_PEN[],O$1,0),"ERROR")</f>
        <v>28</v>
      </c>
      <c r="P125" s="114">
        <f t="shared" si="15"/>
        <v>0.20895522388059701</v>
      </c>
      <c r="Q125" s="115">
        <f>IFERROR(VLOOKUP($B125,MMWR_TRAD_AGG_STATE_PEN[],Q$1,0),"ERROR")</f>
        <v>104</v>
      </c>
      <c r="R125" s="115">
        <f>IFERROR(VLOOKUP($B125,MMWR_TRAD_AGG_STATE_PEN[],R$1,0),"ERROR")</f>
        <v>249</v>
      </c>
      <c r="S125" s="115">
        <f>IFERROR(VLOOKUP($B125,MMWR_APP_STATE_PEN[],S$1,0),"ERROR")</f>
        <v>163</v>
      </c>
      <c r="T125" s="28"/>
    </row>
    <row r="126" spans="1:20" s="123" customFormat="1" x14ac:dyDescent="0.2">
      <c r="A126" s="28"/>
      <c r="B126" s="127" t="s">
        <v>392</v>
      </c>
      <c r="C126" s="109">
        <f>IFERROR(VLOOKUP($B126,MMWR_TRAD_AGG_STATE_PEN[],C$1,0),"ERROR")</f>
        <v>296</v>
      </c>
      <c r="D126" s="110">
        <f>IFERROR(VLOOKUP($B126,MMWR_TRAD_AGG_STATE_PEN[],D$1,0),"ERROR")</f>
        <v>63.253378378400001</v>
      </c>
      <c r="E126" s="111">
        <f>IFERROR(VLOOKUP($B126,MMWR_TRAD_AGG_STATE_PEN[],E$1,0),"ERROR")</f>
        <v>561</v>
      </c>
      <c r="F126" s="112">
        <f>IFERROR(VLOOKUP($B126,MMWR_TRAD_AGG_STATE_PEN[],F$1,0),"ERROR")</f>
        <v>29</v>
      </c>
      <c r="G126" s="113">
        <f t="shared" si="12"/>
        <v>5.1693404634581108E-2</v>
      </c>
      <c r="H126" s="111">
        <f>IFERROR(VLOOKUP($B126,MMWR_TRAD_AGG_STATE_PEN[],H$1,0),"ERROR")</f>
        <v>562</v>
      </c>
      <c r="I126" s="112">
        <f>IFERROR(VLOOKUP($B126,MMWR_TRAD_AGG_STATE_PEN[],I$1,0),"ERROR")</f>
        <v>59</v>
      </c>
      <c r="J126" s="114">
        <f t="shared" si="13"/>
        <v>0.10498220640569395</v>
      </c>
      <c r="K126" s="111">
        <f>IFERROR(VLOOKUP($B126,MMWR_TRAD_AGG_STATE_PEN[],K$1,0),"ERROR")</f>
        <v>5</v>
      </c>
      <c r="L126" s="112">
        <f>IFERROR(VLOOKUP($B126,MMWR_TRAD_AGG_STATE_PEN[],L$1,0),"ERROR")</f>
        <v>5</v>
      </c>
      <c r="M126" s="114">
        <f t="shared" si="14"/>
        <v>1</v>
      </c>
      <c r="N126" s="111">
        <f>IFERROR(VLOOKUP($B126,MMWR_TRAD_AGG_STATE_PEN[],N$1,0),"ERROR")</f>
        <v>54</v>
      </c>
      <c r="O126" s="112">
        <f>IFERROR(VLOOKUP($B126,MMWR_TRAD_AGG_STATE_PEN[],O$1,0),"ERROR")</f>
        <v>17</v>
      </c>
      <c r="P126" s="114">
        <f t="shared" si="15"/>
        <v>0.31481481481481483</v>
      </c>
      <c r="Q126" s="115">
        <f>IFERROR(VLOOKUP($B126,MMWR_TRAD_AGG_STATE_PEN[],Q$1,0),"ERROR")</f>
        <v>411</v>
      </c>
      <c r="R126" s="115">
        <f>IFERROR(VLOOKUP($B126,MMWR_TRAD_AGG_STATE_PEN[],R$1,0),"ERROR")</f>
        <v>60</v>
      </c>
      <c r="S126" s="115">
        <f>IFERROR(VLOOKUP($B126,MMWR_APP_STATE_PEN[],S$1,0),"ERROR")</f>
        <v>206</v>
      </c>
      <c r="T126" s="28"/>
    </row>
    <row r="127" spans="1:20" s="123" customFormat="1" x14ac:dyDescent="0.2">
      <c r="A127" s="28"/>
      <c r="B127" s="128" t="s">
        <v>8</v>
      </c>
      <c r="C127" s="102">
        <f>IFERROR(VLOOKUP($B127,MMWR_TRAD_AGG_ST_DISTRICT_PEN[],C$1,0),"ERROR")</f>
        <v>215</v>
      </c>
      <c r="D127" s="103">
        <f>IFERROR(VLOOKUP($B127,MMWR_TRAD_AGG_ST_DISTRICT_PEN[],D$1,0),"ERROR")</f>
        <v>98.046511627900003</v>
      </c>
      <c r="E127" s="102">
        <f>IFERROR(VLOOKUP($B127,MMWR_TRAD_AGG_ST_DISTRICT_PEN[],E$1,0),"ERROR")</f>
        <v>180</v>
      </c>
      <c r="F127" s="102">
        <f>IFERROR(VLOOKUP($B127,MMWR_TRAD_AGG_ST_DISTRICT_PEN[],F$1,0),"ERROR")</f>
        <v>77</v>
      </c>
      <c r="G127" s="104">
        <f t="shared" si="12"/>
        <v>0.42777777777777776</v>
      </c>
      <c r="H127" s="102">
        <f>IFERROR(VLOOKUP($B127,MMWR_TRAD_AGG_ST_DISTRICT_PEN[],H$1,0),"ERROR")</f>
        <v>464</v>
      </c>
      <c r="I127" s="102">
        <f>IFERROR(VLOOKUP($B127,MMWR_TRAD_AGG_ST_DISTRICT_PEN[],I$1,0),"ERROR")</f>
        <v>195</v>
      </c>
      <c r="J127" s="104">
        <f t="shared" si="13"/>
        <v>0.42025862068965519</v>
      </c>
      <c r="K127" s="102">
        <f>IFERROR(VLOOKUP($B127,MMWR_TRAD_AGG_ST_DISTRICT_PEN[],K$1,0),"ERROR")</f>
        <v>26</v>
      </c>
      <c r="L127" s="102">
        <f>IFERROR(VLOOKUP($B127,MMWR_TRAD_AGG_ST_DISTRICT_PEN[],L$1,0),"ERROR")</f>
        <v>23</v>
      </c>
      <c r="M127" s="104">
        <f t="shared" si="14"/>
        <v>0.88461538461538458</v>
      </c>
      <c r="N127" s="102">
        <f>IFERROR(VLOOKUP($B127,MMWR_TRAD_AGG_ST_DISTRICT_PEN[],N$1,0),"ERROR")</f>
        <v>75</v>
      </c>
      <c r="O127" s="102">
        <f>IFERROR(VLOOKUP($B127,MMWR_TRAD_AGG_ST_DISTRICT_PEN[],O$1,0),"ERROR")</f>
        <v>24</v>
      </c>
      <c r="P127" s="104">
        <f t="shared" si="15"/>
        <v>0.32</v>
      </c>
      <c r="Q127" s="102">
        <f>IFERROR(VLOOKUP($B127,MMWR_TRAD_AGG_ST_DISTRICT_PEN[],Q$1,0),"ERROR")</f>
        <v>51</v>
      </c>
      <c r="R127" s="106">
        <f>IFERROR(VLOOKUP($B127,MMWR_TRAD_AGG_ST_DISTRICT_PEN[],R$1,0),"ERROR")</f>
        <v>20</v>
      </c>
      <c r="S127" s="106">
        <f>IFERROR(VLOOKUP($B127,MMWR_APP_STATE_PEN[],S$1,0),"ERROR")</f>
        <v>4</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661</v>
      </c>
      <c r="C2" t="s">
        <v>464</v>
      </c>
      <c r="D2" t="s">
        <v>466</v>
      </c>
      <c r="F2" t="s">
        <v>660</v>
      </c>
      <c r="G2" t="s">
        <v>313</v>
      </c>
      <c r="H2" t="s">
        <v>139</v>
      </c>
      <c r="I2" t="s">
        <v>220</v>
      </c>
      <c r="J2" t="s">
        <v>221</v>
      </c>
      <c r="K2" t="s">
        <v>222</v>
      </c>
      <c r="L2" t="s">
        <v>223</v>
      </c>
      <c r="M2" t="s">
        <v>224</v>
      </c>
      <c r="N2" t="s">
        <v>225</v>
      </c>
      <c r="O2" t="s">
        <v>226</v>
      </c>
      <c r="P2" t="s">
        <v>227</v>
      </c>
      <c r="Q2" t="s">
        <v>228</v>
      </c>
      <c r="R2" t="s">
        <v>229</v>
      </c>
      <c r="T2" t="s">
        <v>659</v>
      </c>
      <c r="U2" t="s">
        <v>313</v>
      </c>
      <c r="V2" t="s">
        <v>139</v>
      </c>
      <c r="W2" t="s">
        <v>220</v>
      </c>
      <c r="X2" t="s">
        <v>467</v>
      </c>
      <c r="Y2" t="s">
        <v>222</v>
      </c>
      <c r="Z2" t="s">
        <v>223</v>
      </c>
      <c r="AA2" t="s">
        <v>224</v>
      </c>
      <c r="AB2" t="s">
        <v>468</v>
      </c>
      <c r="AC2" t="s">
        <v>226</v>
      </c>
      <c r="AD2" t="s">
        <v>227</v>
      </c>
      <c r="AE2" t="s">
        <v>228</v>
      </c>
      <c r="AF2" t="s">
        <v>229</v>
      </c>
      <c r="AH2" t="s">
        <v>658</v>
      </c>
      <c r="AI2" t="s">
        <v>313</v>
      </c>
      <c r="AJ2" t="s">
        <v>139</v>
      </c>
      <c r="AK2" t="s">
        <v>220</v>
      </c>
      <c r="AL2" t="s">
        <v>221</v>
      </c>
      <c r="AM2" t="s">
        <v>222</v>
      </c>
      <c r="AN2" t="s">
        <v>223</v>
      </c>
      <c r="AO2" t="s">
        <v>224</v>
      </c>
      <c r="AP2" t="s">
        <v>225</v>
      </c>
      <c r="AQ2" t="s">
        <v>226</v>
      </c>
      <c r="AR2" t="s">
        <v>227</v>
      </c>
      <c r="AS2" t="s">
        <v>228</v>
      </c>
      <c r="AT2" t="s">
        <v>229</v>
      </c>
      <c r="AV2" t="s">
        <v>657</v>
      </c>
      <c r="AW2" t="s">
        <v>313</v>
      </c>
      <c r="AX2" t="s">
        <v>139</v>
      </c>
      <c r="AY2" t="s">
        <v>220</v>
      </c>
      <c r="AZ2" t="s">
        <v>467</v>
      </c>
      <c r="BA2" t="s">
        <v>222</v>
      </c>
      <c r="BB2" t="s">
        <v>223</v>
      </c>
      <c r="BC2" t="s">
        <v>224</v>
      </c>
      <c r="BD2" t="s">
        <v>468</v>
      </c>
      <c r="BE2" t="s">
        <v>226</v>
      </c>
      <c r="BF2" t="s">
        <v>227</v>
      </c>
      <c r="BG2" t="s">
        <v>228</v>
      </c>
      <c r="BH2" t="s">
        <v>229</v>
      </c>
      <c r="BJ2" t="s">
        <v>719</v>
      </c>
      <c r="BK2" t="s">
        <v>738</v>
      </c>
      <c r="BL2" t="s">
        <v>707</v>
      </c>
      <c r="BM2" t="s">
        <v>708</v>
      </c>
      <c r="BN2" t="s">
        <v>709</v>
      </c>
      <c r="BO2" t="s">
        <v>710</v>
      </c>
      <c r="BP2" t="s">
        <v>711</v>
      </c>
      <c r="BQ2" t="s">
        <v>720</v>
      </c>
      <c r="BR2" t="s">
        <v>721</v>
      </c>
      <c r="BS2" t="s">
        <v>712</v>
      </c>
      <c r="BT2" t="s">
        <v>713</v>
      </c>
      <c r="BU2" t="s">
        <v>714</v>
      </c>
      <c r="BV2" t="s">
        <v>715</v>
      </c>
      <c r="BW2" t="s">
        <v>716</v>
      </c>
      <c r="BX2" t="s">
        <v>717</v>
      </c>
      <c r="BY2" t="s">
        <v>718</v>
      </c>
      <c r="CA2" t="s">
        <v>1039</v>
      </c>
      <c r="CB2" t="s">
        <v>743</v>
      </c>
      <c r="CC2" t="s">
        <v>744</v>
      </c>
      <c r="CD2" t="s">
        <v>722</v>
      </c>
      <c r="CE2" t="s">
        <v>723</v>
      </c>
      <c r="CF2" t="s">
        <v>724</v>
      </c>
      <c r="CG2" t="s">
        <v>725</v>
      </c>
      <c r="CH2" t="s">
        <v>726</v>
      </c>
      <c r="CI2" t="s">
        <v>727</v>
      </c>
      <c r="CJ2" t="s">
        <v>728</v>
      </c>
      <c r="CL2" t="s">
        <v>1040</v>
      </c>
      <c r="CM2" t="s">
        <v>743</v>
      </c>
      <c r="CN2" t="s">
        <v>744</v>
      </c>
      <c r="CO2" t="s">
        <v>722</v>
      </c>
      <c r="CP2" t="s">
        <v>723</v>
      </c>
      <c r="CQ2" t="s">
        <v>724</v>
      </c>
      <c r="CR2" t="s">
        <v>725</v>
      </c>
      <c r="CS2" t="s">
        <v>726</v>
      </c>
      <c r="CT2" t="s">
        <v>727</v>
      </c>
      <c r="CU2" t="s">
        <v>728</v>
      </c>
      <c r="CW2" t="s">
        <v>1041</v>
      </c>
      <c r="CX2" t="s">
        <v>743</v>
      </c>
      <c r="CY2" t="s">
        <v>744</v>
      </c>
      <c r="CZ2" t="s">
        <v>722</v>
      </c>
      <c r="DA2" t="s">
        <v>723</v>
      </c>
      <c r="DB2" t="s">
        <v>724</v>
      </c>
      <c r="DC2" t="s">
        <v>725</v>
      </c>
      <c r="DD2" t="s">
        <v>726</v>
      </c>
      <c r="DE2" t="s">
        <v>727</v>
      </c>
      <c r="DF2" t="s">
        <v>728</v>
      </c>
      <c r="DH2" t="s">
        <v>1042</v>
      </c>
      <c r="DI2" t="s">
        <v>743</v>
      </c>
      <c r="DJ2" t="s">
        <v>744</v>
      </c>
      <c r="DK2" t="s">
        <v>722</v>
      </c>
      <c r="DL2" t="s">
        <v>723</v>
      </c>
      <c r="DM2" t="s">
        <v>724</v>
      </c>
      <c r="DN2" t="s">
        <v>725</v>
      </c>
      <c r="DO2" t="s">
        <v>726</v>
      </c>
      <c r="DP2" t="s">
        <v>727</v>
      </c>
      <c r="DQ2" t="s">
        <v>728</v>
      </c>
    </row>
    <row r="3" spans="2:121" x14ac:dyDescent="0.2">
      <c r="C3">
        <v>342840</v>
      </c>
      <c r="D3">
        <v>264172</v>
      </c>
      <c r="F3" t="s">
        <v>34</v>
      </c>
      <c r="G3">
        <v>1182</v>
      </c>
      <c r="H3">
        <v>115.7047377327</v>
      </c>
      <c r="I3">
        <v>2916</v>
      </c>
      <c r="J3">
        <v>742</v>
      </c>
      <c r="K3">
        <v>1706</v>
      </c>
      <c r="L3">
        <v>351</v>
      </c>
      <c r="M3">
        <v>192</v>
      </c>
      <c r="N3">
        <v>97</v>
      </c>
      <c r="O3">
        <v>301</v>
      </c>
      <c r="P3">
        <v>145</v>
      </c>
      <c r="Q3">
        <v>0</v>
      </c>
      <c r="R3">
        <v>20</v>
      </c>
      <c r="T3" t="s">
        <v>215</v>
      </c>
      <c r="U3">
        <v>3047</v>
      </c>
      <c r="V3">
        <v>60.528716770599999</v>
      </c>
      <c r="W3">
        <v>6544</v>
      </c>
      <c r="X3">
        <v>427</v>
      </c>
      <c r="Y3">
        <v>5787</v>
      </c>
      <c r="Z3">
        <v>327</v>
      </c>
      <c r="AA3">
        <v>16</v>
      </c>
      <c r="AB3">
        <v>16</v>
      </c>
      <c r="AC3">
        <v>385</v>
      </c>
      <c r="AD3">
        <v>72</v>
      </c>
      <c r="AE3">
        <v>4673</v>
      </c>
      <c r="AF3">
        <v>475</v>
      </c>
      <c r="AH3" t="s">
        <v>396</v>
      </c>
      <c r="AI3">
        <v>14211</v>
      </c>
      <c r="AJ3">
        <v>368.11983674620001</v>
      </c>
      <c r="AK3">
        <v>8246</v>
      </c>
      <c r="AL3">
        <v>1290</v>
      </c>
      <c r="AM3">
        <v>16796</v>
      </c>
      <c r="AN3">
        <v>11740</v>
      </c>
      <c r="AO3">
        <v>4305</v>
      </c>
      <c r="AP3">
        <v>3897</v>
      </c>
      <c r="AQ3">
        <v>3186</v>
      </c>
      <c r="AR3">
        <v>1915</v>
      </c>
      <c r="AS3">
        <v>17</v>
      </c>
      <c r="AT3">
        <v>370</v>
      </c>
      <c r="AV3" t="s">
        <v>421</v>
      </c>
      <c r="AW3">
        <v>60</v>
      </c>
      <c r="AX3">
        <v>58.65</v>
      </c>
      <c r="AY3">
        <v>179</v>
      </c>
      <c r="AZ3">
        <v>8</v>
      </c>
      <c r="BA3">
        <v>113</v>
      </c>
      <c r="BB3">
        <v>14</v>
      </c>
      <c r="BC3">
        <v>0</v>
      </c>
      <c r="BE3">
        <v>9</v>
      </c>
      <c r="BF3">
        <v>9</v>
      </c>
      <c r="BG3">
        <v>92</v>
      </c>
      <c r="BH3">
        <v>28</v>
      </c>
      <c r="BJ3" t="s">
        <v>736</v>
      </c>
      <c r="BK3" t="s">
        <v>739</v>
      </c>
      <c r="BL3">
        <v>329325</v>
      </c>
      <c r="BM3">
        <v>78099</v>
      </c>
      <c r="BN3">
        <v>100.5989038184</v>
      </c>
      <c r="BO3">
        <v>1145412</v>
      </c>
      <c r="BP3">
        <v>52639</v>
      </c>
      <c r="BQ3">
        <v>185.25830443539999</v>
      </c>
      <c r="BR3">
        <v>161.98267444289999</v>
      </c>
      <c r="BS3">
        <v>329325</v>
      </c>
      <c r="BT3">
        <v>78099</v>
      </c>
      <c r="BU3">
        <v>100.5989038184</v>
      </c>
      <c r="BV3">
        <v>1145411</v>
      </c>
      <c r="BW3">
        <v>52639</v>
      </c>
      <c r="BX3">
        <v>185.25808989090001</v>
      </c>
      <c r="BY3">
        <v>161.98267444289999</v>
      </c>
      <c r="CA3" t="s">
        <v>1045</v>
      </c>
      <c r="CB3" t="s">
        <v>739</v>
      </c>
      <c r="CC3" t="s">
        <v>925</v>
      </c>
      <c r="CD3">
        <v>10381</v>
      </c>
      <c r="CE3">
        <v>1009</v>
      </c>
      <c r="CF3">
        <v>67.965513919700001</v>
      </c>
      <c r="CG3">
        <v>24509</v>
      </c>
      <c r="CH3">
        <v>893</v>
      </c>
      <c r="CI3">
        <v>150.25794606060001</v>
      </c>
      <c r="CJ3">
        <v>134.490481523</v>
      </c>
      <c r="CL3" t="s">
        <v>1045</v>
      </c>
      <c r="CM3" t="s">
        <v>739</v>
      </c>
      <c r="CN3" t="s">
        <v>925</v>
      </c>
      <c r="CO3">
        <v>10381</v>
      </c>
      <c r="CP3">
        <v>1009</v>
      </c>
      <c r="CQ3">
        <v>67.965513919700001</v>
      </c>
      <c r="CR3">
        <v>24509</v>
      </c>
      <c r="CS3">
        <v>893</v>
      </c>
      <c r="CT3">
        <v>150.25794606060001</v>
      </c>
      <c r="CU3">
        <v>134.490481523</v>
      </c>
      <c r="CW3" t="s">
        <v>1045</v>
      </c>
      <c r="CX3" t="s">
        <v>739</v>
      </c>
      <c r="CY3" t="s">
        <v>925</v>
      </c>
      <c r="CZ3">
        <v>10381</v>
      </c>
      <c r="DA3">
        <v>1009</v>
      </c>
      <c r="DB3">
        <v>67.965513919700001</v>
      </c>
      <c r="DC3">
        <v>24509</v>
      </c>
      <c r="DD3">
        <v>893</v>
      </c>
      <c r="DE3">
        <v>150.25794606060001</v>
      </c>
      <c r="DF3">
        <v>134.490481523</v>
      </c>
      <c r="DH3" t="s">
        <v>1045</v>
      </c>
      <c r="DI3" t="s">
        <v>739</v>
      </c>
      <c r="DJ3" t="s">
        <v>925</v>
      </c>
      <c r="DK3">
        <v>10381</v>
      </c>
      <c r="DL3">
        <v>1009</v>
      </c>
      <c r="DM3">
        <v>67.965513919700001</v>
      </c>
      <c r="DN3">
        <v>24509</v>
      </c>
      <c r="DO3">
        <v>893</v>
      </c>
      <c r="DP3">
        <v>150.25794606060001</v>
      </c>
      <c r="DQ3">
        <v>134.490481523</v>
      </c>
    </row>
    <row r="4" spans="2:121" x14ac:dyDescent="0.2">
      <c r="B4" t="s">
        <v>113</v>
      </c>
      <c r="C4">
        <v>107069</v>
      </c>
      <c r="D4">
        <v>69258</v>
      </c>
      <c r="F4" t="s">
        <v>80</v>
      </c>
      <c r="G4">
        <v>14990</v>
      </c>
      <c r="H4">
        <v>298.04876584390001</v>
      </c>
      <c r="I4">
        <v>21711</v>
      </c>
      <c r="J4">
        <v>6164</v>
      </c>
      <c r="K4">
        <v>18646</v>
      </c>
      <c r="L4">
        <v>10815</v>
      </c>
      <c r="M4">
        <v>2413</v>
      </c>
      <c r="N4">
        <v>1605</v>
      </c>
      <c r="O4">
        <v>11057</v>
      </c>
      <c r="P4">
        <v>7258</v>
      </c>
      <c r="Q4">
        <v>10</v>
      </c>
      <c r="R4">
        <v>247</v>
      </c>
      <c r="T4" t="s">
        <v>230</v>
      </c>
      <c r="U4">
        <v>0</v>
      </c>
      <c r="W4">
        <v>241</v>
      </c>
      <c r="X4">
        <v>90</v>
      </c>
      <c r="Y4">
        <v>863</v>
      </c>
      <c r="Z4">
        <v>702</v>
      </c>
      <c r="AA4">
        <v>275</v>
      </c>
      <c r="AB4">
        <v>267</v>
      </c>
      <c r="AC4">
        <v>297</v>
      </c>
      <c r="AD4">
        <v>242</v>
      </c>
      <c r="AE4">
        <v>112</v>
      </c>
      <c r="AF4">
        <v>0</v>
      </c>
      <c r="AH4" t="s">
        <v>432</v>
      </c>
      <c r="AI4">
        <v>2124</v>
      </c>
      <c r="AJ4">
        <v>446.33145009420002</v>
      </c>
      <c r="AK4">
        <v>947</v>
      </c>
      <c r="AL4">
        <v>92</v>
      </c>
      <c r="AM4">
        <v>2925</v>
      </c>
      <c r="AN4">
        <v>1916</v>
      </c>
      <c r="AO4">
        <v>1564</v>
      </c>
      <c r="AP4">
        <v>1446</v>
      </c>
      <c r="AQ4">
        <v>364</v>
      </c>
      <c r="AR4">
        <v>187</v>
      </c>
      <c r="AS4">
        <v>0</v>
      </c>
      <c r="AT4">
        <v>3</v>
      </c>
      <c r="AV4" t="s">
        <v>435</v>
      </c>
      <c r="AW4">
        <v>1074</v>
      </c>
      <c r="AX4">
        <v>112.3752327747</v>
      </c>
      <c r="AY4">
        <v>454</v>
      </c>
      <c r="AZ4">
        <v>132</v>
      </c>
      <c r="BA4">
        <v>1831</v>
      </c>
      <c r="BB4">
        <v>605</v>
      </c>
      <c r="BC4">
        <v>27</v>
      </c>
      <c r="BD4">
        <v>20</v>
      </c>
      <c r="BE4">
        <v>66</v>
      </c>
      <c r="BF4">
        <v>25</v>
      </c>
      <c r="BG4">
        <v>68</v>
      </c>
      <c r="BH4">
        <v>106</v>
      </c>
      <c r="BJ4" t="s">
        <v>645</v>
      </c>
      <c r="BK4" t="s">
        <v>393</v>
      </c>
      <c r="BL4">
        <v>856</v>
      </c>
      <c r="BM4">
        <v>148</v>
      </c>
      <c r="BN4">
        <v>82.920560747699994</v>
      </c>
      <c r="BO4">
        <v>2888</v>
      </c>
      <c r="BP4">
        <v>139</v>
      </c>
      <c r="BQ4">
        <v>136.05297783930001</v>
      </c>
      <c r="BR4">
        <v>158.38129496400001</v>
      </c>
      <c r="BS4">
        <v>1030</v>
      </c>
      <c r="BT4">
        <v>220</v>
      </c>
      <c r="BU4">
        <v>87.7844660194</v>
      </c>
      <c r="BV4">
        <v>3383</v>
      </c>
      <c r="BW4">
        <v>155</v>
      </c>
      <c r="BX4">
        <v>152.78628436299999</v>
      </c>
      <c r="BY4">
        <v>167.47096774190001</v>
      </c>
      <c r="CA4" t="s">
        <v>1044</v>
      </c>
      <c r="CB4" t="s">
        <v>739</v>
      </c>
      <c r="CC4" t="s">
        <v>925</v>
      </c>
      <c r="CD4">
        <v>329325</v>
      </c>
      <c r="CE4">
        <v>78099</v>
      </c>
      <c r="CF4">
        <v>100.5989038184</v>
      </c>
      <c r="CG4">
        <v>1145411</v>
      </c>
      <c r="CH4">
        <v>52639</v>
      </c>
      <c r="CI4">
        <v>185.25808989090001</v>
      </c>
      <c r="CJ4">
        <v>161.98267444289999</v>
      </c>
      <c r="CL4" t="s">
        <v>1044</v>
      </c>
      <c r="CM4" t="s">
        <v>739</v>
      </c>
      <c r="CN4" t="s">
        <v>925</v>
      </c>
      <c r="CO4">
        <v>329325</v>
      </c>
      <c r="CP4">
        <v>78099</v>
      </c>
      <c r="CQ4">
        <v>100.5989038184</v>
      </c>
      <c r="CR4">
        <v>1145411</v>
      </c>
      <c r="CS4">
        <v>52639</v>
      </c>
      <c r="CT4">
        <v>185.25808989090001</v>
      </c>
      <c r="CU4">
        <v>161.98267444289999</v>
      </c>
      <c r="CW4" t="s">
        <v>1044</v>
      </c>
      <c r="CX4" t="s">
        <v>739</v>
      </c>
      <c r="CY4" t="s">
        <v>925</v>
      </c>
      <c r="CZ4">
        <v>329325</v>
      </c>
      <c r="DA4">
        <v>78099</v>
      </c>
      <c r="DB4">
        <v>100.5989038184</v>
      </c>
      <c r="DC4">
        <v>1145411</v>
      </c>
      <c r="DD4">
        <v>52639</v>
      </c>
      <c r="DE4">
        <v>185.25808989090001</v>
      </c>
      <c r="DF4">
        <v>161.98267444289999</v>
      </c>
      <c r="DH4" t="s">
        <v>1044</v>
      </c>
      <c r="DI4" t="s">
        <v>739</v>
      </c>
      <c r="DJ4" t="s">
        <v>925</v>
      </c>
      <c r="DK4">
        <v>329325</v>
      </c>
      <c r="DL4">
        <v>78099</v>
      </c>
      <c r="DM4">
        <v>100.5989038184</v>
      </c>
      <c r="DN4">
        <v>1145411</v>
      </c>
      <c r="DO4">
        <v>52639</v>
      </c>
      <c r="DP4">
        <v>185.25808989090001</v>
      </c>
      <c r="DQ4">
        <v>161.98267444289999</v>
      </c>
    </row>
    <row r="5" spans="2:121" x14ac:dyDescent="0.2">
      <c r="B5" t="s">
        <v>101</v>
      </c>
      <c r="C5">
        <v>122689</v>
      </c>
      <c r="D5">
        <v>85056</v>
      </c>
      <c r="F5" t="s">
        <v>54</v>
      </c>
      <c r="G5">
        <v>4672</v>
      </c>
      <c r="H5">
        <v>329.62200342469998</v>
      </c>
      <c r="I5">
        <v>3659</v>
      </c>
      <c r="J5">
        <v>513</v>
      </c>
      <c r="K5">
        <v>8011</v>
      </c>
      <c r="L5">
        <v>3747</v>
      </c>
      <c r="M5">
        <v>3542</v>
      </c>
      <c r="N5">
        <v>2114</v>
      </c>
      <c r="O5">
        <v>2988</v>
      </c>
      <c r="P5">
        <v>2234</v>
      </c>
      <c r="Q5">
        <v>1</v>
      </c>
      <c r="R5">
        <v>159</v>
      </c>
      <c r="T5" t="s">
        <v>216</v>
      </c>
      <c r="U5">
        <v>12118</v>
      </c>
      <c r="V5">
        <v>103.4619574187</v>
      </c>
      <c r="W5">
        <v>12653</v>
      </c>
      <c r="X5">
        <v>3262</v>
      </c>
      <c r="Y5">
        <v>18644</v>
      </c>
      <c r="Z5">
        <v>5504</v>
      </c>
      <c r="AA5">
        <v>394</v>
      </c>
      <c r="AB5">
        <v>371</v>
      </c>
      <c r="AC5">
        <v>1921</v>
      </c>
      <c r="AD5">
        <v>371</v>
      </c>
      <c r="AE5">
        <v>1375</v>
      </c>
      <c r="AF5">
        <v>3686</v>
      </c>
      <c r="AH5" t="s">
        <v>434</v>
      </c>
      <c r="AI5">
        <v>7125</v>
      </c>
      <c r="AJ5">
        <v>304.83045614039997</v>
      </c>
      <c r="AK5">
        <v>6229</v>
      </c>
      <c r="AL5">
        <v>1289</v>
      </c>
      <c r="AM5">
        <v>9507</v>
      </c>
      <c r="AN5">
        <v>5358</v>
      </c>
      <c r="AO5">
        <v>683</v>
      </c>
      <c r="AP5">
        <v>510</v>
      </c>
      <c r="AQ5">
        <v>3096</v>
      </c>
      <c r="AR5">
        <v>2219</v>
      </c>
      <c r="AS5">
        <v>6</v>
      </c>
      <c r="AT5">
        <v>78</v>
      </c>
      <c r="AV5" t="s">
        <v>408</v>
      </c>
      <c r="AW5">
        <v>25</v>
      </c>
      <c r="AX5">
        <v>27.16</v>
      </c>
      <c r="AY5">
        <v>89</v>
      </c>
      <c r="AZ5">
        <v>3</v>
      </c>
      <c r="BA5">
        <v>45</v>
      </c>
      <c r="BB5">
        <v>1</v>
      </c>
      <c r="BC5">
        <v>0</v>
      </c>
      <c r="BE5">
        <v>1</v>
      </c>
      <c r="BG5">
        <v>142</v>
      </c>
      <c r="BH5">
        <v>15</v>
      </c>
      <c r="BJ5" t="s">
        <v>393</v>
      </c>
      <c r="BK5" t="s">
        <v>393</v>
      </c>
      <c r="BL5">
        <v>66642</v>
      </c>
      <c r="BM5">
        <v>15340</v>
      </c>
      <c r="BN5">
        <v>102.80015605769999</v>
      </c>
      <c r="BO5">
        <v>207107</v>
      </c>
      <c r="BP5">
        <v>9815</v>
      </c>
      <c r="BQ5">
        <v>191.4304393381</v>
      </c>
      <c r="BR5">
        <v>179.1637289862</v>
      </c>
      <c r="BS5">
        <v>66063</v>
      </c>
      <c r="BT5">
        <v>15402</v>
      </c>
      <c r="BU5">
        <v>102.24532643080001</v>
      </c>
      <c r="BV5">
        <v>209520</v>
      </c>
      <c r="BW5">
        <v>9857</v>
      </c>
      <c r="BX5">
        <v>191.6381443299</v>
      </c>
      <c r="BY5">
        <v>177.07223293089999</v>
      </c>
      <c r="CA5" t="s">
        <v>1046</v>
      </c>
      <c r="CB5" t="s">
        <v>739</v>
      </c>
      <c r="CC5" t="s">
        <v>925</v>
      </c>
      <c r="CD5">
        <v>20660</v>
      </c>
      <c r="CE5">
        <v>1718</v>
      </c>
      <c r="CF5">
        <v>59.192207163600003</v>
      </c>
      <c r="CG5">
        <v>148720</v>
      </c>
      <c r="CH5">
        <v>8050</v>
      </c>
      <c r="CI5">
        <v>64.638293437300007</v>
      </c>
      <c r="CJ5">
        <v>66.988322981400003</v>
      </c>
      <c r="CL5" t="s">
        <v>1046</v>
      </c>
      <c r="CM5" t="s">
        <v>739</v>
      </c>
      <c r="CN5" t="s">
        <v>925</v>
      </c>
      <c r="CO5">
        <v>20660</v>
      </c>
      <c r="CP5">
        <v>1718</v>
      </c>
      <c r="CQ5">
        <v>59.192207163600003</v>
      </c>
      <c r="CR5">
        <v>148720</v>
      </c>
      <c r="CS5">
        <v>8050</v>
      </c>
      <c r="CT5">
        <v>64.638293437300007</v>
      </c>
      <c r="CU5">
        <v>66.988322981400003</v>
      </c>
      <c r="CW5" t="s">
        <v>1046</v>
      </c>
      <c r="CX5" t="s">
        <v>739</v>
      </c>
      <c r="CY5" t="s">
        <v>925</v>
      </c>
      <c r="CZ5">
        <v>20660</v>
      </c>
      <c r="DA5">
        <v>1718</v>
      </c>
      <c r="DB5">
        <v>59.192207163600003</v>
      </c>
      <c r="DC5">
        <v>148720</v>
      </c>
      <c r="DD5">
        <v>8050</v>
      </c>
      <c r="DE5">
        <v>64.638293437300007</v>
      </c>
      <c r="DF5">
        <v>66.988322981400003</v>
      </c>
      <c r="DH5" t="s">
        <v>1046</v>
      </c>
      <c r="DI5" t="s">
        <v>739</v>
      </c>
      <c r="DJ5" t="s">
        <v>925</v>
      </c>
      <c r="DK5">
        <v>20660</v>
      </c>
      <c r="DL5">
        <v>1718</v>
      </c>
      <c r="DM5">
        <v>59.192207163600003</v>
      </c>
      <c r="DN5">
        <v>148720</v>
      </c>
      <c r="DO5">
        <v>8050</v>
      </c>
      <c r="DP5">
        <v>64.638293437300007</v>
      </c>
      <c r="DQ5">
        <v>66.988322981400003</v>
      </c>
    </row>
    <row r="6" spans="2:121" x14ac:dyDescent="0.2">
      <c r="B6" t="s">
        <v>93</v>
      </c>
      <c r="C6">
        <v>6654</v>
      </c>
      <c r="D6">
        <v>996</v>
      </c>
      <c r="F6" t="s">
        <v>187</v>
      </c>
      <c r="G6">
        <v>736</v>
      </c>
      <c r="H6">
        <v>190.8940217391</v>
      </c>
      <c r="I6">
        <v>892</v>
      </c>
      <c r="J6">
        <v>73</v>
      </c>
      <c r="K6">
        <v>1155</v>
      </c>
      <c r="L6">
        <v>343</v>
      </c>
      <c r="M6">
        <v>316</v>
      </c>
      <c r="N6">
        <v>160</v>
      </c>
      <c r="O6">
        <v>79</v>
      </c>
      <c r="P6">
        <v>24</v>
      </c>
      <c r="Q6">
        <v>0</v>
      </c>
      <c r="R6">
        <v>2</v>
      </c>
      <c r="T6" t="s">
        <v>218</v>
      </c>
      <c r="U6">
        <v>1774</v>
      </c>
      <c r="V6">
        <v>33.989289740700002</v>
      </c>
      <c r="W6">
        <v>6959</v>
      </c>
      <c r="X6">
        <v>211</v>
      </c>
      <c r="Y6">
        <v>3233</v>
      </c>
      <c r="Z6">
        <v>23</v>
      </c>
      <c r="AA6">
        <v>24</v>
      </c>
      <c r="AB6">
        <v>1</v>
      </c>
      <c r="AC6">
        <v>91</v>
      </c>
      <c r="AD6">
        <v>39</v>
      </c>
      <c r="AE6">
        <v>4530</v>
      </c>
      <c r="AF6">
        <v>1022</v>
      </c>
      <c r="AH6" t="s">
        <v>419</v>
      </c>
      <c r="AI6">
        <v>5309</v>
      </c>
      <c r="AJ6">
        <v>343.18760595219999</v>
      </c>
      <c r="AK6">
        <v>3889</v>
      </c>
      <c r="AL6">
        <v>554</v>
      </c>
      <c r="AM6">
        <v>7325</v>
      </c>
      <c r="AN6">
        <v>4282</v>
      </c>
      <c r="AO6">
        <v>2086</v>
      </c>
      <c r="AP6">
        <v>1491</v>
      </c>
      <c r="AQ6">
        <v>1989</v>
      </c>
      <c r="AR6">
        <v>976</v>
      </c>
      <c r="AS6">
        <v>8</v>
      </c>
      <c r="AT6">
        <v>154</v>
      </c>
      <c r="AV6" t="s">
        <v>428</v>
      </c>
      <c r="AW6">
        <v>12</v>
      </c>
      <c r="AX6">
        <v>22.083333333300001</v>
      </c>
      <c r="AY6">
        <v>51</v>
      </c>
      <c r="AZ6">
        <v>1</v>
      </c>
      <c r="BA6">
        <v>27</v>
      </c>
      <c r="BB6">
        <v>1</v>
      </c>
      <c r="BC6">
        <v>0</v>
      </c>
      <c r="BE6">
        <v>1</v>
      </c>
      <c r="BF6">
        <v>1</v>
      </c>
      <c r="BG6">
        <v>82</v>
      </c>
      <c r="BH6">
        <v>7</v>
      </c>
      <c r="BJ6" t="s">
        <v>592</v>
      </c>
      <c r="BK6" t="s">
        <v>393</v>
      </c>
      <c r="BL6">
        <v>6614</v>
      </c>
      <c r="BM6">
        <v>1934</v>
      </c>
      <c r="BN6">
        <v>112.7797097067</v>
      </c>
      <c r="BO6">
        <v>20722</v>
      </c>
      <c r="BP6">
        <v>1071</v>
      </c>
      <c r="BQ6">
        <v>200.8458642988</v>
      </c>
      <c r="BR6">
        <v>188.36321195139999</v>
      </c>
      <c r="BS6">
        <v>6559</v>
      </c>
      <c r="BT6">
        <v>1895</v>
      </c>
      <c r="BU6">
        <v>108.3343497484</v>
      </c>
      <c r="BV6">
        <v>19936</v>
      </c>
      <c r="BW6">
        <v>913</v>
      </c>
      <c r="BX6">
        <v>198.8394361958</v>
      </c>
      <c r="BY6">
        <v>179.26506024099999</v>
      </c>
      <c r="CA6" t="s">
        <v>1047</v>
      </c>
      <c r="CB6" t="s">
        <v>739</v>
      </c>
      <c r="CC6" t="s">
        <v>925</v>
      </c>
      <c r="CD6">
        <v>8986</v>
      </c>
      <c r="CE6">
        <v>1055</v>
      </c>
      <c r="CF6">
        <v>68.709325617600001</v>
      </c>
      <c r="CG6">
        <v>24692</v>
      </c>
      <c r="CH6">
        <v>956</v>
      </c>
      <c r="CI6">
        <v>132.8043495869</v>
      </c>
      <c r="CJ6">
        <v>127.3953974895</v>
      </c>
      <c r="CL6" t="s">
        <v>1047</v>
      </c>
      <c r="CM6" t="s">
        <v>739</v>
      </c>
      <c r="CN6" t="s">
        <v>925</v>
      </c>
      <c r="CO6">
        <v>8986</v>
      </c>
      <c r="CP6">
        <v>1055</v>
      </c>
      <c r="CQ6">
        <v>68.709325617600001</v>
      </c>
      <c r="CR6">
        <v>24692</v>
      </c>
      <c r="CS6">
        <v>956</v>
      </c>
      <c r="CT6">
        <v>132.8043495869</v>
      </c>
      <c r="CU6">
        <v>127.3953974895</v>
      </c>
      <c r="CW6" t="s">
        <v>1047</v>
      </c>
      <c r="CX6" t="s">
        <v>739</v>
      </c>
      <c r="CY6" t="s">
        <v>925</v>
      </c>
      <c r="CZ6">
        <v>8986</v>
      </c>
      <c r="DA6">
        <v>1055</v>
      </c>
      <c r="DB6">
        <v>68.709325617600001</v>
      </c>
      <c r="DC6">
        <v>24692</v>
      </c>
      <c r="DD6">
        <v>956</v>
      </c>
      <c r="DE6">
        <v>132.8043495869</v>
      </c>
      <c r="DF6">
        <v>127.3953974895</v>
      </c>
      <c r="DH6" t="s">
        <v>1047</v>
      </c>
      <c r="DI6" t="s">
        <v>739</v>
      </c>
      <c r="DJ6" t="s">
        <v>925</v>
      </c>
      <c r="DK6">
        <v>8986</v>
      </c>
      <c r="DL6">
        <v>1055</v>
      </c>
      <c r="DM6">
        <v>68.709325617600001</v>
      </c>
      <c r="DN6">
        <v>24692</v>
      </c>
      <c r="DO6">
        <v>956</v>
      </c>
      <c r="DP6">
        <v>132.8043495869</v>
      </c>
      <c r="DQ6">
        <v>127.3953974895</v>
      </c>
    </row>
    <row r="7" spans="2:121" x14ac:dyDescent="0.2">
      <c r="B7" t="s">
        <v>94</v>
      </c>
      <c r="C7">
        <v>223</v>
      </c>
      <c r="D7">
        <v>30</v>
      </c>
      <c r="F7" t="s">
        <v>61</v>
      </c>
      <c r="G7">
        <v>5233</v>
      </c>
      <c r="H7">
        <v>217.4452512899</v>
      </c>
      <c r="I7">
        <v>8955</v>
      </c>
      <c r="J7">
        <v>1986</v>
      </c>
      <c r="K7">
        <v>8573</v>
      </c>
      <c r="L7">
        <v>3983</v>
      </c>
      <c r="M7">
        <v>1868</v>
      </c>
      <c r="N7">
        <v>1529</v>
      </c>
      <c r="O7">
        <v>1643</v>
      </c>
      <c r="P7">
        <v>1290</v>
      </c>
      <c r="Q7">
        <v>5</v>
      </c>
      <c r="R7">
        <v>223</v>
      </c>
      <c r="T7" t="s">
        <v>470</v>
      </c>
      <c r="U7">
        <v>16939</v>
      </c>
      <c r="V7">
        <v>88.463309522399996</v>
      </c>
      <c r="W7">
        <v>26397</v>
      </c>
      <c r="X7">
        <v>3990</v>
      </c>
      <c r="Y7">
        <v>28527</v>
      </c>
      <c r="Z7">
        <v>6556</v>
      </c>
      <c r="AA7">
        <v>709</v>
      </c>
      <c r="AB7">
        <v>655</v>
      </c>
      <c r="AC7">
        <v>2694</v>
      </c>
      <c r="AD7">
        <v>724</v>
      </c>
      <c r="AE7">
        <v>10690</v>
      </c>
      <c r="AF7">
        <v>5183</v>
      </c>
      <c r="AH7" t="s">
        <v>415</v>
      </c>
      <c r="AI7">
        <v>31540</v>
      </c>
      <c r="AJ7">
        <v>362.2584337349</v>
      </c>
      <c r="AK7">
        <v>32517</v>
      </c>
      <c r="AL7">
        <v>7446</v>
      </c>
      <c r="AM7">
        <v>45431</v>
      </c>
      <c r="AN7">
        <v>27943</v>
      </c>
      <c r="AO7">
        <v>7573</v>
      </c>
      <c r="AP7">
        <v>5753</v>
      </c>
      <c r="AQ7">
        <v>11630</v>
      </c>
      <c r="AR7">
        <v>7423</v>
      </c>
      <c r="AS7">
        <v>45</v>
      </c>
      <c r="AT7">
        <v>168</v>
      </c>
      <c r="AV7" t="s">
        <v>396</v>
      </c>
      <c r="AW7">
        <v>380</v>
      </c>
      <c r="AX7">
        <v>64.086842105299993</v>
      </c>
      <c r="AY7">
        <v>703</v>
      </c>
      <c r="AZ7">
        <v>34</v>
      </c>
      <c r="BA7">
        <v>788</v>
      </c>
      <c r="BB7">
        <v>59</v>
      </c>
      <c r="BC7">
        <v>6</v>
      </c>
      <c r="BD7">
        <v>5</v>
      </c>
      <c r="BE7">
        <v>54</v>
      </c>
      <c r="BF7">
        <v>15</v>
      </c>
      <c r="BG7">
        <v>375</v>
      </c>
      <c r="BH7">
        <v>45</v>
      </c>
      <c r="BJ7" t="s">
        <v>639</v>
      </c>
      <c r="BK7" t="s">
        <v>393</v>
      </c>
      <c r="BL7">
        <v>922</v>
      </c>
      <c r="BM7">
        <v>72</v>
      </c>
      <c r="BN7">
        <v>66.120390455500001</v>
      </c>
      <c r="BO7">
        <v>3399</v>
      </c>
      <c r="BP7">
        <v>132</v>
      </c>
      <c r="BQ7">
        <v>105.0002942042</v>
      </c>
      <c r="BR7">
        <v>102.88636363640001</v>
      </c>
      <c r="BS7">
        <v>1470</v>
      </c>
      <c r="BT7">
        <v>378</v>
      </c>
      <c r="BU7">
        <v>111.1510204082</v>
      </c>
      <c r="BV7">
        <v>6300</v>
      </c>
      <c r="BW7">
        <v>300</v>
      </c>
      <c r="BX7">
        <v>170.00111111109999</v>
      </c>
      <c r="BY7">
        <v>154.87</v>
      </c>
      <c r="CA7" t="s">
        <v>419</v>
      </c>
      <c r="CB7" t="s">
        <v>775</v>
      </c>
      <c r="CC7" t="s">
        <v>1002</v>
      </c>
      <c r="CD7">
        <v>3968</v>
      </c>
      <c r="CE7">
        <v>533</v>
      </c>
      <c r="CF7">
        <v>81.516633064499999</v>
      </c>
      <c r="CG7">
        <v>13317</v>
      </c>
      <c r="CH7">
        <v>487</v>
      </c>
      <c r="CI7">
        <v>167.8788766239</v>
      </c>
      <c r="CJ7">
        <v>163.11704312110001</v>
      </c>
      <c r="CL7" t="s">
        <v>419</v>
      </c>
      <c r="CM7" t="s">
        <v>756</v>
      </c>
      <c r="CN7" t="s">
        <v>755</v>
      </c>
      <c r="CO7">
        <v>228</v>
      </c>
      <c r="CP7">
        <v>16</v>
      </c>
      <c r="CQ7">
        <v>54.5438596491</v>
      </c>
      <c r="CR7">
        <v>1964</v>
      </c>
      <c r="CS7">
        <v>91</v>
      </c>
      <c r="CT7">
        <v>50.3385947047</v>
      </c>
      <c r="CU7">
        <v>61.538461538500002</v>
      </c>
      <c r="CW7" t="s">
        <v>419</v>
      </c>
      <c r="CX7" t="s">
        <v>766</v>
      </c>
      <c r="CY7" t="s">
        <v>765</v>
      </c>
      <c r="CZ7">
        <v>40</v>
      </c>
      <c r="DA7">
        <v>3</v>
      </c>
      <c r="DB7">
        <v>61.35</v>
      </c>
      <c r="DC7">
        <v>138</v>
      </c>
      <c r="DD7">
        <v>4</v>
      </c>
      <c r="DE7">
        <v>135.5362318841</v>
      </c>
      <c r="DF7">
        <v>128</v>
      </c>
      <c r="DH7" t="s">
        <v>419</v>
      </c>
      <c r="DI7" t="s">
        <v>746</v>
      </c>
      <c r="DJ7" t="s">
        <v>745</v>
      </c>
      <c r="DK7">
        <v>37</v>
      </c>
      <c r="DL7">
        <v>3</v>
      </c>
      <c r="DM7">
        <v>77.486486486499999</v>
      </c>
      <c r="DN7">
        <v>109</v>
      </c>
      <c r="DO7">
        <v>0</v>
      </c>
      <c r="DP7">
        <v>145.30275229360001</v>
      </c>
      <c r="DQ7">
        <v>0</v>
      </c>
    </row>
    <row r="8" spans="2:121" x14ac:dyDescent="0.2">
      <c r="B8" t="s">
        <v>103</v>
      </c>
      <c r="C8">
        <v>248</v>
      </c>
      <c r="D8">
        <v>165</v>
      </c>
      <c r="F8" t="s">
        <v>27</v>
      </c>
      <c r="G8">
        <v>2094</v>
      </c>
      <c r="H8">
        <v>123.69149952239999</v>
      </c>
      <c r="I8">
        <v>6682</v>
      </c>
      <c r="J8">
        <v>1381</v>
      </c>
      <c r="K8">
        <v>9514</v>
      </c>
      <c r="L8">
        <v>2561</v>
      </c>
      <c r="M8">
        <v>912</v>
      </c>
      <c r="N8">
        <v>475</v>
      </c>
      <c r="O8">
        <v>588</v>
      </c>
      <c r="P8">
        <v>227</v>
      </c>
      <c r="Q8">
        <v>1</v>
      </c>
      <c r="R8">
        <v>65</v>
      </c>
      <c r="AH8" t="s">
        <v>411</v>
      </c>
      <c r="AI8">
        <v>7633</v>
      </c>
      <c r="AJ8">
        <v>393.525350452</v>
      </c>
      <c r="AK8">
        <v>7238</v>
      </c>
      <c r="AL8">
        <v>2031</v>
      </c>
      <c r="AM8">
        <v>10380</v>
      </c>
      <c r="AN8">
        <v>6686</v>
      </c>
      <c r="AO8">
        <v>2111</v>
      </c>
      <c r="AP8">
        <v>1728</v>
      </c>
      <c r="AQ8">
        <v>4425</v>
      </c>
      <c r="AR8">
        <v>3142</v>
      </c>
      <c r="AS8">
        <v>7</v>
      </c>
      <c r="AT8">
        <v>73</v>
      </c>
      <c r="AV8" t="s">
        <v>417</v>
      </c>
      <c r="AW8">
        <v>70</v>
      </c>
      <c r="AX8">
        <v>40.128571428599997</v>
      </c>
      <c r="AY8">
        <v>280</v>
      </c>
      <c r="AZ8">
        <v>9</v>
      </c>
      <c r="BA8">
        <v>131</v>
      </c>
      <c r="BB8">
        <v>9</v>
      </c>
      <c r="BC8">
        <v>1</v>
      </c>
      <c r="BD8">
        <v>1</v>
      </c>
      <c r="BE8">
        <v>7</v>
      </c>
      <c r="BF8">
        <v>6</v>
      </c>
      <c r="BG8">
        <v>204</v>
      </c>
      <c r="BH8">
        <v>39</v>
      </c>
      <c r="BJ8" t="s">
        <v>627</v>
      </c>
      <c r="BK8" t="s">
        <v>393</v>
      </c>
      <c r="BL8">
        <v>18056</v>
      </c>
      <c r="BM8">
        <v>4453</v>
      </c>
      <c r="BN8">
        <v>108.4995015507</v>
      </c>
      <c r="BO8">
        <v>50195</v>
      </c>
      <c r="BP8">
        <v>2127</v>
      </c>
      <c r="BQ8">
        <v>212.77035561310001</v>
      </c>
      <c r="BR8">
        <v>206.5787494123</v>
      </c>
      <c r="BS8">
        <v>13354</v>
      </c>
      <c r="BT8">
        <v>2853</v>
      </c>
      <c r="BU8">
        <v>101.6237831361</v>
      </c>
      <c r="BV8">
        <v>36053</v>
      </c>
      <c r="BW8">
        <v>1356</v>
      </c>
      <c r="BX8">
        <v>212.59057498679999</v>
      </c>
      <c r="BY8">
        <v>207.6592920354</v>
      </c>
      <c r="CA8" t="s">
        <v>411</v>
      </c>
      <c r="CB8" t="s">
        <v>775</v>
      </c>
      <c r="CC8" t="s">
        <v>1003</v>
      </c>
      <c r="CD8">
        <v>6789</v>
      </c>
      <c r="CE8">
        <v>1968</v>
      </c>
      <c r="CF8">
        <v>112.9885108263</v>
      </c>
      <c r="CG8">
        <v>22648</v>
      </c>
      <c r="CH8">
        <v>1192</v>
      </c>
      <c r="CI8">
        <v>187.6948516425</v>
      </c>
      <c r="CJ8">
        <v>171.70637583889999</v>
      </c>
      <c r="CL8" t="s">
        <v>411</v>
      </c>
      <c r="CM8" t="s">
        <v>756</v>
      </c>
      <c r="CN8" t="s">
        <v>757</v>
      </c>
      <c r="CO8">
        <v>288</v>
      </c>
      <c r="CP8">
        <v>25</v>
      </c>
      <c r="CQ8">
        <v>58.993055555600002</v>
      </c>
      <c r="CR8">
        <v>2079</v>
      </c>
      <c r="CS8">
        <v>111</v>
      </c>
      <c r="CT8">
        <v>61.590668590699998</v>
      </c>
      <c r="CU8">
        <v>73.981981981999994</v>
      </c>
      <c r="CW8" t="s">
        <v>411</v>
      </c>
      <c r="CX8" t="s">
        <v>766</v>
      </c>
      <c r="CY8" t="s">
        <v>767</v>
      </c>
      <c r="CZ8">
        <v>228</v>
      </c>
      <c r="DA8">
        <v>41</v>
      </c>
      <c r="DB8">
        <v>73.754385964899996</v>
      </c>
      <c r="DC8">
        <v>786</v>
      </c>
      <c r="DD8">
        <v>28</v>
      </c>
      <c r="DE8">
        <v>121.1666666667</v>
      </c>
      <c r="DF8">
        <v>110.4642857143</v>
      </c>
      <c r="DH8" t="s">
        <v>411</v>
      </c>
      <c r="DI8" t="s">
        <v>746</v>
      </c>
      <c r="DJ8" t="s">
        <v>747</v>
      </c>
      <c r="DK8">
        <v>388</v>
      </c>
      <c r="DL8">
        <v>22</v>
      </c>
      <c r="DM8">
        <v>59.432989690699998</v>
      </c>
      <c r="DN8">
        <v>1126</v>
      </c>
      <c r="DO8">
        <v>29</v>
      </c>
      <c r="DP8">
        <v>154.0523978686</v>
      </c>
      <c r="DQ8">
        <v>105.3793103448</v>
      </c>
    </row>
    <row r="9" spans="2:121" x14ac:dyDescent="0.2">
      <c r="B9" t="s">
        <v>95</v>
      </c>
      <c r="C9">
        <v>13</v>
      </c>
      <c r="D9">
        <v>5</v>
      </c>
      <c r="F9" t="s">
        <v>24</v>
      </c>
      <c r="G9">
        <v>1065</v>
      </c>
      <c r="H9">
        <v>80.884507042300001</v>
      </c>
      <c r="I9">
        <v>4300</v>
      </c>
      <c r="J9">
        <v>982</v>
      </c>
      <c r="K9">
        <v>1885</v>
      </c>
      <c r="L9">
        <v>353</v>
      </c>
      <c r="M9">
        <v>268</v>
      </c>
      <c r="N9">
        <v>55</v>
      </c>
      <c r="O9">
        <v>470</v>
      </c>
      <c r="P9">
        <v>315</v>
      </c>
      <c r="Q9">
        <v>0</v>
      </c>
      <c r="R9">
        <v>0</v>
      </c>
      <c r="AH9" t="s">
        <v>381</v>
      </c>
      <c r="AI9">
        <v>1817</v>
      </c>
      <c r="AJ9">
        <v>268.417721519</v>
      </c>
      <c r="AK9">
        <v>1826</v>
      </c>
      <c r="AL9">
        <v>384</v>
      </c>
      <c r="AM9">
        <v>3537</v>
      </c>
      <c r="AN9">
        <v>1721</v>
      </c>
      <c r="AO9">
        <v>397</v>
      </c>
      <c r="AP9">
        <v>282</v>
      </c>
      <c r="AQ9">
        <v>813</v>
      </c>
      <c r="AR9">
        <v>504</v>
      </c>
      <c r="AS9">
        <v>228</v>
      </c>
      <c r="AT9">
        <v>3</v>
      </c>
      <c r="AV9" t="s">
        <v>425</v>
      </c>
      <c r="AW9">
        <v>31</v>
      </c>
      <c r="AX9">
        <v>98.774193548400007</v>
      </c>
      <c r="AY9">
        <v>25</v>
      </c>
      <c r="AZ9">
        <v>6</v>
      </c>
      <c r="BA9">
        <v>41</v>
      </c>
      <c r="BB9">
        <v>14</v>
      </c>
      <c r="BC9">
        <v>2</v>
      </c>
      <c r="BD9">
        <v>2</v>
      </c>
      <c r="BE9">
        <v>6</v>
      </c>
      <c r="BF9">
        <v>1</v>
      </c>
      <c r="BG9">
        <v>6</v>
      </c>
      <c r="BH9">
        <v>6</v>
      </c>
      <c r="BJ9" t="s">
        <v>563</v>
      </c>
      <c r="BK9" t="s">
        <v>393</v>
      </c>
      <c r="BL9">
        <v>4365</v>
      </c>
      <c r="BM9">
        <v>1423</v>
      </c>
      <c r="BN9">
        <v>129.7910652921</v>
      </c>
      <c r="BO9">
        <v>15427</v>
      </c>
      <c r="BP9">
        <v>622</v>
      </c>
      <c r="BQ9">
        <v>239.34420172419999</v>
      </c>
      <c r="BR9">
        <v>209.97909967850001</v>
      </c>
      <c r="BS9">
        <v>4661</v>
      </c>
      <c r="BT9">
        <v>1472</v>
      </c>
      <c r="BU9">
        <v>122.2808410212</v>
      </c>
      <c r="BV9">
        <v>14667</v>
      </c>
      <c r="BW9">
        <v>717</v>
      </c>
      <c r="BX9">
        <v>230.5660325902</v>
      </c>
      <c r="BY9">
        <v>192.5774058577</v>
      </c>
      <c r="CA9" t="s">
        <v>395</v>
      </c>
      <c r="CB9" t="s">
        <v>775</v>
      </c>
      <c r="CC9" t="s">
        <v>1004</v>
      </c>
      <c r="CD9">
        <v>6048</v>
      </c>
      <c r="CE9">
        <v>1243</v>
      </c>
      <c r="CF9">
        <v>96.007771164000005</v>
      </c>
      <c r="CG9">
        <v>18637</v>
      </c>
      <c r="CH9">
        <v>745</v>
      </c>
      <c r="CI9">
        <v>178.02151633849999</v>
      </c>
      <c r="CJ9">
        <v>171.49127516780001</v>
      </c>
      <c r="CL9" t="s">
        <v>395</v>
      </c>
      <c r="CM9" t="s">
        <v>756</v>
      </c>
      <c r="CN9" t="s">
        <v>758</v>
      </c>
      <c r="CO9">
        <v>340</v>
      </c>
      <c r="CP9">
        <v>28</v>
      </c>
      <c r="CQ9">
        <v>58.1</v>
      </c>
      <c r="CR9">
        <v>2933</v>
      </c>
      <c r="CS9">
        <v>142</v>
      </c>
      <c r="CT9">
        <v>52.743266280299999</v>
      </c>
      <c r="CU9">
        <v>57.549295774599997</v>
      </c>
      <c r="CW9" t="s">
        <v>395</v>
      </c>
      <c r="CX9" t="s">
        <v>766</v>
      </c>
      <c r="CY9" t="s">
        <v>768</v>
      </c>
      <c r="CZ9">
        <v>68</v>
      </c>
      <c r="DA9">
        <v>10</v>
      </c>
      <c r="DB9">
        <v>67.941176470599999</v>
      </c>
      <c r="DC9">
        <v>246</v>
      </c>
      <c r="DD9">
        <v>9</v>
      </c>
      <c r="DE9">
        <v>132.6666666667</v>
      </c>
      <c r="DF9">
        <v>118.44444444440001</v>
      </c>
      <c r="DH9" t="s">
        <v>395</v>
      </c>
      <c r="DI9" t="s">
        <v>746</v>
      </c>
      <c r="DJ9" t="s">
        <v>748</v>
      </c>
      <c r="DK9">
        <v>134</v>
      </c>
      <c r="DL9">
        <v>8</v>
      </c>
      <c r="DM9">
        <v>55.298507462700002</v>
      </c>
      <c r="DN9">
        <v>471</v>
      </c>
      <c r="DO9">
        <v>16</v>
      </c>
      <c r="DP9">
        <v>154.195329087</v>
      </c>
      <c r="DQ9">
        <v>117</v>
      </c>
    </row>
    <row r="10" spans="2:121" x14ac:dyDescent="0.2">
      <c r="B10" t="s">
        <v>321</v>
      </c>
      <c r="C10">
        <v>2</v>
      </c>
      <c r="D10">
        <v>1</v>
      </c>
      <c r="F10" t="s">
        <v>62</v>
      </c>
      <c r="G10">
        <v>5600</v>
      </c>
      <c r="H10">
        <v>399.49250000000001</v>
      </c>
      <c r="I10">
        <v>5558</v>
      </c>
      <c r="J10">
        <v>1164</v>
      </c>
      <c r="K10">
        <v>7052</v>
      </c>
      <c r="L10">
        <v>4348</v>
      </c>
      <c r="M10">
        <v>601</v>
      </c>
      <c r="N10">
        <v>465</v>
      </c>
      <c r="O10">
        <v>958</v>
      </c>
      <c r="P10">
        <v>450</v>
      </c>
      <c r="Q10">
        <v>3</v>
      </c>
      <c r="R10">
        <v>304</v>
      </c>
      <c r="AH10" t="s">
        <v>431</v>
      </c>
      <c r="AI10">
        <v>1054</v>
      </c>
      <c r="AJ10">
        <v>358.1328273245</v>
      </c>
      <c r="AK10">
        <v>974</v>
      </c>
      <c r="AL10">
        <v>270</v>
      </c>
      <c r="AM10">
        <v>1269</v>
      </c>
      <c r="AN10">
        <v>697</v>
      </c>
      <c r="AO10">
        <v>66</v>
      </c>
      <c r="AP10">
        <v>50</v>
      </c>
      <c r="AQ10">
        <v>398</v>
      </c>
      <c r="AR10">
        <v>195</v>
      </c>
      <c r="AS10">
        <v>51</v>
      </c>
      <c r="AT10">
        <v>1</v>
      </c>
      <c r="AV10" t="s">
        <v>379</v>
      </c>
      <c r="AW10">
        <v>329</v>
      </c>
      <c r="AX10">
        <v>101.9878419453</v>
      </c>
      <c r="AY10">
        <v>446</v>
      </c>
      <c r="AZ10">
        <v>102</v>
      </c>
      <c r="BA10">
        <v>534</v>
      </c>
      <c r="BB10">
        <v>162</v>
      </c>
      <c r="BC10">
        <v>11</v>
      </c>
      <c r="BD10">
        <v>11</v>
      </c>
      <c r="BE10">
        <v>75</v>
      </c>
      <c r="BF10">
        <v>16</v>
      </c>
      <c r="BG10">
        <v>40</v>
      </c>
      <c r="BH10">
        <v>146</v>
      </c>
      <c r="BJ10" t="s">
        <v>615</v>
      </c>
      <c r="BK10" t="s">
        <v>393</v>
      </c>
      <c r="BL10">
        <v>3930</v>
      </c>
      <c r="BM10">
        <v>515</v>
      </c>
      <c r="BN10">
        <v>80.152926208699995</v>
      </c>
      <c r="BO10">
        <v>12793</v>
      </c>
      <c r="BP10">
        <v>459</v>
      </c>
      <c r="BQ10">
        <v>170.93324474319999</v>
      </c>
      <c r="BR10">
        <v>170.788671024</v>
      </c>
      <c r="BS10">
        <v>4270</v>
      </c>
      <c r="BT10">
        <v>824</v>
      </c>
      <c r="BU10">
        <v>90.030210772800004</v>
      </c>
      <c r="BV10">
        <v>15595</v>
      </c>
      <c r="BW10">
        <v>712</v>
      </c>
      <c r="BX10">
        <v>176.11240782300001</v>
      </c>
      <c r="BY10">
        <v>182.48735955059999</v>
      </c>
      <c r="CA10" t="s">
        <v>397</v>
      </c>
      <c r="CB10" t="s">
        <v>775</v>
      </c>
      <c r="CC10" t="s">
        <v>1005</v>
      </c>
      <c r="CD10">
        <v>4053</v>
      </c>
      <c r="CE10">
        <v>1037</v>
      </c>
      <c r="CF10">
        <v>108.8356772761</v>
      </c>
      <c r="CG10">
        <v>15158</v>
      </c>
      <c r="CH10">
        <v>617</v>
      </c>
      <c r="CI10">
        <v>221.21968597439999</v>
      </c>
      <c r="CJ10">
        <v>186.4181523501</v>
      </c>
      <c r="CL10" t="s">
        <v>397</v>
      </c>
      <c r="CM10" t="s">
        <v>756</v>
      </c>
      <c r="CN10" t="s">
        <v>759</v>
      </c>
      <c r="CO10">
        <v>302</v>
      </c>
      <c r="CP10">
        <v>27</v>
      </c>
      <c r="CQ10">
        <v>60.099337748300002</v>
      </c>
      <c r="CR10">
        <v>2095</v>
      </c>
      <c r="CS10">
        <v>117</v>
      </c>
      <c r="CT10">
        <v>60.606682577599997</v>
      </c>
      <c r="CU10">
        <v>73.205128205099996</v>
      </c>
      <c r="CW10" t="s">
        <v>397</v>
      </c>
      <c r="CX10" t="s">
        <v>766</v>
      </c>
      <c r="CY10" t="s">
        <v>769</v>
      </c>
      <c r="CZ10">
        <v>81</v>
      </c>
      <c r="DA10">
        <v>11</v>
      </c>
      <c r="DB10">
        <v>76.456790123499999</v>
      </c>
      <c r="DC10">
        <v>161</v>
      </c>
      <c r="DD10">
        <v>9</v>
      </c>
      <c r="DE10">
        <v>151.0683229814</v>
      </c>
      <c r="DF10">
        <v>154.6666666667</v>
      </c>
      <c r="DH10" t="s">
        <v>397</v>
      </c>
      <c r="DI10" t="s">
        <v>746</v>
      </c>
      <c r="DJ10" t="s">
        <v>749</v>
      </c>
      <c r="DK10">
        <v>78</v>
      </c>
      <c r="DL10">
        <v>11</v>
      </c>
      <c r="DM10">
        <v>74.423076923099998</v>
      </c>
      <c r="DN10">
        <v>227</v>
      </c>
      <c r="DO10">
        <v>11</v>
      </c>
      <c r="DP10">
        <v>128.76211453740001</v>
      </c>
      <c r="DQ10">
        <v>130.0909090909</v>
      </c>
    </row>
    <row r="11" spans="2:121" x14ac:dyDescent="0.2">
      <c r="B11" t="s">
        <v>127</v>
      </c>
      <c r="C11">
        <v>619</v>
      </c>
      <c r="D11">
        <v>344</v>
      </c>
      <c r="F11" t="s">
        <v>60</v>
      </c>
      <c r="G11">
        <v>12621</v>
      </c>
      <c r="H11">
        <v>364.93693051259999</v>
      </c>
      <c r="I11">
        <v>7617</v>
      </c>
      <c r="J11">
        <v>1053</v>
      </c>
      <c r="K11">
        <v>14167</v>
      </c>
      <c r="L11">
        <v>9896</v>
      </c>
      <c r="M11">
        <v>4259</v>
      </c>
      <c r="N11">
        <v>3914</v>
      </c>
      <c r="O11">
        <v>2208</v>
      </c>
      <c r="P11">
        <v>1618</v>
      </c>
      <c r="Q11">
        <v>3</v>
      </c>
      <c r="R11">
        <v>372</v>
      </c>
      <c r="AH11" t="s">
        <v>422</v>
      </c>
      <c r="AI11">
        <v>520</v>
      </c>
      <c r="AJ11">
        <v>486.15769230770002</v>
      </c>
      <c r="AK11">
        <v>476</v>
      </c>
      <c r="AL11">
        <v>128</v>
      </c>
      <c r="AM11">
        <v>709</v>
      </c>
      <c r="AN11">
        <v>473</v>
      </c>
      <c r="AO11">
        <v>134</v>
      </c>
      <c r="AP11">
        <v>110</v>
      </c>
      <c r="AQ11">
        <v>323</v>
      </c>
      <c r="AR11">
        <v>235</v>
      </c>
      <c r="AS11">
        <v>20</v>
      </c>
      <c r="AT11">
        <v>1</v>
      </c>
      <c r="AV11" t="s">
        <v>416</v>
      </c>
      <c r="AW11">
        <v>38</v>
      </c>
      <c r="AX11">
        <v>26.157894736799999</v>
      </c>
      <c r="AY11">
        <v>82</v>
      </c>
      <c r="AZ11">
        <v>3</v>
      </c>
      <c r="BA11">
        <v>59</v>
      </c>
      <c r="BC11">
        <v>1</v>
      </c>
      <c r="BD11">
        <v>1</v>
      </c>
      <c r="BE11">
        <v>0</v>
      </c>
      <c r="BG11">
        <v>68</v>
      </c>
      <c r="BH11">
        <v>8</v>
      </c>
      <c r="BJ11" t="s">
        <v>617</v>
      </c>
      <c r="BK11" t="s">
        <v>393</v>
      </c>
      <c r="BL11">
        <v>6705</v>
      </c>
      <c r="BM11">
        <v>1368</v>
      </c>
      <c r="BN11">
        <v>108.2158090977</v>
      </c>
      <c r="BO11">
        <v>22989</v>
      </c>
      <c r="BP11">
        <v>1368</v>
      </c>
      <c r="BQ11">
        <v>159.92922702160001</v>
      </c>
      <c r="BR11">
        <v>145.50657894739999</v>
      </c>
      <c r="BS11">
        <v>7673</v>
      </c>
      <c r="BT11">
        <v>2100</v>
      </c>
      <c r="BU11">
        <v>121.0574742604</v>
      </c>
      <c r="BV11">
        <v>32787</v>
      </c>
      <c r="BW11">
        <v>1784</v>
      </c>
      <c r="BX11">
        <v>175.3134779028</v>
      </c>
      <c r="BY11">
        <v>157.49887892379999</v>
      </c>
      <c r="CA11" t="s">
        <v>426</v>
      </c>
      <c r="CB11" t="s">
        <v>775</v>
      </c>
      <c r="CC11" t="s">
        <v>1006</v>
      </c>
      <c r="CD11">
        <v>971</v>
      </c>
      <c r="CE11">
        <v>99</v>
      </c>
      <c r="CF11">
        <v>71.521112255399999</v>
      </c>
      <c r="CG11">
        <v>3816</v>
      </c>
      <c r="CH11">
        <v>156</v>
      </c>
      <c r="CI11">
        <v>113.2610062893</v>
      </c>
      <c r="CJ11">
        <v>98.519230769200007</v>
      </c>
      <c r="CL11" t="s">
        <v>426</v>
      </c>
      <c r="CM11" t="s">
        <v>756</v>
      </c>
      <c r="CN11" t="s">
        <v>760</v>
      </c>
      <c r="CO11">
        <v>90</v>
      </c>
      <c r="CP11">
        <v>1</v>
      </c>
      <c r="CQ11">
        <v>42.4777777778</v>
      </c>
      <c r="CR11">
        <v>592</v>
      </c>
      <c r="CS11">
        <v>35</v>
      </c>
      <c r="CT11">
        <v>54.9983108108</v>
      </c>
      <c r="CU11">
        <v>74.1714285714</v>
      </c>
      <c r="CW11" t="s">
        <v>426</v>
      </c>
      <c r="CX11" t="s">
        <v>766</v>
      </c>
      <c r="CY11" t="s">
        <v>770</v>
      </c>
      <c r="CZ11">
        <v>20</v>
      </c>
      <c r="DA11">
        <v>4</v>
      </c>
      <c r="DB11">
        <v>72.3</v>
      </c>
      <c r="DC11">
        <v>82</v>
      </c>
      <c r="DD11">
        <v>1</v>
      </c>
      <c r="DE11">
        <v>129.01219512200001</v>
      </c>
      <c r="DF11">
        <v>66</v>
      </c>
      <c r="DH11" t="s">
        <v>426</v>
      </c>
      <c r="DI11" t="s">
        <v>746</v>
      </c>
      <c r="DJ11" t="s">
        <v>750</v>
      </c>
      <c r="DK11">
        <v>11</v>
      </c>
      <c r="DL11">
        <v>0</v>
      </c>
      <c r="DM11">
        <v>47.5454545455</v>
      </c>
      <c r="DN11">
        <v>58</v>
      </c>
      <c r="DO11">
        <v>3</v>
      </c>
      <c r="DP11">
        <v>169.31034482760001</v>
      </c>
      <c r="DQ11">
        <v>135.3333333333</v>
      </c>
    </row>
    <row r="12" spans="2:121" x14ac:dyDescent="0.2">
      <c r="B12" t="s">
        <v>100</v>
      </c>
      <c r="C12">
        <v>199</v>
      </c>
      <c r="D12">
        <v>97</v>
      </c>
      <c r="F12" t="s">
        <v>36</v>
      </c>
      <c r="G12">
        <v>8694</v>
      </c>
      <c r="H12">
        <v>658.12629399590003</v>
      </c>
      <c r="I12">
        <v>4922</v>
      </c>
      <c r="J12">
        <v>1077</v>
      </c>
      <c r="K12">
        <v>10047</v>
      </c>
      <c r="L12">
        <v>8134</v>
      </c>
      <c r="M12">
        <v>1005</v>
      </c>
      <c r="N12">
        <v>878</v>
      </c>
      <c r="O12">
        <v>5901</v>
      </c>
      <c r="P12">
        <v>5043</v>
      </c>
      <c r="Q12">
        <v>23</v>
      </c>
      <c r="R12">
        <v>6</v>
      </c>
      <c r="T12" t="s">
        <v>656</v>
      </c>
      <c r="U12" t="s">
        <v>313</v>
      </c>
      <c r="V12" t="s">
        <v>139</v>
      </c>
      <c r="W12" t="s">
        <v>220</v>
      </c>
      <c r="X12" t="s">
        <v>221</v>
      </c>
      <c r="Y12" t="s">
        <v>222</v>
      </c>
      <c r="Z12" t="s">
        <v>223</v>
      </c>
      <c r="AA12" t="s">
        <v>224</v>
      </c>
      <c r="AB12" t="s">
        <v>225</v>
      </c>
      <c r="AC12" t="s">
        <v>226</v>
      </c>
      <c r="AD12" t="s">
        <v>227</v>
      </c>
      <c r="AE12" t="s">
        <v>228</v>
      </c>
      <c r="AF12" t="s">
        <v>229</v>
      </c>
      <c r="AH12" t="s">
        <v>433</v>
      </c>
      <c r="AI12">
        <v>20473</v>
      </c>
      <c r="AJ12">
        <v>322.5872124261</v>
      </c>
      <c r="AK12">
        <v>24330</v>
      </c>
      <c r="AL12">
        <v>6807</v>
      </c>
      <c r="AM12">
        <v>28688</v>
      </c>
      <c r="AN12">
        <v>17107</v>
      </c>
      <c r="AO12">
        <v>3692</v>
      </c>
      <c r="AP12">
        <v>2631</v>
      </c>
      <c r="AQ12">
        <v>12501</v>
      </c>
      <c r="AR12">
        <v>6978</v>
      </c>
      <c r="AS12">
        <v>1509</v>
      </c>
      <c r="AT12">
        <v>258</v>
      </c>
      <c r="AV12" t="s">
        <v>433</v>
      </c>
      <c r="AW12">
        <v>2278</v>
      </c>
      <c r="AX12">
        <v>100.9086918349</v>
      </c>
      <c r="AY12">
        <v>2627</v>
      </c>
      <c r="AZ12">
        <v>653</v>
      </c>
      <c r="BA12">
        <v>3565</v>
      </c>
      <c r="BB12">
        <v>1021</v>
      </c>
      <c r="BC12">
        <v>94</v>
      </c>
      <c r="BD12">
        <v>88</v>
      </c>
      <c r="BE12">
        <v>343</v>
      </c>
      <c r="BF12">
        <v>81</v>
      </c>
      <c r="BG12">
        <v>295</v>
      </c>
      <c r="BH12">
        <v>669</v>
      </c>
      <c r="BJ12" t="s">
        <v>559</v>
      </c>
      <c r="BK12" t="s">
        <v>393</v>
      </c>
      <c r="BL12">
        <v>5875</v>
      </c>
      <c r="BM12">
        <v>1165</v>
      </c>
      <c r="BN12">
        <v>92.502638297900006</v>
      </c>
      <c r="BO12">
        <v>17005</v>
      </c>
      <c r="BP12">
        <v>656</v>
      </c>
      <c r="BQ12">
        <v>184.9192590415</v>
      </c>
      <c r="BR12">
        <v>181.9268292683</v>
      </c>
      <c r="BS12">
        <v>5466</v>
      </c>
      <c r="BT12">
        <v>755</v>
      </c>
      <c r="BU12">
        <v>79.347420417099997</v>
      </c>
      <c r="BV12">
        <v>12990</v>
      </c>
      <c r="BW12">
        <v>492</v>
      </c>
      <c r="BX12">
        <v>178.62294072360001</v>
      </c>
      <c r="BY12">
        <v>158.2784552846</v>
      </c>
      <c r="CA12" t="s">
        <v>420</v>
      </c>
      <c r="CB12" t="s">
        <v>775</v>
      </c>
      <c r="CC12" t="s">
        <v>1007</v>
      </c>
      <c r="CD12">
        <v>6662</v>
      </c>
      <c r="CE12">
        <v>1271</v>
      </c>
      <c r="CF12">
        <v>86.381116781700001</v>
      </c>
      <c r="CG12">
        <v>24173</v>
      </c>
      <c r="CH12">
        <v>1401</v>
      </c>
      <c r="CI12">
        <v>154.95639763369999</v>
      </c>
      <c r="CJ12">
        <v>132.727337616</v>
      </c>
      <c r="CL12" t="s">
        <v>420</v>
      </c>
      <c r="CM12" t="s">
        <v>756</v>
      </c>
      <c r="CN12" t="s">
        <v>761</v>
      </c>
      <c r="CO12">
        <v>405</v>
      </c>
      <c r="CP12">
        <v>31</v>
      </c>
      <c r="CQ12">
        <v>55.590123456800001</v>
      </c>
      <c r="CR12">
        <v>2946</v>
      </c>
      <c r="CS12">
        <v>170</v>
      </c>
      <c r="CT12">
        <v>61.088255261400001</v>
      </c>
      <c r="CU12">
        <v>62.358823529399999</v>
      </c>
      <c r="CW12" t="s">
        <v>420</v>
      </c>
      <c r="CX12" t="s">
        <v>766</v>
      </c>
      <c r="CY12" t="s">
        <v>771</v>
      </c>
      <c r="CZ12">
        <v>117</v>
      </c>
      <c r="DA12">
        <v>16</v>
      </c>
      <c r="DB12">
        <v>67.760683760700005</v>
      </c>
      <c r="DC12">
        <v>412</v>
      </c>
      <c r="DD12">
        <v>15</v>
      </c>
      <c r="DE12">
        <v>123.6601941748</v>
      </c>
      <c r="DF12">
        <v>92.666666666699996</v>
      </c>
      <c r="DH12" t="s">
        <v>420</v>
      </c>
      <c r="DI12" t="s">
        <v>746</v>
      </c>
      <c r="DJ12" t="s">
        <v>751</v>
      </c>
      <c r="DK12">
        <v>189</v>
      </c>
      <c r="DL12">
        <v>15</v>
      </c>
      <c r="DM12">
        <v>60.380952381</v>
      </c>
      <c r="DN12">
        <v>737</v>
      </c>
      <c r="DO12">
        <v>30</v>
      </c>
      <c r="DP12">
        <v>156.5956580733</v>
      </c>
      <c r="DQ12">
        <v>131.69999999999999</v>
      </c>
    </row>
    <row r="13" spans="2:121" x14ac:dyDescent="0.2">
      <c r="B13" t="s">
        <v>117</v>
      </c>
      <c r="C13">
        <v>6261</v>
      </c>
      <c r="D13">
        <v>224</v>
      </c>
      <c r="F13" t="s">
        <v>37</v>
      </c>
      <c r="G13">
        <v>297</v>
      </c>
      <c r="H13">
        <v>68.417508417500002</v>
      </c>
      <c r="I13">
        <v>1485</v>
      </c>
      <c r="J13">
        <v>292</v>
      </c>
      <c r="K13">
        <v>614</v>
      </c>
      <c r="L13">
        <v>74</v>
      </c>
      <c r="M13">
        <v>95</v>
      </c>
      <c r="N13">
        <v>16</v>
      </c>
      <c r="O13">
        <v>110</v>
      </c>
      <c r="P13">
        <v>42</v>
      </c>
      <c r="Q13">
        <v>0</v>
      </c>
      <c r="R13">
        <v>11</v>
      </c>
      <c r="T13" t="s">
        <v>393</v>
      </c>
      <c r="U13">
        <v>59381</v>
      </c>
      <c r="V13">
        <v>322.2499284283</v>
      </c>
      <c r="W13">
        <v>68531</v>
      </c>
      <c r="X13">
        <v>15939</v>
      </c>
      <c r="Y13">
        <v>92582</v>
      </c>
      <c r="Z13">
        <v>49193</v>
      </c>
      <c r="AA13">
        <v>13823</v>
      </c>
      <c r="AB13">
        <v>9757</v>
      </c>
      <c r="AC13">
        <v>17987</v>
      </c>
      <c r="AD13">
        <v>11492</v>
      </c>
      <c r="AE13">
        <v>97</v>
      </c>
      <c r="AF13">
        <v>1252</v>
      </c>
      <c r="AH13" t="s">
        <v>389</v>
      </c>
      <c r="AI13">
        <v>16609</v>
      </c>
      <c r="AJ13">
        <v>344.0939249804</v>
      </c>
      <c r="AK13">
        <v>18549</v>
      </c>
      <c r="AL13">
        <v>4030</v>
      </c>
      <c r="AM13">
        <v>24559</v>
      </c>
      <c r="AN13">
        <v>15195</v>
      </c>
      <c r="AO13">
        <v>5492</v>
      </c>
      <c r="AP13">
        <v>4445</v>
      </c>
      <c r="AQ13">
        <v>18472</v>
      </c>
      <c r="AR13">
        <v>9019</v>
      </c>
      <c r="AS13">
        <v>751</v>
      </c>
      <c r="AT13">
        <v>40</v>
      </c>
      <c r="AV13" t="s">
        <v>395</v>
      </c>
      <c r="AW13">
        <v>260</v>
      </c>
      <c r="AX13">
        <v>53.580769230800001</v>
      </c>
      <c r="AY13">
        <v>366</v>
      </c>
      <c r="AZ13">
        <v>22</v>
      </c>
      <c r="BA13">
        <v>432</v>
      </c>
      <c r="BB13">
        <v>32</v>
      </c>
      <c r="BC13">
        <v>5</v>
      </c>
      <c r="BD13">
        <v>5</v>
      </c>
      <c r="BE13">
        <v>21</v>
      </c>
      <c r="BF13">
        <v>6</v>
      </c>
      <c r="BG13">
        <v>223</v>
      </c>
      <c r="BH13">
        <v>29</v>
      </c>
      <c r="BJ13" t="s">
        <v>596</v>
      </c>
      <c r="BK13" t="s">
        <v>393</v>
      </c>
      <c r="BL13">
        <v>1916</v>
      </c>
      <c r="BM13">
        <v>416</v>
      </c>
      <c r="BN13">
        <v>93.159707724399993</v>
      </c>
      <c r="BO13">
        <v>5458</v>
      </c>
      <c r="BP13">
        <v>245</v>
      </c>
      <c r="BQ13">
        <v>148.02638329059999</v>
      </c>
      <c r="BR13">
        <v>157.96734693880001</v>
      </c>
      <c r="BS13">
        <v>4661</v>
      </c>
      <c r="BT13">
        <v>1227</v>
      </c>
      <c r="BU13">
        <v>107.46470714439999</v>
      </c>
      <c r="BV13">
        <v>12264</v>
      </c>
      <c r="BW13">
        <v>595</v>
      </c>
      <c r="BX13">
        <v>179.54729288979999</v>
      </c>
      <c r="BY13">
        <v>182.24873949580001</v>
      </c>
      <c r="CA13" t="s">
        <v>418</v>
      </c>
      <c r="CB13" t="s">
        <v>775</v>
      </c>
      <c r="CC13" t="s">
        <v>1008</v>
      </c>
      <c r="CD13">
        <v>36628</v>
      </c>
      <c r="CE13">
        <v>8547</v>
      </c>
      <c r="CF13">
        <v>102.81456808999999</v>
      </c>
      <c r="CG13">
        <v>115066</v>
      </c>
      <c r="CH13">
        <v>5506</v>
      </c>
      <c r="CI13">
        <v>189.5361531643</v>
      </c>
      <c r="CJ13">
        <v>177.43498002179999</v>
      </c>
      <c r="CL13" t="s">
        <v>418</v>
      </c>
      <c r="CM13" t="s">
        <v>756</v>
      </c>
      <c r="CN13" t="s">
        <v>762</v>
      </c>
      <c r="CO13">
        <v>1730</v>
      </c>
      <c r="CP13">
        <v>104</v>
      </c>
      <c r="CQ13">
        <v>54.760115606900001</v>
      </c>
      <c r="CR13">
        <v>11970</v>
      </c>
      <c r="CS13">
        <v>656</v>
      </c>
      <c r="CT13">
        <v>62.431495405200003</v>
      </c>
      <c r="CU13">
        <v>64.964939024399996</v>
      </c>
      <c r="CW13" t="s">
        <v>418</v>
      </c>
      <c r="CX13" t="s">
        <v>766</v>
      </c>
      <c r="CY13" t="s">
        <v>772</v>
      </c>
      <c r="CZ13">
        <v>938</v>
      </c>
      <c r="DA13">
        <v>114</v>
      </c>
      <c r="DB13">
        <v>67.1663113006</v>
      </c>
      <c r="DC13">
        <v>2806</v>
      </c>
      <c r="DD13">
        <v>129</v>
      </c>
      <c r="DE13">
        <v>134.00035637920001</v>
      </c>
      <c r="DF13">
        <v>119.8992248062</v>
      </c>
      <c r="DH13" t="s">
        <v>418</v>
      </c>
      <c r="DI13" t="s">
        <v>746</v>
      </c>
      <c r="DJ13" t="s">
        <v>752</v>
      </c>
      <c r="DK13">
        <v>1004</v>
      </c>
      <c r="DL13">
        <v>105</v>
      </c>
      <c r="DM13">
        <v>69.5498007968</v>
      </c>
      <c r="DN13">
        <v>3224</v>
      </c>
      <c r="DO13">
        <v>109</v>
      </c>
      <c r="DP13">
        <v>163.435483871</v>
      </c>
      <c r="DQ13">
        <v>137.7431192661</v>
      </c>
    </row>
    <row r="14" spans="2:121" x14ac:dyDescent="0.2">
      <c r="B14" t="s">
        <v>134</v>
      </c>
      <c r="C14">
        <v>988</v>
      </c>
      <c r="D14">
        <v>115</v>
      </c>
      <c r="F14" t="s">
        <v>41</v>
      </c>
      <c r="G14">
        <v>6833</v>
      </c>
      <c r="H14">
        <v>518.51470803450002</v>
      </c>
      <c r="I14">
        <v>8482</v>
      </c>
      <c r="J14">
        <v>1959</v>
      </c>
      <c r="K14">
        <v>9160</v>
      </c>
      <c r="L14">
        <v>7023</v>
      </c>
      <c r="M14">
        <v>1497</v>
      </c>
      <c r="N14">
        <v>1428</v>
      </c>
      <c r="O14">
        <v>6857</v>
      </c>
      <c r="P14">
        <v>4005</v>
      </c>
      <c r="Q14">
        <v>14</v>
      </c>
      <c r="R14">
        <v>340</v>
      </c>
      <c r="T14" t="s">
        <v>398</v>
      </c>
      <c r="U14">
        <v>47761</v>
      </c>
      <c r="V14">
        <v>380.8366449614</v>
      </c>
      <c r="W14">
        <v>56721</v>
      </c>
      <c r="X14">
        <v>12506</v>
      </c>
      <c r="Y14">
        <v>77435</v>
      </c>
      <c r="Z14">
        <v>39508</v>
      </c>
      <c r="AA14">
        <v>9788</v>
      </c>
      <c r="AB14">
        <v>7945</v>
      </c>
      <c r="AC14">
        <v>22566</v>
      </c>
      <c r="AD14">
        <v>16163</v>
      </c>
      <c r="AE14">
        <v>184</v>
      </c>
      <c r="AF14">
        <v>1176</v>
      </c>
      <c r="AH14" t="s">
        <v>436</v>
      </c>
      <c r="AI14">
        <v>1853</v>
      </c>
      <c r="AJ14">
        <v>268.06799784129998</v>
      </c>
      <c r="AK14">
        <v>2102</v>
      </c>
      <c r="AL14">
        <v>395</v>
      </c>
      <c r="AM14">
        <v>2610</v>
      </c>
      <c r="AN14">
        <v>1425</v>
      </c>
      <c r="AO14">
        <v>371</v>
      </c>
      <c r="AP14">
        <v>296</v>
      </c>
      <c r="AQ14">
        <v>309</v>
      </c>
      <c r="AR14">
        <v>179</v>
      </c>
      <c r="AS14">
        <v>6</v>
      </c>
      <c r="AT14">
        <v>2</v>
      </c>
      <c r="AV14" t="s">
        <v>401</v>
      </c>
      <c r="AW14">
        <v>170</v>
      </c>
      <c r="AX14">
        <v>76.117647058800003</v>
      </c>
      <c r="AY14">
        <v>356</v>
      </c>
      <c r="AZ14">
        <v>23</v>
      </c>
      <c r="BA14">
        <v>334</v>
      </c>
      <c r="BB14">
        <v>47</v>
      </c>
      <c r="BC14">
        <v>5</v>
      </c>
      <c r="BD14">
        <v>4</v>
      </c>
      <c r="BE14">
        <v>40</v>
      </c>
      <c r="BF14">
        <v>4</v>
      </c>
      <c r="BG14">
        <v>315</v>
      </c>
      <c r="BH14">
        <v>35</v>
      </c>
      <c r="BJ14" t="s">
        <v>613</v>
      </c>
      <c r="BK14" t="s">
        <v>393</v>
      </c>
      <c r="BL14">
        <v>17403</v>
      </c>
      <c r="BM14">
        <v>3846</v>
      </c>
      <c r="BN14">
        <v>96.810894673299998</v>
      </c>
      <c r="BO14">
        <v>56231</v>
      </c>
      <c r="BP14">
        <v>2996</v>
      </c>
      <c r="BQ14">
        <v>187.5589265708</v>
      </c>
      <c r="BR14">
        <v>172.1188251001</v>
      </c>
      <c r="BS14">
        <v>16919</v>
      </c>
      <c r="BT14">
        <v>3678</v>
      </c>
      <c r="BU14">
        <v>95.473373130799999</v>
      </c>
      <c r="BV14">
        <v>55545</v>
      </c>
      <c r="BW14">
        <v>2833</v>
      </c>
      <c r="BX14">
        <v>189.70351966870001</v>
      </c>
      <c r="BY14">
        <v>173.81891987290001</v>
      </c>
      <c r="CA14" t="s">
        <v>414</v>
      </c>
      <c r="CB14" t="s">
        <v>775</v>
      </c>
      <c r="CC14" t="s">
        <v>1009</v>
      </c>
      <c r="CD14">
        <v>1862</v>
      </c>
      <c r="CE14">
        <v>435</v>
      </c>
      <c r="CF14">
        <v>98.017185821699996</v>
      </c>
      <c r="CG14">
        <v>5396</v>
      </c>
      <c r="CH14">
        <v>237</v>
      </c>
      <c r="CI14">
        <v>147.3383988139</v>
      </c>
      <c r="CJ14">
        <v>148.54852320680001</v>
      </c>
      <c r="CL14" t="s">
        <v>414</v>
      </c>
      <c r="CM14" t="s">
        <v>756</v>
      </c>
      <c r="CN14" t="s">
        <v>763</v>
      </c>
      <c r="CO14">
        <v>162</v>
      </c>
      <c r="CP14">
        <v>9</v>
      </c>
      <c r="CQ14">
        <v>47.549382715999997</v>
      </c>
      <c r="CR14">
        <v>1176</v>
      </c>
      <c r="CS14">
        <v>58</v>
      </c>
      <c r="CT14">
        <v>65.503401360500007</v>
      </c>
      <c r="CU14">
        <v>62.6034482759</v>
      </c>
      <c r="CW14" t="s">
        <v>414</v>
      </c>
      <c r="CX14" t="s">
        <v>766</v>
      </c>
      <c r="CY14" t="s">
        <v>773</v>
      </c>
      <c r="CZ14">
        <v>64</v>
      </c>
      <c r="DA14">
        <v>11</v>
      </c>
      <c r="DB14">
        <v>76.96875</v>
      </c>
      <c r="DC14">
        <v>211</v>
      </c>
      <c r="DD14">
        <v>6</v>
      </c>
      <c r="DE14">
        <v>131.20379146920001</v>
      </c>
      <c r="DF14">
        <v>108.3333333333</v>
      </c>
      <c r="DH14" t="s">
        <v>414</v>
      </c>
      <c r="DI14" t="s">
        <v>746</v>
      </c>
      <c r="DJ14" t="s">
        <v>753</v>
      </c>
      <c r="DK14">
        <v>74</v>
      </c>
      <c r="DL14">
        <v>5</v>
      </c>
      <c r="DM14">
        <v>57.202702702700002</v>
      </c>
      <c r="DN14">
        <v>208</v>
      </c>
      <c r="DO14">
        <v>13</v>
      </c>
      <c r="DP14">
        <v>157.12019230769999</v>
      </c>
      <c r="DQ14">
        <v>119.4615384615</v>
      </c>
    </row>
    <row r="15" spans="2:121" x14ac:dyDescent="0.2">
      <c r="B15" t="s">
        <v>124</v>
      </c>
      <c r="C15">
        <v>26</v>
      </c>
      <c r="D15">
        <v>2</v>
      </c>
      <c r="F15" t="s">
        <v>39</v>
      </c>
      <c r="G15">
        <v>529</v>
      </c>
      <c r="H15">
        <v>260.97920604910001</v>
      </c>
      <c r="I15">
        <v>833</v>
      </c>
      <c r="J15">
        <v>145</v>
      </c>
      <c r="K15">
        <v>791</v>
      </c>
      <c r="L15">
        <v>357</v>
      </c>
      <c r="M15">
        <v>60</v>
      </c>
      <c r="N15">
        <v>46</v>
      </c>
      <c r="O15">
        <v>124</v>
      </c>
      <c r="P15">
        <v>35</v>
      </c>
      <c r="Q15">
        <v>3</v>
      </c>
      <c r="R15">
        <v>6</v>
      </c>
      <c r="T15" t="s">
        <v>377</v>
      </c>
      <c r="U15">
        <v>107080</v>
      </c>
      <c r="V15">
        <v>428.96652969740001</v>
      </c>
      <c r="W15">
        <v>80828</v>
      </c>
      <c r="X15">
        <v>18752</v>
      </c>
      <c r="Y15">
        <v>137907</v>
      </c>
      <c r="Z15">
        <v>96370</v>
      </c>
      <c r="AA15">
        <v>21817</v>
      </c>
      <c r="AB15">
        <v>16694</v>
      </c>
      <c r="AC15">
        <v>35401</v>
      </c>
      <c r="AD15">
        <v>24900</v>
      </c>
      <c r="AE15">
        <v>9204</v>
      </c>
      <c r="AF15">
        <v>97</v>
      </c>
      <c r="AH15" t="s">
        <v>416</v>
      </c>
      <c r="AI15">
        <v>900</v>
      </c>
      <c r="AJ15">
        <v>266.07666666670002</v>
      </c>
      <c r="AK15">
        <v>1674</v>
      </c>
      <c r="AL15">
        <v>321</v>
      </c>
      <c r="AM15">
        <v>1437</v>
      </c>
      <c r="AN15">
        <v>627</v>
      </c>
      <c r="AO15">
        <v>206</v>
      </c>
      <c r="AP15">
        <v>110</v>
      </c>
      <c r="AQ15">
        <v>298</v>
      </c>
      <c r="AR15">
        <v>140</v>
      </c>
      <c r="AS15">
        <v>1</v>
      </c>
      <c r="AT15">
        <v>12</v>
      </c>
      <c r="AV15" t="s">
        <v>420</v>
      </c>
      <c r="AW15">
        <v>83</v>
      </c>
      <c r="AX15">
        <v>44.084337349400002</v>
      </c>
      <c r="AY15">
        <v>232</v>
      </c>
      <c r="AZ15">
        <v>10</v>
      </c>
      <c r="BA15">
        <v>158</v>
      </c>
      <c r="BB15">
        <v>7</v>
      </c>
      <c r="BC15">
        <v>2</v>
      </c>
      <c r="BD15">
        <v>2</v>
      </c>
      <c r="BE15">
        <v>15</v>
      </c>
      <c r="BF15">
        <v>5</v>
      </c>
      <c r="BG15">
        <v>337</v>
      </c>
      <c r="BH15">
        <v>63</v>
      </c>
      <c r="BJ15" t="s">
        <v>575</v>
      </c>
      <c r="BK15" t="s">
        <v>398</v>
      </c>
      <c r="BL15">
        <v>6508</v>
      </c>
      <c r="BM15">
        <v>1853</v>
      </c>
      <c r="BN15">
        <v>115.0382606023</v>
      </c>
      <c r="BO15">
        <v>23502</v>
      </c>
      <c r="BP15">
        <v>1092</v>
      </c>
      <c r="BQ15">
        <v>226.61471364139999</v>
      </c>
      <c r="BR15">
        <v>182.8928571429</v>
      </c>
      <c r="BS15">
        <v>4626</v>
      </c>
      <c r="BT15">
        <v>1118</v>
      </c>
      <c r="BU15">
        <v>99.388456549899999</v>
      </c>
      <c r="BV15">
        <v>15091</v>
      </c>
      <c r="BW15">
        <v>662</v>
      </c>
      <c r="BX15">
        <v>240.14094493409999</v>
      </c>
      <c r="BY15">
        <v>171.6555891239</v>
      </c>
      <c r="CA15" t="s">
        <v>429</v>
      </c>
      <c r="CB15" t="s">
        <v>775</v>
      </c>
      <c r="CC15" t="s">
        <v>1010</v>
      </c>
      <c r="CD15">
        <v>901</v>
      </c>
      <c r="CE15">
        <v>180</v>
      </c>
      <c r="CF15">
        <v>90.679245283</v>
      </c>
      <c r="CG15">
        <v>2994</v>
      </c>
      <c r="CH15">
        <v>135</v>
      </c>
      <c r="CI15">
        <v>138.6633266533</v>
      </c>
      <c r="CJ15">
        <v>167.2962962963</v>
      </c>
      <c r="CL15" t="s">
        <v>429</v>
      </c>
      <c r="CM15" t="s">
        <v>756</v>
      </c>
      <c r="CN15" t="s">
        <v>764</v>
      </c>
      <c r="CO15">
        <v>31</v>
      </c>
      <c r="CP15">
        <v>2</v>
      </c>
      <c r="CQ15">
        <v>51.096774193500003</v>
      </c>
      <c r="CR15">
        <v>284</v>
      </c>
      <c r="CS15">
        <v>16</v>
      </c>
      <c r="CT15">
        <v>67.397887323899994</v>
      </c>
      <c r="CU15">
        <v>60.625</v>
      </c>
      <c r="CW15" t="s">
        <v>429</v>
      </c>
      <c r="CX15" t="s">
        <v>766</v>
      </c>
      <c r="CY15" t="s">
        <v>774</v>
      </c>
      <c r="CZ15">
        <v>19</v>
      </c>
      <c r="DA15">
        <v>4</v>
      </c>
      <c r="DB15">
        <v>78.105263157899998</v>
      </c>
      <c r="DC15">
        <v>34</v>
      </c>
      <c r="DD15">
        <v>0</v>
      </c>
      <c r="DE15">
        <v>128.4705882353</v>
      </c>
      <c r="DF15">
        <v>0</v>
      </c>
      <c r="DH15" t="s">
        <v>429</v>
      </c>
      <c r="DI15" t="s">
        <v>746</v>
      </c>
      <c r="DJ15" t="s">
        <v>754</v>
      </c>
      <c r="DK15">
        <v>14</v>
      </c>
      <c r="DL15">
        <v>1</v>
      </c>
      <c r="DM15">
        <v>63.857142857100001</v>
      </c>
      <c r="DN15">
        <v>52</v>
      </c>
      <c r="DO15">
        <v>3</v>
      </c>
      <c r="DP15">
        <v>127.23076923079999</v>
      </c>
      <c r="DQ15">
        <v>91</v>
      </c>
    </row>
    <row r="16" spans="2:121" x14ac:dyDescent="0.2">
      <c r="B16" t="s">
        <v>984</v>
      </c>
      <c r="C16">
        <v>6</v>
      </c>
      <c r="F16" t="s">
        <v>64</v>
      </c>
      <c r="G16">
        <v>1051</v>
      </c>
      <c r="H16">
        <v>85.555661275000006</v>
      </c>
      <c r="I16">
        <v>2649</v>
      </c>
      <c r="J16">
        <v>517</v>
      </c>
      <c r="K16">
        <v>1942</v>
      </c>
      <c r="L16">
        <v>423</v>
      </c>
      <c r="M16">
        <v>714</v>
      </c>
      <c r="N16">
        <v>253</v>
      </c>
      <c r="O16">
        <v>2709</v>
      </c>
      <c r="P16">
        <v>1445</v>
      </c>
      <c r="Q16">
        <v>0</v>
      </c>
      <c r="R16">
        <v>1</v>
      </c>
      <c r="T16" t="s">
        <v>8</v>
      </c>
      <c r="U16">
        <v>50</v>
      </c>
      <c r="V16">
        <v>809.88</v>
      </c>
      <c r="W16">
        <v>1</v>
      </c>
      <c r="Y16">
        <v>51</v>
      </c>
      <c r="Z16">
        <v>51</v>
      </c>
      <c r="AA16">
        <v>2</v>
      </c>
      <c r="AB16">
        <v>1</v>
      </c>
      <c r="AC16">
        <v>21347</v>
      </c>
      <c r="AD16">
        <v>7219</v>
      </c>
      <c r="AE16">
        <v>0</v>
      </c>
      <c r="AF16">
        <v>0</v>
      </c>
      <c r="AH16" t="s">
        <v>402</v>
      </c>
      <c r="AI16">
        <v>7595</v>
      </c>
      <c r="AJ16">
        <v>489.25082290979998</v>
      </c>
      <c r="AK16">
        <v>7283</v>
      </c>
      <c r="AL16">
        <v>2021</v>
      </c>
      <c r="AM16">
        <v>10341</v>
      </c>
      <c r="AN16">
        <v>6921</v>
      </c>
      <c r="AO16">
        <v>1475</v>
      </c>
      <c r="AP16">
        <v>1359</v>
      </c>
      <c r="AQ16">
        <v>2662</v>
      </c>
      <c r="AR16">
        <v>1857</v>
      </c>
      <c r="AS16">
        <v>22</v>
      </c>
      <c r="AT16">
        <v>284</v>
      </c>
      <c r="AV16" t="s">
        <v>383</v>
      </c>
      <c r="AW16">
        <v>1463</v>
      </c>
      <c r="AX16">
        <v>99.390293916600001</v>
      </c>
      <c r="AY16">
        <v>1864</v>
      </c>
      <c r="AZ16">
        <v>519</v>
      </c>
      <c r="BA16">
        <v>2318</v>
      </c>
      <c r="BB16">
        <v>641</v>
      </c>
      <c r="BC16">
        <v>47</v>
      </c>
      <c r="BD16">
        <v>45</v>
      </c>
      <c r="BE16">
        <v>282</v>
      </c>
      <c r="BF16">
        <v>59</v>
      </c>
      <c r="BG16">
        <v>113</v>
      </c>
      <c r="BH16">
        <v>421</v>
      </c>
      <c r="BJ16" t="s">
        <v>567</v>
      </c>
      <c r="BK16" t="s">
        <v>398</v>
      </c>
      <c r="BL16">
        <v>8710</v>
      </c>
      <c r="BM16">
        <v>2005</v>
      </c>
      <c r="BN16">
        <v>99.249138920799993</v>
      </c>
      <c r="BO16">
        <v>29056</v>
      </c>
      <c r="BP16">
        <v>1469</v>
      </c>
      <c r="BQ16">
        <v>161.33029322690001</v>
      </c>
      <c r="BR16">
        <v>141.1327433628</v>
      </c>
      <c r="BS16">
        <v>9783</v>
      </c>
      <c r="BT16">
        <v>3015</v>
      </c>
      <c r="BU16">
        <v>118.4750076664</v>
      </c>
      <c r="BV16">
        <v>37391</v>
      </c>
      <c r="BW16">
        <v>1819</v>
      </c>
      <c r="BX16">
        <v>178.3899868952</v>
      </c>
      <c r="BY16">
        <v>167.62946674</v>
      </c>
      <c r="CA16" t="s">
        <v>393</v>
      </c>
      <c r="CB16" t="s">
        <v>775</v>
      </c>
      <c r="CD16">
        <v>67882</v>
      </c>
      <c r="CE16">
        <v>15313</v>
      </c>
      <c r="CF16">
        <v>99.987080522100001</v>
      </c>
      <c r="CG16">
        <v>221205</v>
      </c>
      <c r="CH16">
        <v>10476</v>
      </c>
      <c r="CI16">
        <v>182.4322189824</v>
      </c>
      <c r="CJ16">
        <v>168.28570064909999</v>
      </c>
      <c r="CL16" t="s">
        <v>393</v>
      </c>
      <c r="CM16" t="s">
        <v>756</v>
      </c>
      <c r="CO16">
        <v>3576</v>
      </c>
      <c r="CP16">
        <v>243</v>
      </c>
      <c r="CQ16">
        <v>55.282158836699999</v>
      </c>
      <c r="CR16">
        <v>26039</v>
      </c>
      <c r="CS16">
        <v>1396</v>
      </c>
      <c r="CT16">
        <v>60.086101616800001</v>
      </c>
      <c r="CU16">
        <v>65.160458452699999</v>
      </c>
      <c r="CW16" t="s">
        <v>393</v>
      </c>
      <c r="CX16" t="s">
        <v>766</v>
      </c>
      <c r="CZ16">
        <v>1575</v>
      </c>
      <c r="DA16">
        <v>214</v>
      </c>
      <c r="DB16">
        <v>69.123174603199999</v>
      </c>
      <c r="DC16">
        <v>4876</v>
      </c>
      <c r="DD16">
        <v>201</v>
      </c>
      <c r="DE16">
        <v>131.35418375719999</v>
      </c>
      <c r="DF16">
        <v>117.592039801</v>
      </c>
      <c r="DH16" t="s">
        <v>393</v>
      </c>
      <c r="DI16" t="s">
        <v>746</v>
      </c>
      <c r="DK16">
        <v>1929</v>
      </c>
      <c r="DL16">
        <v>170</v>
      </c>
      <c r="DM16">
        <v>65.335406946600003</v>
      </c>
      <c r="DN16">
        <v>6212</v>
      </c>
      <c r="DO16">
        <v>214</v>
      </c>
      <c r="DP16">
        <v>158.1777205409</v>
      </c>
      <c r="DQ16">
        <v>128.76635514020001</v>
      </c>
    </row>
    <row r="17" spans="2:121" x14ac:dyDescent="0.2">
      <c r="B17" t="s">
        <v>125</v>
      </c>
      <c r="C17">
        <v>150</v>
      </c>
      <c r="D17">
        <v>128</v>
      </c>
      <c r="F17" t="s">
        <v>86</v>
      </c>
      <c r="G17">
        <v>16687</v>
      </c>
      <c r="H17">
        <v>295.0246299515</v>
      </c>
      <c r="I17">
        <v>24921</v>
      </c>
      <c r="J17">
        <v>5617</v>
      </c>
      <c r="K17">
        <v>27245</v>
      </c>
      <c r="L17">
        <v>13892</v>
      </c>
      <c r="M17">
        <v>4995</v>
      </c>
      <c r="N17">
        <v>3963</v>
      </c>
      <c r="O17">
        <v>6702</v>
      </c>
      <c r="P17">
        <v>4302</v>
      </c>
      <c r="Q17">
        <v>0</v>
      </c>
      <c r="R17">
        <v>21</v>
      </c>
      <c r="T17" t="s">
        <v>412</v>
      </c>
      <c r="U17">
        <v>63097</v>
      </c>
      <c r="V17">
        <v>366.68656196019998</v>
      </c>
      <c r="W17">
        <v>62847</v>
      </c>
      <c r="X17">
        <v>14840</v>
      </c>
      <c r="Y17">
        <v>88169</v>
      </c>
      <c r="Z17">
        <v>53987</v>
      </c>
      <c r="AA17">
        <v>19216</v>
      </c>
      <c r="AB17">
        <v>15740</v>
      </c>
      <c r="AC17">
        <v>22690</v>
      </c>
      <c r="AD17">
        <v>16286</v>
      </c>
      <c r="AE17">
        <v>347</v>
      </c>
      <c r="AF17">
        <v>731</v>
      </c>
      <c r="AH17" t="s">
        <v>400</v>
      </c>
      <c r="AI17">
        <v>8168</v>
      </c>
      <c r="AJ17">
        <v>645.01261018610001</v>
      </c>
      <c r="AK17">
        <v>5234</v>
      </c>
      <c r="AL17">
        <v>1083</v>
      </c>
      <c r="AM17">
        <v>11200</v>
      </c>
      <c r="AN17">
        <v>7704</v>
      </c>
      <c r="AO17">
        <v>1185</v>
      </c>
      <c r="AP17">
        <v>964</v>
      </c>
      <c r="AQ17">
        <v>2210</v>
      </c>
      <c r="AR17">
        <v>1499</v>
      </c>
      <c r="AS17">
        <v>28</v>
      </c>
      <c r="AT17">
        <v>203</v>
      </c>
      <c r="AV17" t="s">
        <v>436</v>
      </c>
      <c r="AW17">
        <v>13</v>
      </c>
      <c r="AX17">
        <v>41.384615384600004</v>
      </c>
      <c r="AY17">
        <v>43</v>
      </c>
      <c r="AZ17">
        <v>2</v>
      </c>
      <c r="BA17">
        <v>25</v>
      </c>
      <c r="BB17">
        <v>1</v>
      </c>
      <c r="BC17">
        <v>3</v>
      </c>
      <c r="BD17">
        <v>2</v>
      </c>
      <c r="BE17">
        <v>0</v>
      </c>
      <c r="BG17">
        <v>36</v>
      </c>
      <c r="BH17">
        <v>6</v>
      </c>
      <c r="BJ17" t="s">
        <v>584</v>
      </c>
      <c r="BK17" t="s">
        <v>398</v>
      </c>
      <c r="BL17">
        <v>2324</v>
      </c>
      <c r="BM17">
        <v>531</v>
      </c>
      <c r="BN17">
        <v>88.433304647200004</v>
      </c>
      <c r="BO17">
        <v>8328</v>
      </c>
      <c r="BP17">
        <v>334</v>
      </c>
      <c r="BQ17">
        <v>147.03698366949999</v>
      </c>
      <c r="BR17">
        <v>129.37425149699999</v>
      </c>
      <c r="BS17">
        <v>2708</v>
      </c>
      <c r="BT17">
        <v>881</v>
      </c>
      <c r="BU17">
        <v>112.3238552437</v>
      </c>
      <c r="BV17">
        <v>11735</v>
      </c>
      <c r="BW17">
        <v>461</v>
      </c>
      <c r="BX17">
        <v>177.6795909672</v>
      </c>
      <c r="BY17">
        <v>165.49674620389999</v>
      </c>
      <c r="CA17" t="s">
        <v>402</v>
      </c>
      <c r="CB17" t="s">
        <v>815</v>
      </c>
      <c r="CC17" t="s">
        <v>1011</v>
      </c>
      <c r="CD17">
        <v>6831</v>
      </c>
      <c r="CE17">
        <v>1965</v>
      </c>
      <c r="CF17">
        <v>116.73181086220001</v>
      </c>
      <c r="CG17">
        <v>24484</v>
      </c>
      <c r="CH17">
        <v>1167</v>
      </c>
      <c r="CI17">
        <v>217.82237379509999</v>
      </c>
      <c r="CJ17">
        <v>178.3581833762</v>
      </c>
      <c r="CL17" t="s">
        <v>402</v>
      </c>
      <c r="CM17" t="s">
        <v>790</v>
      </c>
      <c r="CN17" t="s">
        <v>789</v>
      </c>
      <c r="CO17">
        <v>671</v>
      </c>
      <c r="CP17">
        <v>57</v>
      </c>
      <c r="CQ17">
        <v>56.734724292099997</v>
      </c>
      <c r="CR17">
        <v>4464</v>
      </c>
      <c r="CS17">
        <v>211</v>
      </c>
      <c r="CT17">
        <v>51.837589605700003</v>
      </c>
      <c r="CU17">
        <v>61.706161137400002</v>
      </c>
      <c r="CW17" t="s">
        <v>402</v>
      </c>
      <c r="CX17" t="s">
        <v>803</v>
      </c>
      <c r="CY17" t="s">
        <v>802</v>
      </c>
      <c r="CZ17">
        <v>202</v>
      </c>
      <c r="DA17">
        <v>30</v>
      </c>
      <c r="DB17">
        <v>71.915841584199995</v>
      </c>
      <c r="DC17">
        <v>582</v>
      </c>
      <c r="DD17">
        <v>18</v>
      </c>
      <c r="DE17">
        <v>137.0412371134</v>
      </c>
      <c r="DF17">
        <v>123</v>
      </c>
      <c r="DH17" t="s">
        <v>402</v>
      </c>
      <c r="DI17" t="s">
        <v>777</v>
      </c>
      <c r="DJ17" t="s">
        <v>776</v>
      </c>
      <c r="DK17">
        <v>183</v>
      </c>
      <c r="DL17">
        <v>16</v>
      </c>
      <c r="DM17">
        <v>69.836065573799999</v>
      </c>
      <c r="DN17">
        <v>527</v>
      </c>
      <c r="DO17">
        <v>21</v>
      </c>
      <c r="DP17">
        <v>147.79886148009999</v>
      </c>
      <c r="DQ17">
        <v>112.6666666667</v>
      </c>
    </row>
    <row r="18" spans="2:121" x14ac:dyDescent="0.2">
      <c r="B18" t="s">
        <v>97</v>
      </c>
      <c r="C18">
        <v>29</v>
      </c>
      <c r="D18">
        <v>5</v>
      </c>
      <c r="F18" t="s">
        <v>73</v>
      </c>
      <c r="G18">
        <v>7908</v>
      </c>
      <c r="H18">
        <v>210.17981790589999</v>
      </c>
      <c r="I18">
        <v>5243</v>
      </c>
      <c r="J18">
        <v>656</v>
      </c>
      <c r="K18">
        <v>17001</v>
      </c>
      <c r="L18">
        <v>7031</v>
      </c>
      <c r="M18">
        <v>832</v>
      </c>
      <c r="N18">
        <v>425</v>
      </c>
      <c r="O18">
        <v>104</v>
      </c>
      <c r="P18">
        <v>38</v>
      </c>
      <c r="Q18">
        <v>0</v>
      </c>
      <c r="R18">
        <v>5</v>
      </c>
      <c r="T18" t="s">
        <v>388</v>
      </c>
      <c r="U18">
        <v>69816</v>
      </c>
      <c r="V18">
        <v>334.67511745159999</v>
      </c>
      <c r="W18">
        <v>73188</v>
      </c>
      <c r="X18">
        <v>18483</v>
      </c>
      <c r="Y18">
        <v>99296</v>
      </c>
      <c r="Z18">
        <v>60550</v>
      </c>
      <c r="AA18">
        <v>20032</v>
      </c>
      <c r="AB18">
        <v>15515</v>
      </c>
      <c r="AC18">
        <v>38706</v>
      </c>
      <c r="AD18">
        <v>22492</v>
      </c>
      <c r="AE18">
        <v>163</v>
      </c>
      <c r="AF18">
        <v>1182</v>
      </c>
      <c r="AH18" t="s">
        <v>407</v>
      </c>
      <c r="AI18">
        <v>1503</v>
      </c>
      <c r="AJ18">
        <v>190.50432468400001</v>
      </c>
      <c r="AK18">
        <v>2461</v>
      </c>
      <c r="AL18">
        <v>556</v>
      </c>
      <c r="AM18">
        <v>3102</v>
      </c>
      <c r="AN18">
        <v>1051</v>
      </c>
      <c r="AO18">
        <v>268</v>
      </c>
      <c r="AP18">
        <v>211</v>
      </c>
      <c r="AQ18">
        <v>1296</v>
      </c>
      <c r="AR18">
        <v>1044</v>
      </c>
      <c r="AS18">
        <v>1</v>
      </c>
      <c r="AT18">
        <v>11</v>
      </c>
      <c r="AV18" t="s">
        <v>407</v>
      </c>
      <c r="AW18">
        <v>83</v>
      </c>
      <c r="AX18">
        <v>41.469879518100001</v>
      </c>
      <c r="AY18">
        <v>278</v>
      </c>
      <c r="AZ18">
        <v>8</v>
      </c>
      <c r="BA18">
        <v>139</v>
      </c>
      <c r="BB18">
        <v>4</v>
      </c>
      <c r="BC18">
        <v>0</v>
      </c>
      <c r="BE18">
        <v>2</v>
      </c>
      <c r="BG18">
        <v>154</v>
      </c>
      <c r="BH18">
        <v>35</v>
      </c>
      <c r="BJ18" t="s">
        <v>577</v>
      </c>
      <c r="BK18" t="s">
        <v>398</v>
      </c>
      <c r="BL18">
        <v>7567</v>
      </c>
      <c r="BM18">
        <v>1963</v>
      </c>
      <c r="BN18">
        <v>100.9143650059</v>
      </c>
      <c r="BO18">
        <v>24619</v>
      </c>
      <c r="BP18">
        <v>1094</v>
      </c>
      <c r="BQ18">
        <v>174.2858767619</v>
      </c>
      <c r="BR18">
        <v>170.85923217550001</v>
      </c>
      <c r="BS18">
        <v>7506</v>
      </c>
      <c r="BT18">
        <v>1942</v>
      </c>
      <c r="BU18">
        <v>99.446709299199995</v>
      </c>
      <c r="BV18">
        <v>26687</v>
      </c>
      <c r="BW18">
        <v>1066</v>
      </c>
      <c r="BX18">
        <v>176.23951736800001</v>
      </c>
      <c r="BY18">
        <v>176.48217636019999</v>
      </c>
      <c r="CA18" t="s">
        <v>400</v>
      </c>
      <c r="CB18" t="s">
        <v>815</v>
      </c>
      <c r="CC18" t="s">
        <v>1012</v>
      </c>
      <c r="CD18">
        <v>5135</v>
      </c>
      <c r="CE18">
        <v>1075</v>
      </c>
      <c r="CF18">
        <v>92.484323271700006</v>
      </c>
      <c r="CG18">
        <v>21968</v>
      </c>
      <c r="CH18">
        <v>1246</v>
      </c>
      <c r="CI18">
        <v>201.11530407870001</v>
      </c>
      <c r="CJ18">
        <v>161.45024077049999</v>
      </c>
      <c r="CL18" t="s">
        <v>400</v>
      </c>
      <c r="CM18" t="s">
        <v>790</v>
      </c>
      <c r="CN18" t="s">
        <v>791</v>
      </c>
      <c r="CO18">
        <v>409</v>
      </c>
      <c r="CP18">
        <v>35</v>
      </c>
      <c r="CQ18">
        <v>57.083129584399998</v>
      </c>
      <c r="CR18">
        <v>2851</v>
      </c>
      <c r="CS18">
        <v>140</v>
      </c>
      <c r="CT18">
        <v>54.847421957199998</v>
      </c>
      <c r="CU18">
        <v>62.614285714300003</v>
      </c>
      <c r="CW18" t="s">
        <v>400</v>
      </c>
      <c r="CX18" t="s">
        <v>803</v>
      </c>
      <c r="CY18" t="s">
        <v>804</v>
      </c>
      <c r="CZ18">
        <v>100</v>
      </c>
      <c r="DA18">
        <v>11</v>
      </c>
      <c r="DB18">
        <v>73.36</v>
      </c>
      <c r="DC18">
        <v>266</v>
      </c>
      <c r="DD18">
        <v>7</v>
      </c>
      <c r="DE18">
        <v>134.5676691729</v>
      </c>
      <c r="DF18">
        <v>129.1428571429</v>
      </c>
      <c r="DH18" t="s">
        <v>400</v>
      </c>
      <c r="DI18" t="s">
        <v>777</v>
      </c>
      <c r="DJ18" t="s">
        <v>778</v>
      </c>
      <c r="DK18">
        <v>83</v>
      </c>
      <c r="DL18">
        <v>10</v>
      </c>
      <c r="DM18">
        <v>81.120481927699998</v>
      </c>
      <c r="DN18">
        <v>193</v>
      </c>
      <c r="DO18">
        <v>8</v>
      </c>
      <c r="DP18">
        <v>138.55440414509999</v>
      </c>
      <c r="DQ18">
        <v>109.625</v>
      </c>
    </row>
    <row r="19" spans="2:121" x14ac:dyDescent="0.2">
      <c r="B19" t="s">
        <v>129</v>
      </c>
      <c r="C19">
        <v>38</v>
      </c>
      <c r="D19">
        <v>28</v>
      </c>
      <c r="F19" t="s">
        <v>71</v>
      </c>
      <c r="G19">
        <v>3617</v>
      </c>
      <c r="H19">
        <v>473.07520044239999</v>
      </c>
      <c r="I19">
        <v>3570</v>
      </c>
      <c r="J19">
        <v>1090</v>
      </c>
      <c r="K19">
        <v>4293</v>
      </c>
      <c r="L19">
        <v>2914</v>
      </c>
      <c r="M19">
        <v>395</v>
      </c>
      <c r="N19">
        <v>352</v>
      </c>
      <c r="O19">
        <v>1169</v>
      </c>
      <c r="P19">
        <v>706</v>
      </c>
      <c r="Q19">
        <v>0</v>
      </c>
      <c r="R19">
        <v>115</v>
      </c>
      <c r="T19" t="s">
        <v>469</v>
      </c>
      <c r="U19">
        <v>347185</v>
      </c>
      <c r="V19">
        <v>373.86808761899999</v>
      </c>
      <c r="W19">
        <v>342116</v>
      </c>
      <c r="X19">
        <v>80520</v>
      </c>
      <c r="Y19">
        <v>495440</v>
      </c>
      <c r="Z19">
        <v>299659</v>
      </c>
      <c r="AA19">
        <v>84678</v>
      </c>
      <c r="AB19">
        <v>65652</v>
      </c>
      <c r="AC19">
        <v>158697</v>
      </c>
      <c r="AD19">
        <v>98552</v>
      </c>
      <c r="AE19">
        <v>9995</v>
      </c>
      <c r="AF19">
        <v>4438</v>
      </c>
      <c r="AH19" t="s">
        <v>430</v>
      </c>
      <c r="AI19">
        <v>2088</v>
      </c>
      <c r="AJ19">
        <v>237.14990421460001</v>
      </c>
      <c r="AK19">
        <v>2900</v>
      </c>
      <c r="AL19">
        <v>593</v>
      </c>
      <c r="AM19">
        <v>3590</v>
      </c>
      <c r="AN19">
        <v>1443</v>
      </c>
      <c r="AO19">
        <v>533</v>
      </c>
      <c r="AP19">
        <v>316</v>
      </c>
      <c r="AQ19">
        <v>432</v>
      </c>
      <c r="AR19">
        <v>200</v>
      </c>
      <c r="AS19">
        <v>1</v>
      </c>
      <c r="AT19">
        <v>15</v>
      </c>
      <c r="AV19" t="s">
        <v>8</v>
      </c>
      <c r="AW19">
        <v>215</v>
      </c>
      <c r="AX19">
        <v>98.046511627900003</v>
      </c>
      <c r="AY19">
        <v>180</v>
      </c>
      <c r="AZ19">
        <v>77</v>
      </c>
      <c r="BA19">
        <v>464</v>
      </c>
      <c r="BB19">
        <v>195</v>
      </c>
      <c r="BC19">
        <v>26</v>
      </c>
      <c r="BD19">
        <v>23</v>
      </c>
      <c r="BE19">
        <v>75</v>
      </c>
      <c r="BF19">
        <v>24</v>
      </c>
      <c r="BG19">
        <v>51</v>
      </c>
      <c r="BH19">
        <v>20</v>
      </c>
      <c r="BJ19" t="s">
        <v>641</v>
      </c>
      <c r="BK19" t="s">
        <v>398</v>
      </c>
      <c r="BL19">
        <v>949</v>
      </c>
      <c r="BM19">
        <v>185</v>
      </c>
      <c r="BN19">
        <v>82.851422550099997</v>
      </c>
      <c r="BO19">
        <v>3429</v>
      </c>
      <c r="BP19">
        <v>133</v>
      </c>
      <c r="BQ19">
        <v>130.14610673670001</v>
      </c>
      <c r="BR19">
        <v>109.20300751880001</v>
      </c>
      <c r="BS19">
        <v>1182</v>
      </c>
      <c r="BT19">
        <v>419</v>
      </c>
      <c r="BU19">
        <v>131.2495769882</v>
      </c>
      <c r="BV19">
        <v>4579</v>
      </c>
      <c r="BW19">
        <v>216</v>
      </c>
      <c r="BX19">
        <v>157.456213147</v>
      </c>
      <c r="BY19">
        <v>160.5740740741</v>
      </c>
      <c r="CA19" t="s">
        <v>407</v>
      </c>
      <c r="CB19" t="s">
        <v>815</v>
      </c>
      <c r="CC19" t="s">
        <v>1013</v>
      </c>
      <c r="CD19">
        <v>2393</v>
      </c>
      <c r="CE19">
        <v>545</v>
      </c>
      <c r="CF19">
        <v>89.108232344300006</v>
      </c>
      <c r="CG19">
        <v>8657</v>
      </c>
      <c r="CH19">
        <v>356</v>
      </c>
      <c r="CI19">
        <v>146.4404528128</v>
      </c>
      <c r="CJ19">
        <v>127.7331460674</v>
      </c>
      <c r="CL19" t="s">
        <v>407</v>
      </c>
      <c r="CM19" t="s">
        <v>790</v>
      </c>
      <c r="CN19" t="s">
        <v>792</v>
      </c>
      <c r="CO19">
        <v>238</v>
      </c>
      <c r="CP19">
        <v>8</v>
      </c>
      <c r="CQ19">
        <v>49.9663865546</v>
      </c>
      <c r="CR19">
        <v>1892</v>
      </c>
      <c r="CS19">
        <v>116</v>
      </c>
      <c r="CT19">
        <v>56.551268498900001</v>
      </c>
      <c r="CU19">
        <v>63.620689655200003</v>
      </c>
      <c r="CW19" t="s">
        <v>407</v>
      </c>
      <c r="CX19" t="s">
        <v>803</v>
      </c>
      <c r="CY19" t="s">
        <v>805</v>
      </c>
      <c r="CZ19">
        <v>46</v>
      </c>
      <c r="DA19">
        <v>4</v>
      </c>
      <c r="DB19">
        <v>66.260869565199997</v>
      </c>
      <c r="DC19">
        <v>145</v>
      </c>
      <c r="DD19">
        <v>4</v>
      </c>
      <c r="DE19">
        <v>113.2275862069</v>
      </c>
      <c r="DF19">
        <v>79.75</v>
      </c>
      <c r="DH19" t="s">
        <v>407</v>
      </c>
      <c r="DI19" t="s">
        <v>777</v>
      </c>
      <c r="DJ19" t="s">
        <v>779</v>
      </c>
      <c r="DK19">
        <v>40</v>
      </c>
      <c r="DL19">
        <v>6</v>
      </c>
      <c r="DM19">
        <v>127.075</v>
      </c>
      <c r="DN19">
        <v>89</v>
      </c>
      <c r="DO19">
        <v>0</v>
      </c>
      <c r="DP19">
        <v>148.53932584270001</v>
      </c>
      <c r="DQ19">
        <v>0</v>
      </c>
    </row>
    <row r="20" spans="2:121" x14ac:dyDescent="0.2">
      <c r="B20" t="s">
        <v>122</v>
      </c>
      <c r="C20">
        <v>10899</v>
      </c>
      <c r="D20">
        <v>2722</v>
      </c>
      <c r="F20" t="s">
        <v>77</v>
      </c>
      <c r="G20">
        <v>291</v>
      </c>
      <c r="H20">
        <v>98.714776632300001</v>
      </c>
      <c r="I20">
        <v>835</v>
      </c>
      <c r="J20">
        <v>193</v>
      </c>
      <c r="K20">
        <v>673</v>
      </c>
      <c r="L20">
        <v>81</v>
      </c>
      <c r="M20">
        <v>457</v>
      </c>
      <c r="N20">
        <v>103</v>
      </c>
      <c r="O20">
        <v>23</v>
      </c>
      <c r="P20">
        <v>10</v>
      </c>
      <c r="Q20">
        <v>0</v>
      </c>
      <c r="R20">
        <v>0</v>
      </c>
      <c r="AH20" t="s">
        <v>401</v>
      </c>
      <c r="AI20">
        <v>7925</v>
      </c>
      <c r="AJ20">
        <v>532.83785488959995</v>
      </c>
      <c r="AK20">
        <v>4456</v>
      </c>
      <c r="AL20">
        <v>1012</v>
      </c>
      <c r="AM20">
        <v>10971</v>
      </c>
      <c r="AN20">
        <v>7383</v>
      </c>
      <c r="AO20">
        <v>2747</v>
      </c>
      <c r="AP20">
        <v>2152</v>
      </c>
      <c r="AQ20">
        <v>862</v>
      </c>
      <c r="AR20">
        <v>480</v>
      </c>
      <c r="AS20">
        <v>42</v>
      </c>
      <c r="AT20">
        <v>157</v>
      </c>
      <c r="AV20" t="s">
        <v>390</v>
      </c>
      <c r="AW20">
        <v>1195</v>
      </c>
      <c r="AX20">
        <v>106.0326359833</v>
      </c>
      <c r="AY20">
        <v>1086</v>
      </c>
      <c r="AZ20">
        <v>272</v>
      </c>
      <c r="BA20">
        <v>1905</v>
      </c>
      <c r="BB20">
        <v>625</v>
      </c>
      <c r="BC20">
        <v>66</v>
      </c>
      <c r="BD20">
        <v>63</v>
      </c>
      <c r="BE20">
        <v>228</v>
      </c>
      <c r="BF20">
        <v>49</v>
      </c>
      <c r="BG20">
        <v>215</v>
      </c>
      <c r="BH20">
        <v>359</v>
      </c>
      <c r="BJ20" t="s">
        <v>569</v>
      </c>
      <c r="BK20" t="s">
        <v>398</v>
      </c>
      <c r="BL20">
        <v>5030</v>
      </c>
      <c r="BM20">
        <v>1074</v>
      </c>
      <c r="BN20">
        <v>93.056063618300001</v>
      </c>
      <c r="BO20">
        <v>21007</v>
      </c>
      <c r="BP20">
        <v>1239</v>
      </c>
      <c r="BQ20">
        <v>207.55143523589999</v>
      </c>
      <c r="BR20">
        <v>159.9701372074</v>
      </c>
      <c r="BS20">
        <v>5232</v>
      </c>
      <c r="BT20">
        <v>1143</v>
      </c>
      <c r="BU20">
        <v>99.480122324199996</v>
      </c>
      <c r="BV20">
        <v>16652</v>
      </c>
      <c r="BW20">
        <v>1215</v>
      </c>
      <c r="BX20">
        <v>208.20231803990001</v>
      </c>
      <c r="BY20">
        <v>159.48477366259999</v>
      </c>
      <c r="CA20" t="s">
        <v>430</v>
      </c>
      <c r="CB20" t="s">
        <v>815</v>
      </c>
      <c r="CC20" t="s">
        <v>1014</v>
      </c>
      <c r="CD20">
        <v>2855</v>
      </c>
      <c r="CE20">
        <v>569</v>
      </c>
      <c r="CF20">
        <v>88.231523642699997</v>
      </c>
      <c r="CG20">
        <v>8918</v>
      </c>
      <c r="CH20">
        <v>314</v>
      </c>
      <c r="CI20">
        <v>162.8041040592</v>
      </c>
      <c r="CJ20">
        <v>155.20382165609999</v>
      </c>
      <c r="CL20" t="s">
        <v>430</v>
      </c>
      <c r="CM20" t="s">
        <v>790</v>
      </c>
      <c r="CN20" t="s">
        <v>793</v>
      </c>
      <c r="CO20">
        <v>247</v>
      </c>
      <c r="CP20">
        <v>18</v>
      </c>
      <c r="CQ20">
        <v>56.477732793500003</v>
      </c>
      <c r="CR20">
        <v>1648</v>
      </c>
      <c r="CS20">
        <v>97</v>
      </c>
      <c r="CT20">
        <v>62.5703883495</v>
      </c>
      <c r="CU20">
        <v>58.525773195900001</v>
      </c>
      <c r="CW20" t="s">
        <v>430</v>
      </c>
      <c r="CX20" t="s">
        <v>803</v>
      </c>
      <c r="CY20" t="s">
        <v>806</v>
      </c>
      <c r="CZ20">
        <v>56</v>
      </c>
      <c r="DA20">
        <v>4</v>
      </c>
      <c r="DB20">
        <v>58.410714285700003</v>
      </c>
      <c r="DC20">
        <v>289</v>
      </c>
      <c r="DD20">
        <v>14</v>
      </c>
      <c r="DE20">
        <v>122.72664359860001</v>
      </c>
      <c r="DF20">
        <v>105.5</v>
      </c>
      <c r="DH20" t="s">
        <v>430</v>
      </c>
      <c r="DI20" t="s">
        <v>777</v>
      </c>
      <c r="DJ20" t="s">
        <v>780</v>
      </c>
      <c r="DK20">
        <v>135</v>
      </c>
      <c r="DL20">
        <v>11</v>
      </c>
      <c r="DM20">
        <v>60.288888888899997</v>
      </c>
      <c r="DN20">
        <v>321</v>
      </c>
      <c r="DO20">
        <v>11</v>
      </c>
      <c r="DP20">
        <v>156.261682243</v>
      </c>
      <c r="DQ20">
        <v>122</v>
      </c>
    </row>
    <row r="21" spans="2:121" x14ac:dyDescent="0.2">
      <c r="B21" t="s">
        <v>322</v>
      </c>
      <c r="C21">
        <v>1</v>
      </c>
      <c r="D21">
        <v>1</v>
      </c>
      <c r="F21" t="s">
        <v>8</v>
      </c>
      <c r="G21">
        <v>50</v>
      </c>
      <c r="H21">
        <v>809.88</v>
      </c>
      <c r="I21">
        <v>1</v>
      </c>
      <c r="K21">
        <v>51</v>
      </c>
      <c r="L21">
        <v>51</v>
      </c>
      <c r="M21">
        <v>2</v>
      </c>
      <c r="N21">
        <v>1</v>
      </c>
      <c r="O21">
        <v>21347</v>
      </c>
      <c r="P21">
        <v>7219</v>
      </c>
      <c r="Q21">
        <v>0</v>
      </c>
      <c r="R21">
        <v>0</v>
      </c>
      <c r="AH21" t="s">
        <v>395</v>
      </c>
      <c r="AI21">
        <v>6625</v>
      </c>
      <c r="AJ21">
        <v>401.01750943399998</v>
      </c>
      <c r="AK21">
        <v>6004</v>
      </c>
      <c r="AL21">
        <v>1282</v>
      </c>
      <c r="AM21">
        <v>9350</v>
      </c>
      <c r="AN21">
        <v>5802</v>
      </c>
      <c r="AO21">
        <v>783</v>
      </c>
      <c r="AP21">
        <v>567</v>
      </c>
      <c r="AQ21">
        <v>1437</v>
      </c>
      <c r="AR21">
        <v>616</v>
      </c>
      <c r="AS21">
        <v>7</v>
      </c>
      <c r="AT21">
        <v>297</v>
      </c>
      <c r="AV21" t="s">
        <v>384</v>
      </c>
      <c r="AW21">
        <v>318</v>
      </c>
      <c r="AX21">
        <v>101.84905660379999</v>
      </c>
      <c r="AY21">
        <v>446</v>
      </c>
      <c r="AZ21">
        <v>122</v>
      </c>
      <c r="BA21">
        <v>500</v>
      </c>
      <c r="BB21">
        <v>158</v>
      </c>
      <c r="BC21">
        <v>21</v>
      </c>
      <c r="BD21">
        <v>18</v>
      </c>
      <c r="BE21">
        <v>72</v>
      </c>
      <c r="BF21">
        <v>20</v>
      </c>
      <c r="BG21">
        <v>62</v>
      </c>
      <c r="BH21">
        <v>154</v>
      </c>
      <c r="BJ21" t="s">
        <v>586</v>
      </c>
      <c r="BK21" t="s">
        <v>398</v>
      </c>
      <c r="BL21">
        <v>1956</v>
      </c>
      <c r="BM21">
        <v>289</v>
      </c>
      <c r="BN21">
        <v>75.778118609399996</v>
      </c>
      <c r="BO21">
        <v>7005</v>
      </c>
      <c r="BP21">
        <v>403</v>
      </c>
      <c r="BQ21">
        <v>122.13176302639999</v>
      </c>
      <c r="BR21">
        <v>110.28535980149999</v>
      </c>
      <c r="BS21">
        <v>5831</v>
      </c>
      <c r="BT21">
        <v>1512</v>
      </c>
      <c r="BU21">
        <v>105.8379351741</v>
      </c>
      <c r="BV21">
        <v>19015</v>
      </c>
      <c r="BW21">
        <v>1021</v>
      </c>
      <c r="BX21">
        <v>173.55003944250001</v>
      </c>
      <c r="BY21">
        <v>148.0754162586</v>
      </c>
      <c r="CA21" t="s">
        <v>403</v>
      </c>
      <c r="CB21" t="s">
        <v>815</v>
      </c>
      <c r="CC21" t="s">
        <v>1015</v>
      </c>
      <c r="CD21">
        <v>7613</v>
      </c>
      <c r="CE21">
        <v>1967</v>
      </c>
      <c r="CF21">
        <v>103.3810587154</v>
      </c>
      <c r="CG21">
        <v>25240</v>
      </c>
      <c r="CH21">
        <v>1121</v>
      </c>
      <c r="CI21">
        <v>170.71691759110001</v>
      </c>
      <c r="CJ21">
        <v>167.89116859949999</v>
      </c>
      <c r="CL21" t="s">
        <v>403</v>
      </c>
      <c r="CM21" t="s">
        <v>790</v>
      </c>
      <c r="CN21" t="s">
        <v>794</v>
      </c>
      <c r="CO21">
        <v>725</v>
      </c>
      <c r="CP21">
        <v>47</v>
      </c>
      <c r="CQ21">
        <v>55.329655172400003</v>
      </c>
      <c r="CR21">
        <v>5000</v>
      </c>
      <c r="CS21">
        <v>254</v>
      </c>
      <c r="CT21">
        <v>58.636000000000003</v>
      </c>
      <c r="CU21">
        <v>73.437007874000003</v>
      </c>
      <c r="CW21" t="s">
        <v>403</v>
      </c>
      <c r="CX21" t="s">
        <v>803</v>
      </c>
      <c r="CY21" t="s">
        <v>807</v>
      </c>
      <c r="CZ21">
        <v>168</v>
      </c>
      <c r="DA21">
        <v>19</v>
      </c>
      <c r="DB21">
        <v>63.452380952399999</v>
      </c>
      <c r="DC21">
        <v>377</v>
      </c>
      <c r="DD21">
        <v>13</v>
      </c>
      <c r="DE21">
        <v>136.2148541114</v>
      </c>
      <c r="DF21">
        <v>96.769230769200007</v>
      </c>
      <c r="DH21" t="s">
        <v>403</v>
      </c>
      <c r="DI21" t="s">
        <v>777</v>
      </c>
      <c r="DJ21" t="s">
        <v>781</v>
      </c>
      <c r="DK21">
        <v>108</v>
      </c>
      <c r="DL21">
        <v>13</v>
      </c>
      <c r="DM21">
        <v>80.601851851899994</v>
      </c>
      <c r="DN21">
        <v>256</v>
      </c>
      <c r="DO21">
        <v>14</v>
      </c>
      <c r="DP21">
        <v>143.16015625</v>
      </c>
      <c r="DQ21">
        <v>145.1428571429</v>
      </c>
    </row>
    <row r="22" spans="2:121" x14ac:dyDescent="0.2">
      <c r="B22" t="s">
        <v>115</v>
      </c>
      <c r="C22">
        <v>16694</v>
      </c>
      <c r="D22">
        <v>14435</v>
      </c>
      <c r="F22" t="s">
        <v>47</v>
      </c>
      <c r="G22">
        <v>1623</v>
      </c>
      <c r="H22">
        <v>248.8373382625</v>
      </c>
      <c r="I22">
        <v>1618</v>
      </c>
      <c r="J22">
        <v>335</v>
      </c>
      <c r="K22">
        <v>3345</v>
      </c>
      <c r="L22">
        <v>1629</v>
      </c>
      <c r="M22">
        <v>364</v>
      </c>
      <c r="N22">
        <v>276</v>
      </c>
      <c r="O22">
        <v>712</v>
      </c>
      <c r="P22">
        <v>488</v>
      </c>
      <c r="Q22">
        <v>0</v>
      </c>
      <c r="R22">
        <v>3</v>
      </c>
      <c r="AH22" t="s">
        <v>424</v>
      </c>
      <c r="AI22">
        <v>1533</v>
      </c>
      <c r="AJ22">
        <v>270.93933463799999</v>
      </c>
      <c r="AK22">
        <v>1239</v>
      </c>
      <c r="AL22">
        <v>168</v>
      </c>
      <c r="AM22">
        <v>2180</v>
      </c>
      <c r="AN22">
        <v>1022</v>
      </c>
      <c r="AO22">
        <v>929</v>
      </c>
      <c r="AP22">
        <v>530</v>
      </c>
      <c r="AQ22">
        <v>298</v>
      </c>
      <c r="AR22">
        <v>164</v>
      </c>
      <c r="AS22">
        <v>257</v>
      </c>
      <c r="AT22">
        <v>2</v>
      </c>
      <c r="AV22" t="s">
        <v>430</v>
      </c>
      <c r="AW22">
        <v>67</v>
      </c>
      <c r="AX22">
        <v>38.582089552200003</v>
      </c>
      <c r="AY22">
        <v>244</v>
      </c>
      <c r="AZ22">
        <v>13</v>
      </c>
      <c r="BA22">
        <v>133</v>
      </c>
      <c r="BB22">
        <v>5</v>
      </c>
      <c r="BC22">
        <v>2</v>
      </c>
      <c r="BD22">
        <v>2</v>
      </c>
      <c r="BE22">
        <v>6</v>
      </c>
      <c r="BF22">
        <v>4</v>
      </c>
      <c r="BG22">
        <v>110</v>
      </c>
      <c r="BH22">
        <v>35</v>
      </c>
      <c r="BJ22" t="s">
        <v>398</v>
      </c>
      <c r="BK22" t="s">
        <v>398</v>
      </c>
      <c r="BL22">
        <v>53580</v>
      </c>
      <c r="BM22">
        <v>12113</v>
      </c>
      <c r="BN22">
        <v>95.538335199700001</v>
      </c>
      <c r="BO22">
        <v>188074</v>
      </c>
      <c r="BP22">
        <v>8916</v>
      </c>
      <c r="BQ22">
        <v>173.8218733052</v>
      </c>
      <c r="BR22">
        <v>151.34522207270001</v>
      </c>
      <c r="BS22">
        <v>60326</v>
      </c>
      <c r="BT22">
        <v>16472</v>
      </c>
      <c r="BU22">
        <v>106.3760899115</v>
      </c>
      <c r="BV22">
        <v>220963</v>
      </c>
      <c r="BW22">
        <v>10518</v>
      </c>
      <c r="BX22">
        <v>182.3628978607</v>
      </c>
      <c r="BY22">
        <v>162.90758699369999</v>
      </c>
      <c r="CA22" t="s">
        <v>409</v>
      </c>
      <c r="CB22" t="s">
        <v>815</v>
      </c>
      <c r="CC22" t="s">
        <v>1016</v>
      </c>
      <c r="CD22">
        <v>5662</v>
      </c>
      <c r="CE22">
        <v>1130</v>
      </c>
      <c r="CF22">
        <v>87.181914517799996</v>
      </c>
      <c r="CG22">
        <v>18602</v>
      </c>
      <c r="CH22">
        <v>805</v>
      </c>
      <c r="CI22">
        <v>141.8062573917</v>
      </c>
      <c r="CJ22">
        <v>137.048447205</v>
      </c>
      <c r="CL22" t="s">
        <v>409</v>
      </c>
      <c r="CM22" t="s">
        <v>790</v>
      </c>
      <c r="CN22" t="s">
        <v>795</v>
      </c>
      <c r="CO22">
        <v>303</v>
      </c>
      <c r="CP22">
        <v>16</v>
      </c>
      <c r="CQ22">
        <v>48.392739273899998</v>
      </c>
      <c r="CR22">
        <v>2000</v>
      </c>
      <c r="CS22">
        <v>130</v>
      </c>
      <c r="CT22">
        <v>53.113999999999997</v>
      </c>
      <c r="CU22">
        <v>59.161538461500001</v>
      </c>
      <c r="CW22" t="s">
        <v>409</v>
      </c>
      <c r="CX22" t="s">
        <v>803</v>
      </c>
      <c r="CY22" t="s">
        <v>808</v>
      </c>
      <c r="CZ22">
        <v>76</v>
      </c>
      <c r="DA22">
        <v>2</v>
      </c>
      <c r="DB22">
        <v>55.407894736800003</v>
      </c>
      <c r="DC22">
        <v>189</v>
      </c>
      <c r="DD22">
        <v>6</v>
      </c>
      <c r="DE22">
        <v>126.47089947089999</v>
      </c>
      <c r="DF22">
        <v>94.666666666699996</v>
      </c>
      <c r="DH22" t="s">
        <v>409</v>
      </c>
      <c r="DI22" t="s">
        <v>777</v>
      </c>
      <c r="DJ22" t="s">
        <v>782</v>
      </c>
      <c r="DK22">
        <v>34</v>
      </c>
      <c r="DL22">
        <v>1</v>
      </c>
      <c r="DM22">
        <v>53.617647058800003</v>
      </c>
      <c r="DN22">
        <v>96</v>
      </c>
      <c r="DO22">
        <v>1</v>
      </c>
      <c r="DP22">
        <v>145.0520833333</v>
      </c>
      <c r="DQ22">
        <v>110</v>
      </c>
    </row>
    <row r="23" spans="2:121" x14ac:dyDescent="0.2">
      <c r="B23" t="s">
        <v>116</v>
      </c>
      <c r="C23">
        <v>1689</v>
      </c>
      <c r="D23">
        <v>511</v>
      </c>
      <c r="F23" t="s">
        <v>46</v>
      </c>
      <c r="G23">
        <v>136</v>
      </c>
      <c r="H23">
        <v>59.691176470599999</v>
      </c>
      <c r="I23">
        <v>885</v>
      </c>
      <c r="J23">
        <v>185</v>
      </c>
      <c r="K23">
        <v>367</v>
      </c>
      <c r="L23">
        <v>24</v>
      </c>
      <c r="M23">
        <v>75</v>
      </c>
      <c r="N23">
        <v>21</v>
      </c>
      <c r="O23">
        <v>52</v>
      </c>
      <c r="P23">
        <v>19</v>
      </c>
      <c r="Q23">
        <v>0</v>
      </c>
      <c r="R23">
        <v>0</v>
      </c>
      <c r="AH23" t="s">
        <v>384</v>
      </c>
      <c r="AI23">
        <v>8953</v>
      </c>
      <c r="AJ23">
        <v>588.27063554120002</v>
      </c>
      <c r="AK23">
        <v>5844</v>
      </c>
      <c r="AL23">
        <v>1225</v>
      </c>
      <c r="AM23">
        <v>11090</v>
      </c>
      <c r="AN23">
        <v>8205</v>
      </c>
      <c r="AO23">
        <v>1207</v>
      </c>
      <c r="AP23">
        <v>1008</v>
      </c>
      <c r="AQ23">
        <v>6337</v>
      </c>
      <c r="AR23">
        <v>5204</v>
      </c>
      <c r="AS23">
        <v>339</v>
      </c>
      <c r="AT23">
        <v>8</v>
      </c>
      <c r="AV23" t="s">
        <v>411</v>
      </c>
      <c r="AW23">
        <v>70</v>
      </c>
      <c r="AX23">
        <v>40.185714285700001</v>
      </c>
      <c r="AY23">
        <v>227</v>
      </c>
      <c r="AZ23">
        <v>5</v>
      </c>
      <c r="BA23">
        <v>158</v>
      </c>
      <c r="BB23">
        <v>13</v>
      </c>
      <c r="BC23">
        <v>3</v>
      </c>
      <c r="BD23">
        <v>3</v>
      </c>
      <c r="BE23">
        <v>19</v>
      </c>
      <c r="BF23">
        <v>10</v>
      </c>
      <c r="BG23">
        <v>227</v>
      </c>
      <c r="BH23">
        <v>43</v>
      </c>
      <c r="BJ23" t="s">
        <v>579</v>
      </c>
      <c r="BK23" t="s">
        <v>398</v>
      </c>
      <c r="BL23">
        <v>3955</v>
      </c>
      <c r="BM23">
        <v>879</v>
      </c>
      <c r="BN23">
        <v>88.826801517099994</v>
      </c>
      <c r="BO23">
        <v>14418</v>
      </c>
      <c r="BP23">
        <v>664</v>
      </c>
      <c r="BQ23">
        <v>154.0989041476</v>
      </c>
      <c r="BR23">
        <v>130.9096385542</v>
      </c>
      <c r="BS23">
        <v>4989</v>
      </c>
      <c r="BT23">
        <v>1536</v>
      </c>
      <c r="BU23">
        <v>108.892764081</v>
      </c>
      <c r="BV23">
        <v>18378</v>
      </c>
      <c r="BW23">
        <v>916</v>
      </c>
      <c r="BX23">
        <v>168.20388507999999</v>
      </c>
      <c r="BY23">
        <v>150.65393013100001</v>
      </c>
      <c r="CA23" t="s">
        <v>405</v>
      </c>
      <c r="CB23" t="s">
        <v>815</v>
      </c>
      <c r="CC23" t="s">
        <v>1017</v>
      </c>
      <c r="CD23">
        <v>5250</v>
      </c>
      <c r="CE23">
        <v>905</v>
      </c>
      <c r="CF23">
        <v>87.742857142899993</v>
      </c>
      <c r="CG23">
        <v>24039</v>
      </c>
      <c r="CH23">
        <v>1082</v>
      </c>
      <c r="CI23">
        <v>169.84009318189999</v>
      </c>
      <c r="CJ23">
        <v>142.19593345659999</v>
      </c>
      <c r="CL23" t="s">
        <v>405</v>
      </c>
      <c r="CM23" t="s">
        <v>790</v>
      </c>
      <c r="CN23" t="s">
        <v>796</v>
      </c>
      <c r="CO23">
        <v>463</v>
      </c>
      <c r="CP23">
        <v>49</v>
      </c>
      <c r="CQ23">
        <v>62.496760259200002</v>
      </c>
      <c r="CR23">
        <v>3311</v>
      </c>
      <c r="CS23">
        <v>179</v>
      </c>
      <c r="CT23">
        <v>53.247357293900002</v>
      </c>
      <c r="CU23">
        <v>55.692737430199998</v>
      </c>
      <c r="CW23" t="s">
        <v>405</v>
      </c>
      <c r="CX23" t="s">
        <v>803</v>
      </c>
      <c r="CY23" t="s">
        <v>809</v>
      </c>
      <c r="CZ23">
        <v>173</v>
      </c>
      <c r="DA23">
        <v>14</v>
      </c>
      <c r="DB23">
        <v>60.716763005799997</v>
      </c>
      <c r="DC23">
        <v>440</v>
      </c>
      <c r="DD23">
        <v>18</v>
      </c>
      <c r="DE23">
        <v>124.17727272729999</v>
      </c>
      <c r="DF23">
        <v>94.777777777799997</v>
      </c>
      <c r="DH23" t="s">
        <v>405</v>
      </c>
      <c r="DI23" t="s">
        <v>777</v>
      </c>
      <c r="DJ23" t="s">
        <v>783</v>
      </c>
      <c r="DK23">
        <v>140</v>
      </c>
      <c r="DL23">
        <v>16</v>
      </c>
      <c r="DM23">
        <v>66.364285714299996</v>
      </c>
      <c r="DN23">
        <v>468</v>
      </c>
      <c r="DO23">
        <v>8</v>
      </c>
      <c r="DP23">
        <v>160.0299145299</v>
      </c>
      <c r="DQ23">
        <v>107</v>
      </c>
    </row>
    <row r="24" spans="2:121" x14ac:dyDescent="0.2">
      <c r="B24" t="s">
        <v>110</v>
      </c>
      <c r="C24">
        <v>49</v>
      </c>
      <c r="D24">
        <v>49</v>
      </c>
      <c r="F24" t="s">
        <v>82</v>
      </c>
      <c r="G24">
        <v>13555</v>
      </c>
      <c r="H24">
        <v>308.17919586869999</v>
      </c>
      <c r="I24">
        <v>17146</v>
      </c>
      <c r="J24">
        <v>3845</v>
      </c>
      <c r="K24">
        <v>16313</v>
      </c>
      <c r="L24">
        <v>9076</v>
      </c>
      <c r="M24">
        <v>1691</v>
      </c>
      <c r="N24">
        <v>1279</v>
      </c>
      <c r="O24">
        <v>3187</v>
      </c>
      <c r="P24">
        <v>1329</v>
      </c>
      <c r="Q24">
        <v>0</v>
      </c>
      <c r="R24">
        <v>227</v>
      </c>
      <c r="T24" t="s">
        <v>655</v>
      </c>
      <c r="U24" t="s">
        <v>313</v>
      </c>
      <c r="V24" t="s">
        <v>139</v>
      </c>
      <c r="W24" t="s">
        <v>220</v>
      </c>
      <c r="X24" t="s">
        <v>221</v>
      </c>
      <c r="Y24" t="s">
        <v>222</v>
      </c>
      <c r="Z24" t="s">
        <v>223</v>
      </c>
      <c r="AA24" t="s">
        <v>224</v>
      </c>
      <c r="AB24" t="s">
        <v>225</v>
      </c>
      <c r="AC24" t="s">
        <v>226</v>
      </c>
      <c r="AD24" t="s">
        <v>227</v>
      </c>
      <c r="AE24" t="s">
        <v>228</v>
      </c>
      <c r="AF24" t="s">
        <v>229</v>
      </c>
      <c r="AH24" t="s">
        <v>379</v>
      </c>
      <c r="AI24">
        <v>4945</v>
      </c>
      <c r="AJ24">
        <v>498.06370070780002</v>
      </c>
      <c r="AK24">
        <v>4488</v>
      </c>
      <c r="AL24">
        <v>1161</v>
      </c>
      <c r="AM24">
        <v>7774</v>
      </c>
      <c r="AN24">
        <v>4885</v>
      </c>
      <c r="AO24">
        <v>2738</v>
      </c>
      <c r="AP24">
        <v>1864</v>
      </c>
      <c r="AQ24">
        <v>1288</v>
      </c>
      <c r="AR24">
        <v>992</v>
      </c>
      <c r="AS24">
        <v>529</v>
      </c>
      <c r="AT24">
        <v>13</v>
      </c>
      <c r="AV24" t="s">
        <v>382</v>
      </c>
      <c r="AW24">
        <v>419</v>
      </c>
      <c r="AX24">
        <v>100.31264916470001</v>
      </c>
      <c r="AY24">
        <v>578</v>
      </c>
      <c r="AZ24">
        <v>154</v>
      </c>
      <c r="BA24">
        <v>635</v>
      </c>
      <c r="BB24">
        <v>190</v>
      </c>
      <c r="BC24">
        <v>14</v>
      </c>
      <c r="BD24">
        <v>14</v>
      </c>
      <c r="BE24">
        <v>98</v>
      </c>
      <c r="BF24">
        <v>22</v>
      </c>
      <c r="BG24">
        <v>66</v>
      </c>
      <c r="BH24">
        <v>198</v>
      </c>
      <c r="BJ24" t="s">
        <v>643</v>
      </c>
      <c r="BK24" t="s">
        <v>398</v>
      </c>
      <c r="BL24">
        <v>934</v>
      </c>
      <c r="BM24">
        <v>195</v>
      </c>
      <c r="BN24">
        <v>84.905781584600007</v>
      </c>
      <c r="BO24">
        <v>3507</v>
      </c>
      <c r="BP24">
        <v>164</v>
      </c>
      <c r="BQ24">
        <v>136.64385514680001</v>
      </c>
      <c r="BR24">
        <v>129.21341463409999</v>
      </c>
      <c r="BS24">
        <v>1346</v>
      </c>
      <c r="BT24">
        <v>497</v>
      </c>
      <c r="BU24">
        <v>128.09509658249999</v>
      </c>
      <c r="BV24">
        <v>6272</v>
      </c>
      <c r="BW24">
        <v>300</v>
      </c>
      <c r="BX24">
        <v>177.69706632649999</v>
      </c>
      <c r="BY24">
        <v>188.6833333333</v>
      </c>
      <c r="CA24" t="s">
        <v>408</v>
      </c>
      <c r="CB24" t="s">
        <v>815</v>
      </c>
      <c r="CC24" t="s">
        <v>1018</v>
      </c>
      <c r="CD24">
        <v>1994</v>
      </c>
      <c r="CE24">
        <v>296</v>
      </c>
      <c r="CF24">
        <v>76.873119358099999</v>
      </c>
      <c r="CG24">
        <v>7347</v>
      </c>
      <c r="CH24">
        <v>413</v>
      </c>
      <c r="CI24">
        <v>121.023410916</v>
      </c>
      <c r="CJ24">
        <v>107.5157384988</v>
      </c>
      <c r="CL24" t="s">
        <v>408</v>
      </c>
      <c r="CM24" t="s">
        <v>790</v>
      </c>
      <c r="CN24" t="s">
        <v>797</v>
      </c>
      <c r="CO24">
        <v>100</v>
      </c>
      <c r="CP24">
        <v>9</v>
      </c>
      <c r="CQ24">
        <v>59.61</v>
      </c>
      <c r="CR24">
        <v>772</v>
      </c>
      <c r="CS24">
        <v>36</v>
      </c>
      <c r="CT24">
        <v>60.554404145100001</v>
      </c>
      <c r="CU24">
        <v>66.166666666699996</v>
      </c>
      <c r="CW24" t="s">
        <v>408</v>
      </c>
      <c r="CX24" t="s">
        <v>803</v>
      </c>
      <c r="CY24" t="s">
        <v>810</v>
      </c>
      <c r="CZ24">
        <v>43</v>
      </c>
      <c r="DA24">
        <v>5</v>
      </c>
      <c r="DB24">
        <v>52.116279069800001</v>
      </c>
      <c r="DC24">
        <v>173</v>
      </c>
      <c r="DD24">
        <v>3</v>
      </c>
      <c r="DE24">
        <v>105.5144508671</v>
      </c>
      <c r="DF24">
        <v>123</v>
      </c>
      <c r="DH24" t="s">
        <v>408</v>
      </c>
      <c r="DI24" t="s">
        <v>777</v>
      </c>
      <c r="DJ24" t="s">
        <v>784</v>
      </c>
      <c r="DK24">
        <v>70</v>
      </c>
      <c r="DL24">
        <v>3</v>
      </c>
      <c r="DM24">
        <v>54.571428571399998</v>
      </c>
      <c r="DN24">
        <v>274</v>
      </c>
      <c r="DO24">
        <v>13</v>
      </c>
      <c r="DP24">
        <v>148.1678832117</v>
      </c>
      <c r="DQ24">
        <v>109.5384615385</v>
      </c>
    </row>
    <row r="25" spans="2:121" x14ac:dyDescent="0.2">
      <c r="B25" t="s">
        <v>108</v>
      </c>
      <c r="C25">
        <v>49</v>
      </c>
      <c r="D25">
        <v>46</v>
      </c>
      <c r="F25" t="s">
        <v>42</v>
      </c>
      <c r="G25">
        <v>11624</v>
      </c>
      <c r="H25">
        <v>293.70836200960002</v>
      </c>
      <c r="I25">
        <v>8558</v>
      </c>
      <c r="J25">
        <v>2159</v>
      </c>
      <c r="K25">
        <v>21547</v>
      </c>
      <c r="L25">
        <v>11977</v>
      </c>
      <c r="M25">
        <v>2984</v>
      </c>
      <c r="N25">
        <v>1320</v>
      </c>
      <c r="O25">
        <v>1502</v>
      </c>
      <c r="P25">
        <v>1149</v>
      </c>
      <c r="Q25">
        <v>2</v>
      </c>
      <c r="R25">
        <v>57</v>
      </c>
      <c r="T25" t="s">
        <v>393</v>
      </c>
      <c r="U25">
        <v>65149</v>
      </c>
      <c r="V25">
        <v>348.48999984649998</v>
      </c>
      <c r="W25">
        <v>70033</v>
      </c>
      <c r="X25">
        <v>15791</v>
      </c>
      <c r="Y25">
        <v>92989</v>
      </c>
      <c r="Z25">
        <v>53669</v>
      </c>
      <c r="AA25">
        <v>13148</v>
      </c>
      <c r="AB25">
        <v>9645</v>
      </c>
      <c r="AC25">
        <v>21020</v>
      </c>
      <c r="AD25">
        <v>11568</v>
      </c>
      <c r="AE25">
        <v>73</v>
      </c>
      <c r="AF25">
        <v>1197</v>
      </c>
      <c r="AH25" t="s">
        <v>403</v>
      </c>
      <c r="AI25">
        <v>3946</v>
      </c>
      <c r="AJ25">
        <v>257.91839837809999</v>
      </c>
      <c r="AK25">
        <v>7836</v>
      </c>
      <c r="AL25">
        <v>1979</v>
      </c>
      <c r="AM25">
        <v>7758</v>
      </c>
      <c r="AN25">
        <v>3419</v>
      </c>
      <c r="AO25">
        <v>1015</v>
      </c>
      <c r="AP25">
        <v>786</v>
      </c>
      <c r="AQ25">
        <v>1311</v>
      </c>
      <c r="AR25">
        <v>681</v>
      </c>
      <c r="AS25">
        <v>29</v>
      </c>
      <c r="AT25">
        <v>203</v>
      </c>
      <c r="AV25" t="s">
        <v>83</v>
      </c>
      <c r="AW25">
        <v>111</v>
      </c>
      <c r="AX25">
        <v>46.432432432399999</v>
      </c>
      <c r="AY25">
        <v>480</v>
      </c>
      <c r="AZ25">
        <v>21</v>
      </c>
      <c r="BA25">
        <v>269</v>
      </c>
      <c r="BB25">
        <v>32</v>
      </c>
      <c r="BC25">
        <v>1</v>
      </c>
      <c r="BD25">
        <v>1</v>
      </c>
      <c r="BE25">
        <v>10</v>
      </c>
      <c r="BF25">
        <v>3</v>
      </c>
      <c r="BG25">
        <v>257</v>
      </c>
      <c r="BH25">
        <v>58</v>
      </c>
      <c r="BJ25" t="s">
        <v>582</v>
      </c>
      <c r="BK25" t="s">
        <v>398</v>
      </c>
      <c r="BL25">
        <v>5049</v>
      </c>
      <c r="BM25">
        <v>846</v>
      </c>
      <c r="BN25">
        <v>84.741334917800003</v>
      </c>
      <c r="BO25">
        <v>22559</v>
      </c>
      <c r="BP25">
        <v>1028</v>
      </c>
      <c r="BQ25">
        <v>174.90881688019999</v>
      </c>
      <c r="BR25">
        <v>145.94163424120001</v>
      </c>
      <c r="BS25">
        <v>5123</v>
      </c>
      <c r="BT25">
        <v>899</v>
      </c>
      <c r="BU25">
        <v>86.206129221200001</v>
      </c>
      <c r="BV25">
        <v>23651</v>
      </c>
      <c r="BW25">
        <v>1082</v>
      </c>
      <c r="BX25">
        <v>176.65100841399999</v>
      </c>
      <c r="BY25">
        <v>147.11460258779999</v>
      </c>
      <c r="CA25" t="s">
        <v>427</v>
      </c>
      <c r="CB25" t="s">
        <v>815</v>
      </c>
      <c r="CC25" t="s">
        <v>1019</v>
      </c>
      <c r="CD25">
        <v>698</v>
      </c>
      <c r="CE25">
        <v>130</v>
      </c>
      <c r="CF25">
        <v>80.991404011499995</v>
      </c>
      <c r="CG25">
        <v>2659</v>
      </c>
      <c r="CH25">
        <v>118</v>
      </c>
      <c r="CI25">
        <v>130.11620910120001</v>
      </c>
      <c r="CJ25">
        <v>108.7542372881</v>
      </c>
      <c r="CL25" t="s">
        <v>427</v>
      </c>
      <c r="CM25" t="s">
        <v>790</v>
      </c>
      <c r="CN25" t="s">
        <v>798</v>
      </c>
      <c r="CO25">
        <v>32</v>
      </c>
      <c r="CP25">
        <v>2</v>
      </c>
      <c r="CQ25">
        <v>50.40625</v>
      </c>
      <c r="CR25">
        <v>242</v>
      </c>
      <c r="CS25">
        <v>21</v>
      </c>
      <c r="CT25">
        <v>52.305785124000003</v>
      </c>
      <c r="CU25">
        <v>57.285714285700003</v>
      </c>
      <c r="CW25" t="s">
        <v>427</v>
      </c>
      <c r="CX25" t="s">
        <v>803</v>
      </c>
      <c r="CY25" t="s">
        <v>811</v>
      </c>
      <c r="CZ25">
        <v>19</v>
      </c>
      <c r="DA25">
        <v>0</v>
      </c>
      <c r="DB25">
        <v>43.684210526299999</v>
      </c>
      <c r="DC25">
        <v>51</v>
      </c>
      <c r="DD25">
        <v>4</v>
      </c>
      <c r="DE25">
        <v>108.29411764709999</v>
      </c>
      <c r="DF25">
        <v>83.5</v>
      </c>
      <c r="DH25" t="s">
        <v>427</v>
      </c>
      <c r="DI25" t="s">
        <v>777</v>
      </c>
      <c r="DJ25" t="s">
        <v>785</v>
      </c>
      <c r="DK25">
        <v>5</v>
      </c>
      <c r="DL25">
        <v>1</v>
      </c>
      <c r="DM25">
        <v>101.4</v>
      </c>
      <c r="DN25">
        <v>27</v>
      </c>
      <c r="DO25">
        <v>0</v>
      </c>
      <c r="DP25">
        <v>176.74074074070001</v>
      </c>
      <c r="DQ25">
        <v>0</v>
      </c>
    </row>
    <row r="26" spans="2:121" x14ac:dyDescent="0.2">
      <c r="B26" t="s">
        <v>99</v>
      </c>
      <c r="C26">
        <v>132187</v>
      </c>
      <c r="D26">
        <v>55288</v>
      </c>
      <c r="F26" t="s">
        <v>38</v>
      </c>
      <c r="G26">
        <v>4360</v>
      </c>
      <c r="H26">
        <v>555.32591743119997</v>
      </c>
      <c r="I26">
        <v>3533</v>
      </c>
      <c r="J26">
        <v>951</v>
      </c>
      <c r="K26">
        <v>5855</v>
      </c>
      <c r="L26">
        <v>4433</v>
      </c>
      <c r="M26">
        <v>2119</v>
      </c>
      <c r="N26">
        <v>1923</v>
      </c>
      <c r="O26">
        <v>849</v>
      </c>
      <c r="P26">
        <v>744</v>
      </c>
      <c r="Q26">
        <v>2</v>
      </c>
      <c r="R26">
        <v>10</v>
      </c>
      <c r="T26" t="s">
        <v>398</v>
      </c>
      <c r="U26">
        <v>45961</v>
      </c>
      <c r="V26">
        <v>400.33038880790002</v>
      </c>
      <c r="W26">
        <v>53133</v>
      </c>
      <c r="X26">
        <v>11912</v>
      </c>
      <c r="Y26">
        <v>72026</v>
      </c>
      <c r="Z26">
        <v>39865</v>
      </c>
      <c r="AA26">
        <v>10339</v>
      </c>
      <c r="AB26">
        <v>8118</v>
      </c>
      <c r="AC26">
        <v>22653</v>
      </c>
      <c r="AD26">
        <v>14464</v>
      </c>
      <c r="AE26">
        <v>160</v>
      </c>
      <c r="AF26">
        <v>1190</v>
      </c>
      <c r="AH26" t="s">
        <v>409</v>
      </c>
      <c r="AI26">
        <v>1341</v>
      </c>
      <c r="AJ26">
        <v>200.08650261</v>
      </c>
      <c r="AK26">
        <v>5497</v>
      </c>
      <c r="AL26">
        <v>1130</v>
      </c>
      <c r="AM26">
        <v>4339</v>
      </c>
      <c r="AN26">
        <v>1058</v>
      </c>
      <c r="AO26">
        <v>344</v>
      </c>
      <c r="AP26">
        <v>234</v>
      </c>
      <c r="AQ26">
        <v>1171</v>
      </c>
      <c r="AR26">
        <v>583</v>
      </c>
      <c r="AS26">
        <v>5</v>
      </c>
      <c r="AT26">
        <v>2</v>
      </c>
      <c r="AV26" t="s">
        <v>415</v>
      </c>
      <c r="AW26">
        <v>522</v>
      </c>
      <c r="AX26">
        <v>39.848659003800002</v>
      </c>
      <c r="AY26">
        <v>2180</v>
      </c>
      <c r="AZ26">
        <v>70</v>
      </c>
      <c r="BA26">
        <v>942</v>
      </c>
      <c r="BB26">
        <v>59</v>
      </c>
      <c r="BC26">
        <v>10</v>
      </c>
      <c r="BD26">
        <v>9</v>
      </c>
      <c r="BE26">
        <v>66</v>
      </c>
      <c r="BF26">
        <v>38</v>
      </c>
      <c r="BG26">
        <v>875</v>
      </c>
      <c r="BH26">
        <v>278</v>
      </c>
      <c r="BJ26" t="s">
        <v>588</v>
      </c>
      <c r="BK26" t="s">
        <v>398</v>
      </c>
      <c r="BL26">
        <v>7704</v>
      </c>
      <c r="BM26">
        <v>1707</v>
      </c>
      <c r="BN26">
        <v>94.1160436137</v>
      </c>
      <c r="BO26">
        <v>22906</v>
      </c>
      <c r="BP26">
        <v>1043</v>
      </c>
      <c r="BQ26">
        <v>151.966864577</v>
      </c>
      <c r="BR26">
        <v>145.60115052730001</v>
      </c>
      <c r="BS26">
        <v>9035</v>
      </c>
      <c r="BT26">
        <v>2884</v>
      </c>
      <c r="BU26">
        <v>114.0200332042</v>
      </c>
      <c r="BV26">
        <v>33788</v>
      </c>
      <c r="BW26">
        <v>1419</v>
      </c>
      <c r="BX26">
        <v>176.75071031140001</v>
      </c>
      <c r="BY26">
        <v>168.98872445379999</v>
      </c>
      <c r="CA26" t="s">
        <v>399</v>
      </c>
      <c r="CB26" t="s">
        <v>815</v>
      </c>
      <c r="CC26" t="s">
        <v>1020</v>
      </c>
      <c r="CD26">
        <v>8626</v>
      </c>
      <c r="CE26">
        <v>1997</v>
      </c>
      <c r="CF26">
        <v>98.279503825600003</v>
      </c>
      <c r="CG26">
        <v>30450</v>
      </c>
      <c r="CH26">
        <v>1448</v>
      </c>
      <c r="CI26">
        <v>159.76141215109999</v>
      </c>
      <c r="CJ26">
        <v>140.97720994479999</v>
      </c>
      <c r="CL26" t="s">
        <v>399</v>
      </c>
      <c r="CM26" t="s">
        <v>790</v>
      </c>
      <c r="CN26" t="s">
        <v>799</v>
      </c>
      <c r="CO26">
        <v>730</v>
      </c>
      <c r="CP26">
        <v>63</v>
      </c>
      <c r="CQ26">
        <v>57.9808219178</v>
      </c>
      <c r="CR26">
        <v>5696</v>
      </c>
      <c r="CS26">
        <v>287</v>
      </c>
      <c r="CT26">
        <v>57.953827247200003</v>
      </c>
      <c r="CU26">
        <v>61.891986062699999</v>
      </c>
      <c r="CW26" t="s">
        <v>399</v>
      </c>
      <c r="CX26" t="s">
        <v>803</v>
      </c>
      <c r="CY26" t="s">
        <v>812</v>
      </c>
      <c r="CZ26">
        <v>207</v>
      </c>
      <c r="DA26">
        <v>15</v>
      </c>
      <c r="DB26">
        <v>63.144927536200001</v>
      </c>
      <c r="DC26">
        <v>526</v>
      </c>
      <c r="DD26">
        <v>17</v>
      </c>
      <c r="DE26">
        <v>131.0798479087</v>
      </c>
      <c r="DF26">
        <v>106.5294117647</v>
      </c>
      <c r="DH26" t="s">
        <v>399</v>
      </c>
      <c r="DI26" t="s">
        <v>777</v>
      </c>
      <c r="DJ26" t="s">
        <v>786</v>
      </c>
      <c r="DK26">
        <v>163</v>
      </c>
      <c r="DL26">
        <v>15</v>
      </c>
      <c r="DM26">
        <v>66.325153374199999</v>
      </c>
      <c r="DN26">
        <v>358</v>
      </c>
      <c r="DO26">
        <v>15</v>
      </c>
      <c r="DP26">
        <v>147.26815642459999</v>
      </c>
      <c r="DQ26">
        <v>120.8</v>
      </c>
    </row>
    <row r="27" spans="2:121" x14ac:dyDescent="0.2">
      <c r="B27" t="s">
        <v>112</v>
      </c>
      <c r="C27">
        <v>25931</v>
      </c>
      <c r="D27">
        <v>8711</v>
      </c>
      <c r="F27" t="s">
        <v>58</v>
      </c>
      <c r="G27">
        <v>790</v>
      </c>
      <c r="H27">
        <v>140.417721519</v>
      </c>
      <c r="I27">
        <v>917</v>
      </c>
      <c r="J27">
        <v>275</v>
      </c>
      <c r="K27">
        <v>995</v>
      </c>
      <c r="L27">
        <v>387</v>
      </c>
      <c r="M27">
        <v>134</v>
      </c>
      <c r="N27">
        <v>104</v>
      </c>
      <c r="O27">
        <v>747</v>
      </c>
      <c r="P27">
        <v>444</v>
      </c>
      <c r="Q27">
        <v>343</v>
      </c>
      <c r="R27">
        <v>141</v>
      </c>
      <c r="T27" t="s">
        <v>377</v>
      </c>
      <c r="U27">
        <v>74120</v>
      </c>
      <c r="V27">
        <v>402.45029681599999</v>
      </c>
      <c r="W27">
        <v>74173</v>
      </c>
      <c r="X27">
        <v>17809</v>
      </c>
      <c r="Y27">
        <v>104457</v>
      </c>
      <c r="Z27">
        <v>63475</v>
      </c>
      <c r="AA27">
        <v>20629</v>
      </c>
      <c r="AB27">
        <v>15718</v>
      </c>
      <c r="AC27">
        <v>34215</v>
      </c>
      <c r="AD27">
        <v>22148</v>
      </c>
      <c r="AE27">
        <v>6261</v>
      </c>
      <c r="AF27">
        <v>159</v>
      </c>
      <c r="AH27" t="s">
        <v>397</v>
      </c>
      <c r="AI27">
        <v>5134</v>
      </c>
      <c r="AJ27">
        <v>372.16088819629999</v>
      </c>
      <c r="AK27">
        <v>4281</v>
      </c>
      <c r="AL27">
        <v>1065</v>
      </c>
      <c r="AM27">
        <v>7337</v>
      </c>
      <c r="AN27">
        <v>4850</v>
      </c>
      <c r="AO27">
        <v>1086</v>
      </c>
      <c r="AP27">
        <v>916</v>
      </c>
      <c r="AQ27">
        <v>2227</v>
      </c>
      <c r="AR27">
        <v>1281</v>
      </c>
      <c r="AS27">
        <v>12</v>
      </c>
      <c r="AT27">
        <v>145</v>
      </c>
      <c r="AV27" t="s">
        <v>405</v>
      </c>
      <c r="AW27">
        <v>299</v>
      </c>
      <c r="AX27">
        <v>64.408026755899996</v>
      </c>
      <c r="AY27">
        <v>551</v>
      </c>
      <c r="AZ27">
        <v>36</v>
      </c>
      <c r="BA27">
        <v>565</v>
      </c>
      <c r="BB27">
        <v>46</v>
      </c>
      <c r="BC27">
        <v>1</v>
      </c>
      <c r="BD27">
        <v>1</v>
      </c>
      <c r="BE27">
        <v>38</v>
      </c>
      <c r="BF27">
        <v>12</v>
      </c>
      <c r="BG27">
        <v>445</v>
      </c>
      <c r="BH27">
        <v>54</v>
      </c>
      <c r="BJ27" t="s">
        <v>647</v>
      </c>
      <c r="BK27" t="s">
        <v>398</v>
      </c>
      <c r="BL27">
        <v>2894</v>
      </c>
      <c r="BM27">
        <v>586</v>
      </c>
      <c r="BN27">
        <v>89.224602626099994</v>
      </c>
      <c r="BO27">
        <v>7738</v>
      </c>
      <c r="BP27">
        <v>253</v>
      </c>
      <c r="BQ27">
        <v>177.43977772029999</v>
      </c>
      <c r="BR27">
        <v>178.03557312250001</v>
      </c>
      <c r="BS27">
        <v>2965</v>
      </c>
      <c r="BT27">
        <v>626</v>
      </c>
      <c r="BU27">
        <v>90.241821247900006</v>
      </c>
      <c r="BV27">
        <v>7724</v>
      </c>
      <c r="BW27">
        <v>341</v>
      </c>
      <c r="BX27">
        <v>177.25375453129999</v>
      </c>
      <c r="BY27">
        <v>167.9296187683</v>
      </c>
      <c r="CA27" t="s">
        <v>428</v>
      </c>
      <c r="CB27" t="s">
        <v>815</v>
      </c>
      <c r="CC27" t="s">
        <v>1021</v>
      </c>
      <c r="CD27">
        <v>963</v>
      </c>
      <c r="CE27">
        <v>216</v>
      </c>
      <c r="CF27">
        <v>87.688473520200006</v>
      </c>
      <c r="CG27">
        <v>3666</v>
      </c>
      <c r="CH27">
        <v>170</v>
      </c>
      <c r="CI27">
        <v>134.43998908890001</v>
      </c>
      <c r="CJ27">
        <v>133.3117647059</v>
      </c>
      <c r="CL27" t="s">
        <v>428</v>
      </c>
      <c r="CM27" t="s">
        <v>790</v>
      </c>
      <c r="CN27" t="s">
        <v>800</v>
      </c>
      <c r="CO27">
        <v>50</v>
      </c>
      <c r="CP27">
        <v>5</v>
      </c>
      <c r="CQ27">
        <v>52.76</v>
      </c>
      <c r="CR27">
        <v>437</v>
      </c>
      <c r="CS27">
        <v>31</v>
      </c>
      <c r="CT27">
        <v>53.581235697899999</v>
      </c>
      <c r="CU27">
        <v>53</v>
      </c>
      <c r="CW27" t="s">
        <v>428</v>
      </c>
      <c r="CX27" t="s">
        <v>803</v>
      </c>
      <c r="CY27" t="s">
        <v>813</v>
      </c>
      <c r="CZ27">
        <v>8</v>
      </c>
      <c r="DA27">
        <v>1</v>
      </c>
      <c r="DB27">
        <v>64.25</v>
      </c>
      <c r="DC27">
        <v>48</v>
      </c>
      <c r="DD27">
        <v>2</v>
      </c>
      <c r="DE27">
        <v>119.0416666667</v>
      </c>
      <c r="DF27">
        <v>52.5</v>
      </c>
      <c r="DH27" t="s">
        <v>428</v>
      </c>
      <c r="DI27" t="s">
        <v>777</v>
      </c>
      <c r="DJ27" t="s">
        <v>787</v>
      </c>
      <c r="DK27">
        <v>15</v>
      </c>
      <c r="DL27">
        <v>0</v>
      </c>
      <c r="DM27">
        <v>66.400000000000006</v>
      </c>
      <c r="DN27">
        <v>25</v>
      </c>
      <c r="DO27">
        <v>0</v>
      </c>
      <c r="DP27">
        <v>156.72</v>
      </c>
      <c r="DQ27">
        <v>0</v>
      </c>
    </row>
    <row r="28" spans="2:121" x14ac:dyDescent="0.2">
      <c r="B28" t="s">
        <v>20</v>
      </c>
      <c r="C28">
        <v>368</v>
      </c>
      <c r="D28">
        <v>228</v>
      </c>
      <c r="F28" t="s">
        <v>44</v>
      </c>
      <c r="G28">
        <v>1158</v>
      </c>
      <c r="H28">
        <v>124.5846286701</v>
      </c>
      <c r="I28">
        <v>2239</v>
      </c>
      <c r="J28">
        <v>531</v>
      </c>
      <c r="K28">
        <v>2155</v>
      </c>
      <c r="L28">
        <v>577</v>
      </c>
      <c r="M28">
        <v>188</v>
      </c>
      <c r="N28">
        <v>149</v>
      </c>
      <c r="O28">
        <v>2830</v>
      </c>
      <c r="P28">
        <v>2697</v>
      </c>
      <c r="Q28">
        <v>0</v>
      </c>
      <c r="R28">
        <v>10</v>
      </c>
      <c r="T28" t="s">
        <v>8</v>
      </c>
      <c r="U28">
        <v>8760</v>
      </c>
      <c r="V28">
        <v>420.129109589</v>
      </c>
      <c r="W28">
        <v>4065</v>
      </c>
      <c r="X28">
        <v>1716</v>
      </c>
      <c r="Y28">
        <v>10669</v>
      </c>
      <c r="Z28">
        <v>8192</v>
      </c>
      <c r="AA28">
        <v>1344</v>
      </c>
      <c r="AB28">
        <v>1151</v>
      </c>
      <c r="AC28">
        <v>14917</v>
      </c>
      <c r="AD28">
        <v>12599</v>
      </c>
      <c r="AE28">
        <v>380</v>
      </c>
      <c r="AF28">
        <v>155</v>
      </c>
      <c r="AH28" t="s">
        <v>405</v>
      </c>
      <c r="AI28">
        <v>5952</v>
      </c>
      <c r="AJ28">
        <v>286.83551747310003</v>
      </c>
      <c r="AK28">
        <v>5503</v>
      </c>
      <c r="AL28">
        <v>959</v>
      </c>
      <c r="AM28">
        <v>8865</v>
      </c>
      <c r="AN28">
        <v>5229</v>
      </c>
      <c r="AO28">
        <v>2169</v>
      </c>
      <c r="AP28">
        <v>1920</v>
      </c>
      <c r="AQ28">
        <v>6112</v>
      </c>
      <c r="AR28">
        <v>4517</v>
      </c>
      <c r="AS28">
        <v>19</v>
      </c>
      <c r="AT28">
        <v>107</v>
      </c>
      <c r="AV28" t="s">
        <v>389</v>
      </c>
      <c r="AW28">
        <v>1136</v>
      </c>
      <c r="AX28">
        <v>104.65669014079999</v>
      </c>
      <c r="AY28">
        <v>1171</v>
      </c>
      <c r="AZ28">
        <v>298</v>
      </c>
      <c r="BA28">
        <v>1771</v>
      </c>
      <c r="BB28">
        <v>539</v>
      </c>
      <c r="BC28">
        <v>55</v>
      </c>
      <c r="BD28">
        <v>52</v>
      </c>
      <c r="BE28">
        <v>210</v>
      </c>
      <c r="BF28">
        <v>48</v>
      </c>
      <c r="BG28">
        <v>147</v>
      </c>
      <c r="BH28">
        <v>422</v>
      </c>
      <c r="BJ28" t="s">
        <v>541</v>
      </c>
      <c r="BK28" t="s">
        <v>377</v>
      </c>
      <c r="BL28">
        <v>4796</v>
      </c>
      <c r="BM28">
        <v>1076</v>
      </c>
      <c r="BN28">
        <v>105.41909924940001</v>
      </c>
      <c r="BO28">
        <v>19108</v>
      </c>
      <c r="BP28">
        <v>746</v>
      </c>
      <c r="BQ28">
        <v>246.85718023859999</v>
      </c>
      <c r="BR28">
        <v>212.6957104558</v>
      </c>
      <c r="BS28">
        <v>2714</v>
      </c>
      <c r="BT28">
        <v>400</v>
      </c>
      <c r="BU28">
        <v>85.7184966839</v>
      </c>
      <c r="BV28">
        <v>6262</v>
      </c>
      <c r="BW28">
        <v>387</v>
      </c>
      <c r="BX28">
        <v>232.48115618009999</v>
      </c>
      <c r="BY28">
        <v>187.7596899225</v>
      </c>
      <c r="CA28" t="s">
        <v>404</v>
      </c>
      <c r="CB28" t="s">
        <v>815</v>
      </c>
      <c r="CC28" t="s">
        <v>1022</v>
      </c>
      <c r="CD28">
        <v>3870</v>
      </c>
      <c r="CE28">
        <v>880</v>
      </c>
      <c r="CF28">
        <v>90.560981912100004</v>
      </c>
      <c r="CG28">
        <v>14784</v>
      </c>
      <c r="CH28">
        <v>651</v>
      </c>
      <c r="CI28">
        <v>154.6984577922</v>
      </c>
      <c r="CJ28">
        <v>131.53763440860001</v>
      </c>
      <c r="CL28" t="s">
        <v>404</v>
      </c>
      <c r="CM28" t="s">
        <v>790</v>
      </c>
      <c r="CN28" t="s">
        <v>801</v>
      </c>
      <c r="CO28">
        <v>271</v>
      </c>
      <c r="CP28">
        <v>13</v>
      </c>
      <c r="CQ28">
        <v>47.498154981500001</v>
      </c>
      <c r="CR28">
        <v>2265</v>
      </c>
      <c r="CS28">
        <v>111</v>
      </c>
      <c r="CT28">
        <v>43.854304635799998</v>
      </c>
      <c r="CU28">
        <v>49.837837837800002</v>
      </c>
      <c r="CW28" t="s">
        <v>404</v>
      </c>
      <c r="CX28" t="s">
        <v>803</v>
      </c>
      <c r="CY28" t="s">
        <v>814</v>
      </c>
      <c r="CZ28">
        <v>89</v>
      </c>
      <c r="DA28">
        <v>8</v>
      </c>
      <c r="DB28">
        <v>66.629213483100003</v>
      </c>
      <c r="DC28">
        <v>236</v>
      </c>
      <c r="DD28">
        <v>7</v>
      </c>
      <c r="DE28">
        <v>126.0974576271</v>
      </c>
      <c r="DF28">
        <v>122.2857142857</v>
      </c>
      <c r="DH28" t="s">
        <v>404</v>
      </c>
      <c r="DI28" t="s">
        <v>777</v>
      </c>
      <c r="DJ28" t="s">
        <v>788</v>
      </c>
      <c r="DK28">
        <v>59</v>
      </c>
      <c r="DL28">
        <v>4</v>
      </c>
      <c r="DM28">
        <v>65.152542372900001</v>
      </c>
      <c r="DN28">
        <v>176</v>
      </c>
      <c r="DO28">
        <v>13</v>
      </c>
      <c r="DP28">
        <v>154.13636363640001</v>
      </c>
      <c r="DQ28">
        <v>148.4615384615</v>
      </c>
    </row>
    <row r="29" spans="2:121" x14ac:dyDescent="0.2">
      <c r="B29" t="s">
        <v>91</v>
      </c>
      <c r="C29">
        <v>86063</v>
      </c>
      <c r="D29">
        <v>23791</v>
      </c>
      <c r="F29" t="s">
        <v>72</v>
      </c>
      <c r="G29">
        <v>15702</v>
      </c>
      <c r="H29">
        <v>489.58788689340003</v>
      </c>
      <c r="I29">
        <v>11141</v>
      </c>
      <c r="J29">
        <v>2135</v>
      </c>
      <c r="K29">
        <v>17967</v>
      </c>
      <c r="L29">
        <v>12008</v>
      </c>
      <c r="M29">
        <v>5847</v>
      </c>
      <c r="N29">
        <v>5443</v>
      </c>
      <c r="O29">
        <v>5069</v>
      </c>
      <c r="P29">
        <v>4203</v>
      </c>
      <c r="Q29">
        <v>7</v>
      </c>
      <c r="R29">
        <v>23</v>
      </c>
      <c r="T29" t="s">
        <v>412</v>
      </c>
      <c r="U29">
        <v>72638</v>
      </c>
      <c r="V29">
        <v>368.28938021419998</v>
      </c>
      <c r="W29">
        <v>62655</v>
      </c>
      <c r="X29">
        <v>14856</v>
      </c>
      <c r="Y29">
        <v>102628</v>
      </c>
      <c r="Z29">
        <v>63473</v>
      </c>
      <c r="AA29">
        <v>18446</v>
      </c>
      <c r="AB29">
        <v>14931</v>
      </c>
      <c r="AC29">
        <v>24582</v>
      </c>
      <c r="AD29">
        <v>15927</v>
      </c>
      <c r="AE29">
        <v>85</v>
      </c>
      <c r="AF29">
        <v>616</v>
      </c>
      <c r="AH29" t="s">
        <v>426</v>
      </c>
      <c r="AI29">
        <v>1067</v>
      </c>
      <c r="AJ29">
        <v>246.65979381439999</v>
      </c>
      <c r="AK29">
        <v>987</v>
      </c>
      <c r="AL29">
        <v>103</v>
      </c>
      <c r="AM29">
        <v>1727</v>
      </c>
      <c r="AN29">
        <v>702</v>
      </c>
      <c r="AO29">
        <v>412</v>
      </c>
      <c r="AP29">
        <v>199</v>
      </c>
      <c r="AQ29">
        <v>188</v>
      </c>
      <c r="AR29">
        <v>86</v>
      </c>
      <c r="AS29">
        <v>2</v>
      </c>
      <c r="AT29">
        <v>5</v>
      </c>
      <c r="AV29" t="s">
        <v>426</v>
      </c>
      <c r="AW29">
        <v>19</v>
      </c>
      <c r="AX29">
        <v>32.789473684199997</v>
      </c>
      <c r="AY29">
        <v>78</v>
      </c>
      <c r="BA29">
        <v>37</v>
      </c>
      <c r="BB29">
        <v>2</v>
      </c>
      <c r="BC29">
        <v>0</v>
      </c>
      <c r="BE29">
        <v>2</v>
      </c>
      <c r="BG29">
        <v>61</v>
      </c>
      <c r="BH29">
        <v>9</v>
      </c>
      <c r="BJ29" t="s">
        <v>520</v>
      </c>
      <c r="BK29" t="s">
        <v>377</v>
      </c>
      <c r="BL29">
        <v>3750</v>
      </c>
      <c r="BM29">
        <v>953</v>
      </c>
      <c r="BN29">
        <v>100.02133333330001</v>
      </c>
      <c r="BO29">
        <v>11902</v>
      </c>
      <c r="BP29">
        <v>535</v>
      </c>
      <c r="BQ29">
        <v>210.82683582589999</v>
      </c>
      <c r="BR29">
        <v>167.6878504673</v>
      </c>
      <c r="BS29">
        <v>3189</v>
      </c>
      <c r="BT29">
        <v>808</v>
      </c>
      <c r="BU29">
        <v>91.182188773899995</v>
      </c>
      <c r="BV29">
        <v>10146</v>
      </c>
      <c r="BW29">
        <v>461</v>
      </c>
      <c r="BX29">
        <v>196.05647545830001</v>
      </c>
      <c r="BY29">
        <v>156.8242950108</v>
      </c>
      <c r="CA29" t="s">
        <v>398</v>
      </c>
      <c r="CB29" t="s">
        <v>815</v>
      </c>
      <c r="CD29">
        <v>51890</v>
      </c>
      <c r="CE29">
        <v>11675</v>
      </c>
      <c r="CF29">
        <v>95.803507419499994</v>
      </c>
      <c r="CG29">
        <v>190814</v>
      </c>
      <c r="CH29">
        <v>8891</v>
      </c>
      <c r="CI29">
        <v>169.6953001352</v>
      </c>
      <c r="CJ29">
        <v>149.09121583620001</v>
      </c>
      <c r="CL29" t="s">
        <v>398</v>
      </c>
      <c r="CM29" t="s">
        <v>790</v>
      </c>
      <c r="CO29">
        <v>4239</v>
      </c>
      <c r="CP29">
        <v>322</v>
      </c>
      <c r="CQ29">
        <v>55.763387591399997</v>
      </c>
      <c r="CR29">
        <v>30578</v>
      </c>
      <c r="CS29">
        <v>1613</v>
      </c>
      <c r="CT29">
        <v>55.132775197900003</v>
      </c>
      <c r="CU29">
        <v>61.797272163700001</v>
      </c>
      <c r="CW29" t="s">
        <v>398</v>
      </c>
      <c r="CX29" t="s">
        <v>803</v>
      </c>
      <c r="CZ29">
        <v>1187</v>
      </c>
      <c r="DA29">
        <v>113</v>
      </c>
      <c r="DB29">
        <v>64.147430497100004</v>
      </c>
      <c r="DC29">
        <v>3322</v>
      </c>
      <c r="DD29">
        <v>113</v>
      </c>
      <c r="DE29">
        <v>128.0948223961</v>
      </c>
      <c r="DF29">
        <v>105.4955752212</v>
      </c>
      <c r="DH29" t="s">
        <v>398</v>
      </c>
      <c r="DI29" t="s">
        <v>777</v>
      </c>
      <c r="DK29">
        <v>1035</v>
      </c>
      <c r="DL29">
        <v>96</v>
      </c>
      <c r="DM29">
        <v>70.079227053099999</v>
      </c>
      <c r="DN29">
        <v>2810</v>
      </c>
      <c r="DO29">
        <v>104</v>
      </c>
      <c r="DP29">
        <v>150.39750889679999</v>
      </c>
      <c r="DQ29">
        <v>122.5865384615</v>
      </c>
    </row>
    <row r="30" spans="2:121" x14ac:dyDescent="0.2">
      <c r="B30" t="s">
        <v>120</v>
      </c>
      <c r="C30">
        <v>10150</v>
      </c>
      <c r="D30">
        <v>1993</v>
      </c>
      <c r="F30" t="s">
        <v>48</v>
      </c>
      <c r="G30">
        <v>1982</v>
      </c>
      <c r="H30">
        <v>221.69576185669999</v>
      </c>
      <c r="I30">
        <v>2593</v>
      </c>
      <c r="J30">
        <v>527</v>
      </c>
      <c r="K30">
        <v>2640</v>
      </c>
      <c r="L30">
        <v>1426</v>
      </c>
      <c r="M30">
        <v>419</v>
      </c>
      <c r="N30">
        <v>335</v>
      </c>
      <c r="O30">
        <v>84</v>
      </c>
      <c r="P30">
        <v>58</v>
      </c>
      <c r="Q30">
        <v>0</v>
      </c>
      <c r="R30">
        <v>0</v>
      </c>
      <c r="T30" t="s">
        <v>388</v>
      </c>
      <c r="U30">
        <v>80557</v>
      </c>
      <c r="V30">
        <v>352.99577938599998</v>
      </c>
      <c r="W30">
        <v>78057</v>
      </c>
      <c r="X30">
        <v>18436</v>
      </c>
      <c r="Y30">
        <v>112671</v>
      </c>
      <c r="Z30">
        <v>70985</v>
      </c>
      <c r="AA30">
        <v>20772</v>
      </c>
      <c r="AB30">
        <v>16089</v>
      </c>
      <c r="AC30">
        <v>41310</v>
      </c>
      <c r="AD30">
        <v>21846</v>
      </c>
      <c r="AE30">
        <v>3036</v>
      </c>
      <c r="AF30">
        <v>1121</v>
      </c>
      <c r="AH30" t="s">
        <v>408</v>
      </c>
      <c r="AI30">
        <v>1316</v>
      </c>
      <c r="AJ30">
        <v>210.50607902740001</v>
      </c>
      <c r="AK30">
        <v>2034</v>
      </c>
      <c r="AL30">
        <v>309</v>
      </c>
      <c r="AM30">
        <v>2488</v>
      </c>
      <c r="AN30">
        <v>790</v>
      </c>
      <c r="AO30">
        <v>911</v>
      </c>
      <c r="AP30">
        <v>447</v>
      </c>
      <c r="AQ30">
        <v>414</v>
      </c>
      <c r="AR30">
        <v>173</v>
      </c>
      <c r="AS30">
        <v>1</v>
      </c>
      <c r="AT30">
        <v>14</v>
      </c>
      <c r="AV30" t="s">
        <v>392</v>
      </c>
      <c r="AW30">
        <v>296</v>
      </c>
      <c r="AX30">
        <v>63.253378378400001</v>
      </c>
      <c r="AY30">
        <v>561</v>
      </c>
      <c r="AZ30">
        <v>29</v>
      </c>
      <c r="BA30">
        <v>562</v>
      </c>
      <c r="BB30">
        <v>59</v>
      </c>
      <c r="BC30">
        <v>5</v>
      </c>
      <c r="BD30">
        <v>5</v>
      </c>
      <c r="BE30">
        <v>54</v>
      </c>
      <c r="BF30">
        <v>17</v>
      </c>
      <c r="BG30">
        <v>411</v>
      </c>
      <c r="BH30">
        <v>60</v>
      </c>
      <c r="BJ30" t="s">
        <v>528</v>
      </c>
      <c r="BK30" t="s">
        <v>377</v>
      </c>
      <c r="BL30">
        <v>4268</v>
      </c>
      <c r="BM30">
        <v>978</v>
      </c>
      <c r="BN30">
        <v>98.874648547299998</v>
      </c>
      <c r="BO30">
        <v>13238</v>
      </c>
      <c r="BP30">
        <v>823</v>
      </c>
      <c r="BQ30">
        <v>206.70373168149999</v>
      </c>
      <c r="BR30">
        <v>171.73390036449999</v>
      </c>
      <c r="BS30">
        <v>3833</v>
      </c>
      <c r="BT30">
        <v>736</v>
      </c>
      <c r="BU30">
        <v>88.3031567962</v>
      </c>
      <c r="BV30">
        <v>11159</v>
      </c>
      <c r="BW30">
        <v>522</v>
      </c>
      <c r="BX30">
        <v>204.63769154939999</v>
      </c>
      <c r="BY30">
        <v>159.93678160920001</v>
      </c>
      <c r="CA30" t="s">
        <v>381</v>
      </c>
      <c r="CB30" t="s">
        <v>864</v>
      </c>
      <c r="CC30" t="s">
        <v>988</v>
      </c>
      <c r="CD30">
        <v>1868</v>
      </c>
      <c r="CE30">
        <v>377</v>
      </c>
      <c r="CF30">
        <v>88.678800856500004</v>
      </c>
      <c r="CG30">
        <v>6654</v>
      </c>
      <c r="CH30">
        <v>316</v>
      </c>
      <c r="CI30">
        <v>151.2888488127</v>
      </c>
      <c r="CJ30">
        <v>144.72468354430001</v>
      </c>
      <c r="CL30" t="s">
        <v>381</v>
      </c>
      <c r="CM30" t="s">
        <v>833</v>
      </c>
      <c r="CN30" t="s">
        <v>832</v>
      </c>
      <c r="CO30">
        <v>109</v>
      </c>
      <c r="CP30">
        <v>12</v>
      </c>
      <c r="CQ30">
        <v>78.201834862400005</v>
      </c>
      <c r="CR30">
        <v>862</v>
      </c>
      <c r="CS30">
        <v>37</v>
      </c>
      <c r="CT30">
        <v>74.874709976800006</v>
      </c>
      <c r="CU30">
        <v>55.027027027000003</v>
      </c>
      <c r="CW30" t="s">
        <v>381</v>
      </c>
      <c r="CX30" t="s">
        <v>849</v>
      </c>
      <c r="CY30" t="s">
        <v>848</v>
      </c>
      <c r="CZ30">
        <v>51</v>
      </c>
      <c r="DA30">
        <v>2</v>
      </c>
      <c r="DB30">
        <v>59.588235294100002</v>
      </c>
      <c r="DC30">
        <v>142</v>
      </c>
      <c r="DD30">
        <v>2</v>
      </c>
      <c r="DE30">
        <v>136.84507042249999</v>
      </c>
      <c r="DF30">
        <v>93</v>
      </c>
      <c r="DH30" t="s">
        <v>381</v>
      </c>
      <c r="DI30" t="s">
        <v>817</v>
      </c>
      <c r="DJ30" t="s">
        <v>816</v>
      </c>
      <c r="DK30">
        <v>63</v>
      </c>
      <c r="DL30">
        <v>1</v>
      </c>
      <c r="DM30">
        <v>59.285714285700003</v>
      </c>
      <c r="DN30">
        <v>74</v>
      </c>
      <c r="DO30">
        <v>2</v>
      </c>
      <c r="DP30">
        <v>117.5</v>
      </c>
      <c r="DQ30">
        <v>156.5</v>
      </c>
    </row>
    <row r="31" spans="2:121" x14ac:dyDescent="0.2">
      <c r="B31" t="s">
        <v>96</v>
      </c>
      <c r="C31">
        <v>149</v>
      </c>
      <c r="D31">
        <v>117</v>
      </c>
      <c r="F31" t="s">
        <v>76</v>
      </c>
      <c r="G31">
        <v>13631</v>
      </c>
      <c r="H31">
        <v>401.33621891280001</v>
      </c>
      <c r="I31">
        <v>7315</v>
      </c>
      <c r="J31">
        <v>1536</v>
      </c>
      <c r="K31">
        <v>19160</v>
      </c>
      <c r="L31">
        <v>13351</v>
      </c>
      <c r="M31">
        <v>3948</v>
      </c>
      <c r="N31">
        <v>3567</v>
      </c>
      <c r="O31">
        <v>4829</v>
      </c>
      <c r="P31">
        <v>4205</v>
      </c>
      <c r="Q31">
        <v>0</v>
      </c>
      <c r="R31">
        <v>148</v>
      </c>
      <c r="T31" t="s">
        <v>469</v>
      </c>
      <c r="U31">
        <v>347185</v>
      </c>
      <c r="V31">
        <v>373.86808761899999</v>
      </c>
      <c r="W31">
        <v>342116</v>
      </c>
      <c r="X31">
        <v>80520</v>
      </c>
      <c r="Y31">
        <v>495440</v>
      </c>
      <c r="Z31">
        <v>299659</v>
      </c>
      <c r="AA31">
        <v>84678</v>
      </c>
      <c r="AB31">
        <v>65652</v>
      </c>
      <c r="AC31">
        <v>158697</v>
      </c>
      <c r="AD31">
        <v>98552</v>
      </c>
      <c r="AE31">
        <v>9995</v>
      </c>
      <c r="AF31">
        <v>4438</v>
      </c>
      <c r="AH31" t="s">
        <v>421</v>
      </c>
      <c r="AI31">
        <v>4308</v>
      </c>
      <c r="AJ31">
        <v>439.91272051999999</v>
      </c>
      <c r="AK31">
        <v>3978</v>
      </c>
      <c r="AL31">
        <v>1168</v>
      </c>
      <c r="AM31">
        <v>5531</v>
      </c>
      <c r="AN31">
        <v>3560</v>
      </c>
      <c r="AO31">
        <v>540</v>
      </c>
      <c r="AP31">
        <v>467</v>
      </c>
      <c r="AQ31">
        <v>1488</v>
      </c>
      <c r="AR31">
        <v>838</v>
      </c>
      <c r="AS31">
        <v>8</v>
      </c>
      <c r="AT31">
        <v>112</v>
      </c>
      <c r="AV31" t="s">
        <v>413</v>
      </c>
      <c r="AW31">
        <v>32</v>
      </c>
      <c r="AX31">
        <v>39.375</v>
      </c>
      <c r="AY31">
        <v>136</v>
      </c>
      <c r="AZ31">
        <v>3</v>
      </c>
      <c r="BA31">
        <v>57</v>
      </c>
      <c r="BB31">
        <v>4</v>
      </c>
      <c r="BC31">
        <v>0</v>
      </c>
      <c r="BE31">
        <v>5</v>
      </c>
      <c r="BF31">
        <v>1</v>
      </c>
      <c r="BG31">
        <v>157</v>
      </c>
      <c r="BH31">
        <v>18</v>
      </c>
      <c r="BJ31" t="s">
        <v>530</v>
      </c>
      <c r="BK31" t="s">
        <v>377</v>
      </c>
      <c r="BL31">
        <v>1818</v>
      </c>
      <c r="BM31">
        <v>342</v>
      </c>
      <c r="BN31">
        <v>86.223872387200004</v>
      </c>
      <c r="BO31">
        <v>6314</v>
      </c>
      <c r="BP31">
        <v>307</v>
      </c>
      <c r="BQ31">
        <v>150.88454228699999</v>
      </c>
      <c r="BR31">
        <v>149.0846905537</v>
      </c>
      <c r="BS31">
        <v>2442</v>
      </c>
      <c r="BT31">
        <v>657</v>
      </c>
      <c r="BU31">
        <v>104.44103194100001</v>
      </c>
      <c r="BV31">
        <v>9571</v>
      </c>
      <c r="BW31">
        <v>421</v>
      </c>
      <c r="BX31">
        <v>174.64758123499999</v>
      </c>
      <c r="BY31">
        <v>173.6294536817</v>
      </c>
      <c r="CA31" t="s">
        <v>431</v>
      </c>
      <c r="CB31" t="s">
        <v>864</v>
      </c>
      <c r="CC31" t="s">
        <v>989</v>
      </c>
      <c r="CD31">
        <v>940</v>
      </c>
      <c r="CE31">
        <v>259</v>
      </c>
      <c r="CF31">
        <v>110.3563829787</v>
      </c>
      <c r="CG31">
        <v>3158</v>
      </c>
      <c r="CH31">
        <v>156</v>
      </c>
      <c r="CI31">
        <v>215.7324255858</v>
      </c>
      <c r="CJ31">
        <v>193.16025641030001</v>
      </c>
      <c r="CL31" t="s">
        <v>431</v>
      </c>
      <c r="CM31" t="s">
        <v>833</v>
      </c>
      <c r="CN31" t="s">
        <v>834</v>
      </c>
      <c r="CO31">
        <v>36</v>
      </c>
      <c r="CP31">
        <v>5</v>
      </c>
      <c r="CQ31">
        <v>80.333333333300004</v>
      </c>
      <c r="CR31">
        <v>301</v>
      </c>
      <c r="CS31">
        <v>11</v>
      </c>
      <c r="CT31">
        <v>83.305647840500001</v>
      </c>
      <c r="CU31">
        <v>69.545454545499993</v>
      </c>
      <c r="CW31" t="s">
        <v>431</v>
      </c>
      <c r="CX31" t="s">
        <v>849</v>
      </c>
      <c r="CY31" t="s">
        <v>850</v>
      </c>
      <c r="CZ31">
        <v>20</v>
      </c>
      <c r="DA31">
        <v>3</v>
      </c>
      <c r="DB31">
        <v>68</v>
      </c>
      <c r="DC31">
        <v>44</v>
      </c>
      <c r="DD31">
        <v>0</v>
      </c>
      <c r="DE31">
        <v>118.9772727273</v>
      </c>
      <c r="DF31">
        <v>0</v>
      </c>
      <c r="DH31" t="s">
        <v>431</v>
      </c>
      <c r="DI31" t="s">
        <v>817</v>
      </c>
      <c r="DJ31" t="s">
        <v>818</v>
      </c>
      <c r="DK31">
        <v>21</v>
      </c>
      <c r="DL31">
        <v>5</v>
      </c>
      <c r="DM31">
        <v>77.142857142899999</v>
      </c>
      <c r="DN31">
        <v>38</v>
      </c>
      <c r="DO31">
        <v>1</v>
      </c>
      <c r="DP31">
        <v>121.7894736842</v>
      </c>
      <c r="DQ31">
        <v>131</v>
      </c>
    </row>
    <row r="32" spans="2:121" x14ac:dyDescent="0.2">
      <c r="B32" t="s">
        <v>128</v>
      </c>
      <c r="C32">
        <v>632</v>
      </c>
      <c r="D32">
        <v>21</v>
      </c>
      <c r="F32" t="s">
        <v>68</v>
      </c>
      <c r="G32">
        <v>4076</v>
      </c>
      <c r="H32">
        <v>469.01202158979999</v>
      </c>
      <c r="I32">
        <v>4919</v>
      </c>
      <c r="J32">
        <v>1491</v>
      </c>
      <c r="K32">
        <v>5572</v>
      </c>
      <c r="L32">
        <v>4304</v>
      </c>
      <c r="M32">
        <v>617</v>
      </c>
      <c r="N32">
        <v>544</v>
      </c>
      <c r="O32">
        <v>1139</v>
      </c>
      <c r="P32">
        <v>821</v>
      </c>
      <c r="Q32">
        <v>0</v>
      </c>
      <c r="R32">
        <v>3</v>
      </c>
      <c r="AH32" t="s">
        <v>423</v>
      </c>
      <c r="AI32">
        <v>1792</v>
      </c>
      <c r="AJ32">
        <v>386.02008928570001</v>
      </c>
      <c r="AK32">
        <v>1228</v>
      </c>
      <c r="AL32">
        <v>264</v>
      </c>
      <c r="AM32">
        <v>2503</v>
      </c>
      <c r="AN32">
        <v>1547</v>
      </c>
      <c r="AO32">
        <v>663</v>
      </c>
      <c r="AP32">
        <v>506</v>
      </c>
      <c r="AQ32">
        <v>172</v>
      </c>
      <c r="AR32">
        <v>91</v>
      </c>
      <c r="AS32">
        <v>123</v>
      </c>
      <c r="AT32">
        <v>3</v>
      </c>
      <c r="AV32" t="s">
        <v>423</v>
      </c>
      <c r="AW32">
        <v>87</v>
      </c>
      <c r="AX32">
        <v>92.586206896600004</v>
      </c>
      <c r="AY32">
        <v>102</v>
      </c>
      <c r="AZ32">
        <v>18</v>
      </c>
      <c r="BA32">
        <v>133</v>
      </c>
      <c r="BB32">
        <v>29</v>
      </c>
      <c r="BC32">
        <v>2</v>
      </c>
      <c r="BD32">
        <v>2</v>
      </c>
      <c r="BE32">
        <v>15</v>
      </c>
      <c r="BF32">
        <v>3</v>
      </c>
      <c r="BG32">
        <v>9</v>
      </c>
      <c r="BH32">
        <v>32</v>
      </c>
      <c r="BJ32" t="s">
        <v>545</v>
      </c>
      <c r="BK32" t="s">
        <v>377</v>
      </c>
      <c r="BL32">
        <v>2262</v>
      </c>
      <c r="BM32">
        <v>406</v>
      </c>
      <c r="BN32">
        <v>84.068523430599996</v>
      </c>
      <c r="BO32">
        <v>9076</v>
      </c>
      <c r="BP32">
        <v>368</v>
      </c>
      <c r="BQ32">
        <v>141.95207139710001</v>
      </c>
      <c r="BR32">
        <v>129.5815217391</v>
      </c>
      <c r="BS32">
        <v>4843</v>
      </c>
      <c r="BT32">
        <v>1094</v>
      </c>
      <c r="BU32">
        <v>100.3999587033</v>
      </c>
      <c r="BV32">
        <v>18032</v>
      </c>
      <c r="BW32">
        <v>829</v>
      </c>
      <c r="BX32">
        <v>177.59605146409999</v>
      </c>
      <c r="BY32">
        <v>174.7876960193</v>
      </c>
      <c r="CA32" t="s">
        <v>422</v>
      </c>
      <c r="CB32" t="s">
        <v>864</v>
      </c>
      <c r="CC32" t="s">
        <v>990</v>
      </c>
      <c r="CD32">
        <v>426</v>
      </c>
      <c r="CE32">
        <v>126</v>
      </c>
      <c r="CF32">
        <v>114.5892018779</v>
      </c>
      <c r="CG32">
        <v>1585</v>
      </c>
      <c r="CH32">
        <v>80</v>
      </c>
      <c r="CI32">
        <v>210.82271293380001</v>
      </c>
      <c r="CJ32">
        <v>177.45</v>
      </c>
      <c r="CL32" t="s">
        <v>422</v>
      </c>
      <c r="CM32" t="s">
        <v>833</v>
      </c>
      <c r="CN32" t="s">
        <v>835</v>
      </c>
      <c r="CO32">
        <v>53</v>
      </c>
      <c r="CP32">
        <v>1</v>
      </c>
      <c r="CQ32">
        <v>54.641509434</v>
      </c>
      <c r="CR32">
        <v>194</v>
      </c>
      <c r="CS32">
        <v>20</v>
      </c>
      <c r="CT32">
        <v>86.592783505200003</v>
      </c>
      <c r="CU32">
        <v>77.3</v>
      </c>
      <c r="CW32" t="s">
        <v>422</v>
      </c>
      <c r="CX32" t="s">
        <v>849</v>
      </c>
      <c r="CY32" t="s">
        <v>851</v>
      </c>
      <c r="CZ32">
        <v>20</v>
      </c>
      <c r="DA32">
        <v>3</v>
      </c>
      <c r="DB32">
        <v>63.8</v>
      </c>
      <c r="DC32">
        <v>44</v>
      </c>
      <c r="DD32">
        <v>2</v>
      </c>
      <c r="DE32">
        <v>142.95454545449999</v>
      </c>
      <c r="DF32">
        <v>145</v>
      </c>
      <c r="DH32" t="s">
        <v>422</v>
      </c>
      <c r="DI32" t="s">
        <v>817</v>
      </c>
      <c r="DJ32" t="s">
        <v>819</v>
      </c>
      <c r="DK32">
        <v>23</v>
      </c>
      <c r="DL32">
        <v>0</v>
      </c>
      <c r="DM32">
        <v>52.304347826099999</v>
      </c>
      <c r="DN32">
        <v>37</v>
      </c>
      <c r="DO32">
        <v>4</v>
      </c>
      <c r="DP32">
        <v>122.4864864865</v>
      </c>
      <c r="DQ32">
        <v>113</v>
      </c>
    </row>
    <row r="33" spans="2:121" x14ac:dyDescent="0.2">
      <c r="B33" t="s">
        <v>22</v>
      </c>
      <c r="C33">
        <v>207544</v>
      </c>
      <c r="D33">
        <v>42471</v>
      </c>
      <c r="F33" t="s">
        <v>70</v>
      </c>
      <c r="G33">
        <v>845</v>
      </c>
      <c r="H33">
        <v>144.04497041420001</v>
      </c>
      <c r="I33">
        <v>2174</v>
      </c>
      <c r="J33">
        <v>390</v>
      </c>
      <c r="K33">
        <v>3186</v>
      </c>
      <c r="L33">
        <v>594</v>
      </c>
      <c r="M33">
        <v>1554</v>
      </c>
      <c r="N33">
        <v>332</v>
      </c>
      <c r="O33">
        <v>258</v>
      </c>
      <c r="P33">
        <v>97</v>
      </c>
      <c r="Q33">
        <v>0</v>
      </c>
      <c r="R33">
        <v>0</v>
      </c>
      <c r="AH33" t="s">
        <v>382</v>
      </c>
      <c r="AI33">
        <v>2657</v>
      </c>
      <c r="AJ33">
        <v>264.3406097102</v>
      </c>
      <c r="AK33">
        <v>4118</v>
      </c>
      <c r="AL33">
        <v>1022</v>
      </c>
      <c r="AM33">
        <v>4332</v>
      </c>
      <c r="AN33">
        <v>1967</v>
      </c>
      <c r="AO33">
        <v>901</v>
      </c>
      <c r="AP33">
        <v>403</v>
      </c>
      <c r="AQ33">
        <v>2078</v>
      </c>
      <c r="AR33">
        <v>1114</v>
      </c>
      <c r="AS33">
        <v>544</v>
      </c>
      <c r="AT33">
        <v>4</v>
      </c>
      <c r="AV33" t="s">
        <v>434</v>
      </c>
      <c r="AW33">
        <v>117</v>
      </c>
      <c r="AX33">
        <v>40.444444444399998</v>
      </c>
      <c r="AY33">
        <v>504</v>
      </c>
      <c r="AZ33">
        <v>21</v>
      </c>
      <c r="BA33">
        <v>203</v>
      </c>
      <c r="BB33">
        <v>11</v>
      </c>
      <c r="BC33">
        <v>3</v>
      </c>
      <c r="BD33">
        <v>3</v>
      </c>
      <c r="BE33">
        <v>12</v>
      </c>
      <c r="BF33">
        <v>5</v>
      </c>
      <c r="BG33">
        <v>224</v>
      </c>
      <c r="BH33">
        <v>64</v>
      </c>
      <c r="BJ33" t="s">
        <v>630</v>
      </c>
      <c r="BK33" t="s">
        <v>377</v>
      </c>
      <c r="BL33">
        <v>1329</v>
      </c>
      <c r="BM33">
        <v>244</v>
      </c>
      <c r="BN33">
        <v>86.823927765199997</v>
      </c>
      <c r="BO33">
        <v>3897</v>
      </c>
      <c r="BP33">
        <v>157</v>
      </c>
      <c r="BQ33">
        <v>173.76802668720001</v>
      </c>
      <c r="BR33">
        <v>147.80254777069999</v>
      </c>
      <c r="BS33">
        <v>1375</v>
      </c>
      <c r="BT33">
        <v>293</v>
      </c>
      <c r="BU33">
        <v>99.075636363599997</v>
      </c>
      <c r="BV33">
        <v>4657</v>
      </c>
      <c r="BW33">
        <v>168</v>
      </c>
      <c r="BX33">
        <v>190.4371913249</v>
      </c>
      <c r="BY33">
        <v>165.78571428570001</v>
      </c>
      <c r="CA33" t="s">
        <v>424</v>
      </c>
      <c r="CB33" t="s">
        <v>864</v>
      </c>
      <c r="CC33" t="s">
        <v>991</v>
      </c>
      <c r="CD33">
        <v>1387</v>
      </c>
      <c r="CE33">
        <v>167</v>
      </c>
      <c r="CF33">
        <v>76.430425378500004</v>
      </c>
      <c r="CG33">
        <v>4498</v>
      </c>
      <c r="CH33">
        <v>222</v>
      </c>
      <c r="CI33">
        <v>127.32592263230001</v>
      </c>
      <c r="CJ33">
        <v>124.00450450450001</v>
      </c>
      <c r="CL33" t="s">
        <v>424</v>
      </c>
      <c r="CM33" t="s">
        <v>833</v>
      </c>
      <c r="CN33" t="s">
        <v>836</v>
      </c>
      <c r="CO33">
        <v>60</v>
      </c>
      <c r="CP33">
        <v>2</v>
      </c>
      <c r="CQ33">
        <v>55.483333333300003</v>
      </c>
      <c r="CR33">
        <v>545</v>
      </c>
      <c r="CS33">
        <v>30</v>
      </c>
      <c r="CT33">
        <v>66.0110091743</v>
      </c>
      <c r="CU33">
        <v>75.233333333299996</v>
      </c>
      <c r="CW33" t="s">
        <v>424</v>
      </c>
      <c r="CX33" t="s">
        <v>849</v>
      </c>
      <c r="CY33" t="s">
        <v>852</v>
      </c>
      <c r="CZ33">
        <v>18</v>
      </c>
      <c r="DA33">
        <v>2</v>
      </c>
      <c r="DB33">
        <v>64.611111111100001</v>
      </c>
      <c r="DC33">
        <v>68</v>
      </c>
      <c r="DD33">
        <v>2</v>
      </c>
      <c r="DE33">
        <v>127.9411764706</v>
      </c>
      <c r="DF33">
        <v>124.5</v>
      </c>
      <c r="DH33" t="s">
        <v>424</v>
      </c>
      <c r="DI33" t="s">
        <v>817</v>
      </c>
      <c r="DJ33" t="s">
        <v>820</v>
      </c>
      <c r="DK33">
        <v>20</v>
      </c>
      <c r="DL33">
        <v>3</v>
      </c>
      <c r="DM33">
        <v>73.150000000000006</v>
      </c>
      <c r="DN33">
        <v>35</v>
      </c>
      <c r="DO33">
        <v>1</v>
      </c>
      <c r="DP33">
        <v>114.57142857140001</v>
      </c>
      <c r="DQ33">
        <v>41</v>
      </c>
    </row>
    <row r="34" spans="2:121" x14ac:dyDescent="0.2">
      <c r="B34" t="s">
        <v>92</v>
      </c>
      <c r="C34">
        <v>7</v>
      </c>
      <c r="D34">
        <v>2</v>
      </c>
      <c r="F34" t="s">
        <v>40</v>
      </c>
      <c r="G34">
        <v>6416</v>
      </c>
      <c r="H34">
        <v>531.58634663340001</v>
      </c>
      <c r="I34">
        <v>6462</v>
      </c>
      <c r="J34">
        <v>1845</v>
      </c>
      <c r="K34">
        <v>7759</v>
      </c>
      <c r="L34">
        <v>6004</v>
      </c>
      <c r="M34">
        <v>1369</v>
      </c>
      <c r="N34">
        <v>1322</v>
      </c>
      <c r="O34">
        <v>2258</v>
      </c>
      <c r="P34">
        <v>1772</v>
      </c>
      <c r="Q34">
        <v>1</v>
      </c>
      <c r="R34">
        <v>288</v>
      </c>
      <c r="AH34" t="s">
        <v>413</v>
      </c>
      <c r="AI34">
        <v>1710</v>
      </c>
      <c r="AJ34">
        <v>211.3204678363</v>
      </c>
      <c r="AK34">
        <v>3023</v>
      </c>
      <c r="AL34">
        <v>797</v>
      </c>
      <c r="AM34">
        <v>2476</v>
      </c>
      <c r="AN34">
        <v>920</v>
      </c>
      <c r="AO34">
        <v>263</v>
      </c>
      <c r="AP34">
        <v>160</v>
      </c>
      <c r="AQ34">
        <v>564</v>
      </c>
      <c r="AR34">
        <v>246</v>
      </c>
      <c r="AS34">
        <v>4</v>
      </c>
      <c r="AT34">
        <v>19</v>
      </c>
      <c r="AV34" t="s">
        <v>380</v>
      </c>
      <c r="AW34">
        <v>61</v>
      </c>
      <c r="AX34">
        <v>91.852459016400005</v>
      </c>
      <c r="AY34">
        <v>120</v>
      </c>
      <c r="AZ34">
        <v>30</v>
      </c>
      <c r="BA34">
        <v>111</v>
      </c>
      <c r="BB34">
        <v>24</v>
      </c>
      <c r="BC34">
        <v>5</v>
      </c>
      <c r="BD34">
        <v>5</v>
      </c>
      <c r="BE34">
        <v>16</v>
      </c>
      <c r="BF34">
        <v>3</v>
      </c>
      <c r="BG34">
        <v>13</v>
      </c>
      <c r="BH34">
        <v>27</v>
      </c>
      <c r="BJ34" t="s">
        <v>526</v>
      </c>
      <c r="BK34" t="s">
        <v>377</v>
      </c>
      <c r="BL34">
        <v>4745</v>
      </c>
      <c r="BM34">
        <v>945</v>
      </c>
      <c r="BN34">
        <v>97.397260274000004</v>
      </c>
      <c r="BO34">
        <v>16207</v>
      </c>
      <c r="BP34">
        <v>671</v>
      </c>
      <c r="BQ34">
        <v>203.46813105449999</v>
      </c>
      <c r="BR34">
        <v>195.01639344259999</v>
      </c>
      <c r="BS34">
        <v>4243</v>
      </c>
      <c r="BT34">
        <v>730</v>
      </c>
      <c r="BU34">
        <v>87.1751119491</v>
      </c>
      <c r="BV34">
        <v>13780</v>
      </c>
      <c r="BW34">
        <v>617</v>
      </c>
      <c r="BX34">
        <v>190.2608127721</v>
      </c>
      <c r="BY34">
        <v>178.8703403566</v>
      </c>
      <c r="CA34" t="s">
        <v>384</v>
      </c>
      <c r="CB34" t="s">
        <v>864</v>
      </c>
      <c r="CC34" t="s">
        <v>992</v>
      </c>
      <c r="CD34">
        <v>5356</v>
      </c>
      <c r="CE34">
        <v>1161</v>
      </c>
      <c r="CF34">
        <v>102.63424197160001</v>
      </c>
      <c r="CG34">
        <v>20844</v>
      </c>
      <c r="CH34">
        <v>829</v>
      </c>
      <c r="CI34">
        <v>229.72649203610001</v>
      </c>
      <c r="CJ34">
        <v>194.90711700840001</v>
      </c>
      <c r="CL34" t="s">
        <v>384</v>
      </c>
      <c r="CM34" t="s">
        <v>833</v>
      </c>
      <c r="CN34" t="s">
        <v>837</v>
      </c>
      <c r="CO34">
        <v>279</v>
      </c>
      <c r="CP34">
        <v>28</v>
      </c>
      <c r="CQ34">
        <v>71.738351254500003</v>
      </c>
      <c r="CR34">
        <v>1872</v>
      </c>
      <c r="CS34">
        <v>108</v>
      </c>
      <c r="CT34">
        <v>85.142628205099996</v>
      </c>
      <c r="CU34">
        <v>82.435185185199998</v>
      </c>
      <c r="CW34" t="s">
        <v>384</v>
      </c>
      <c r="CX34" t="s">
        <v>849</v>
      </c>
      <c r="CY34" t="s">
        <v>853</v>
      </c>
      <c r="CZ34">
        <v>223</v>
      </c>
      <c r="DA34">
        <v>19</v>
      </c>
      <c r="DB34">
        <v>68.430493273500005</v>
      </c>
      <c r="DC34">
        <v>553</v>
      </c>
      <c r="DD34">
        <v>26</v>
      </c>
      <c r="DE34">
        <v>140.79927667269999</v>
      </c>
      <c r="DF34">
        <v>145.57692307689999</v>
      </c>
      <c r="DH34" t="s">
        <v>384</v>
      </c>
      <c r="DI34" t="s">
        <v>817</v>
      </c>
      <c r="DJ34" t="s">
        <v>821</v>
      </c>
      <c r="DK34">
        <v>295</v>
      </c>
      <c r="DL34">
        <v>30</v>
      </c>
      <c r="DM34">
        <v>72.467796610199997</v>
      </c>
      <c r="DN34">
        <v>619</v>
      </c>
      <c r="DO34">
        <v>24</v>
      </c>
      <c r="DP34">
        <v>150.563812601</v>
      </c>
      <c r="DQ34">
        <v>142.2916666667</v>
      </c>
    </row>
    <row r="35" spans="2:121" x14ac:dyDescent="0.2">
      <c r="B35" t="s">
        <v>105</v>
      </c>
      <c r="C35">
        <v>688</v>
      </c>
      <c r="D35">
        <v>625</v>
      </c>
      <c r="F35" t="s">
        <v>74</v>
      </c>
      <c r="G35">
        <v>7401</v>
      </c>
      <c r="H35">
        <v>322.54208890690001</v>
      </c>
      <c r="I35">
        <v>12610</v>
      </c>
      <c r="J35">
        <v>2005</v>
      </c>
      <c r="K35">
        <v>15541</v>
      </c>
      <c r="L35">
        <v>6543</v>
      </c>
      <c r="M35">
        <v>1919</v>
      </c>
      <c r="N35">
        <v>1351</v>
      </c>
      <c r="O35">
        <v>1995</v>
      </c>
      <c r="P35">
        <v>1399</v>
      </c>
      <c r="Q35">
        <v>0</v>
      </c>
      <c r="R35">
        <v>69</v>
      </c>
      <c r="AH35" t="s">
        <v>63</v>
      </c>
      <c r="AI35">
        <v>5425</v>
      </c>
      <c r="AJ35">
        <v>268.79870967739998</v>
      </c>
      <c r="AK35">
        <v>9378</v>
      </c>
      <c r="AL35">
        <v>2076</v>
      </c>
      <c r="AM35">
        <v>8604</v>
      </c>
      <c r="AN35">
        <v>4186</v>
      </c>
      <c r="AO35">
        <v>1996</v>
      </c>
      <c r="AP35">
        <v>1274</v>
      </c>
      <c r="AQ35">
        <v>1624</v>
      </c>
      <c r="AR35">
        <v>819</v>
      </c>
      <c r="AS35">
        <v>1100</v>
      </c>
      <c r="AT35">
        <v>18</v>
      </c>
      <c r="AV35" t="s">
        <v>403</v>
      </c>
      <c r="AW35">
        <v>367</v>
      </c>
      <c r="AX35">
        <v>57.768392370599997</v>
      </c>
      <c r="AY35">
        <v>967</v>
      </c>
      <c r="AZ35">
        <v>68</v>
      </c>
      <c r="BA35">
        <v>698</v>
      </c>
      <c r="BB35">
        <v>55</v>
      </c>
      <c r="BC35">
        <v>3</v>
      </c>
      <c r="BD35">
        <v>3</v>
      </c>
      <c r="BE35">
        <v>47</v>
      </c>
      <c r="BF35">
        <v>10</v>
      </c>
      <c r="BG35">
        <v>591</v>
      </c>
      <c r="BH35">
        <v>78</v>
      </c>
      <c r="BJ35" t="s">
        <v>532</v>
      </c>
      <c r="BK35" t="s">
        <v>377</v>
      </c>
      <c r="BL35">
        <v>2910</v>
      </c>
      <c r="BM35">
        <v>517</v>
      </c>
      <c r="BN35">
        <v>89.232989690699995</v>
      </c>
      <c r="BO35">
        <v>7243</v>
      </c>
      <c r="BP35">
        <v>338</v>
      </c>
      <c r="BQ35">
        <v>167.7657048184</v>
      </c>
      <c r="BR35">
        <v>191.72189349109999</v>
      </c>
      <c r="BS35">
        <v>2642</v>
      </c>
      <c r="BT35">
        <v>429</v>
      </c>
      <c r="BU35">
        <v>84.167676002999997</v>
      </c>
      <c r="BV35">
        <v>7306</v>
      </c>
      <c r="BW35">
        <v>301</v>
      </c>
      <c r="BX35">
        <v>168.87845606350001</v>
      </c>
      <c r="BY35">
        <v>195.9534883721</v>
      </c>
      <c r="CA35" t="s">
        <v>379</v>
      </c>
      <c r="CB35" t="s">
        <v>864</v>
      </c>
      <c r="CC35" t="s">
        <v>993</v>
      </c>
      <c r="CD35">
        <v>4539</v>
      </c>
      <c r="CE35">
        <v>1132</v>
      </c>
      <c r="CF35">
        <v>99.530953954599994</v>
      </c>
      <c r="CG35">
        <v>14831</v>
      </c>
      <c r="CH35">
        <v>697</v>
      </c>
      <c r="CI35">
        <v>191.55633470430001</v>
      </c>
      <c r="CJ35">
        <v>158.25394548060001</v>
      </c>
      <c r="CL35" t="s">
        <v>379</v>
      </c>
      <c r="CM35" t="s">
        <v>833</v>
      </c>
      <c r="CN35" t="s">
        <v>838</v>
      </c>
      <c r="CO35">
        <v>234</v>
      </c>
      <c r="CP35">
        <v>22</v>
      </c>
      <c r="CQ35">
        <v>65.705128205099996</v>
      </c>
      <c r="CR35">
        <v>1624</v>
      </c>
      <c r="CS35">
        <v>86</v>
      </c>
      <c r="CT35">
        <v>69.880541871899993</v>
      </c>
      <c r="CU35">
        <v>64.965116279100002</v>
      </c>
      <c r="CW35" t="s">
        <v>379</v>
      </c>
      <c r="CX35" t="s">
        <v>849</v>
      </c>
      <c r="CY35" t="s">
        <v>854</v>
      </c>
      <c r="CZ35">
        <v>98</v>
      </c>
      <c r="DA35">
        <v>8</v>
      </c>
      <c r="DB35">
        <v>66.724489795899999</v>
      </c>
      <c r="DC35">
        <v>216</v>
      </c>
      <c r="DD35">
        <v>6</v>
      </c>
      <c r="DE35">
        <v>129.9675925926</v>
      </c>
      <c r="DF35">
        <v>133.5</v>
      </c>
      <c r="DH35" t="s">
        <v>379</v>
      </c>
      <c r="DI35" t="s">
        <v>817</v>
      </c>
      <c r="DJ35" t="s">
        <v>822</v>
      </c>
      <c r="DK35">
        <v>48</v>
      </c>
      <c r="DL35">
        <v>7</v>
      </c>
      <c r="DM35">
        <v>67.333333333300004</v>
      </c>
      <c r="DN35">
        <v>122</v>
      </c>
      <c r="DO35">
        <v>1</v>
      </c>
      <c r="DP35">
        <v>155.20491803280001</v>
      </c>
      <c r="DQ35">
        <v>107</v>
      </c>
    </row>
    <row r="36" spans="2:121" x14ac:dyDescent="0.2">
      <c r="B36" t="s">
        <v>98</v>
      </c>
      <c r="C36">
        <v>385</v>
      </c>
      <c r="D36">
        <v>271</v>
      </c>
      <c r="F36" t="s">
        <v>50</v>
      </c>
      <c r="G36">
        <v>2260</v>
      </c>
      <c r="H36">
        <v>217.5030973451</v>
      </c>
      <c r="I36">
        <v>2142</v>
      </c>
      <c r="J36">
        <v>402</v>
      </c>
      <c r="K36">
        <v>3498</v>
      </c>
      <c r="L36">
        <v>1822</v>
      </c>
      <c r="M36">
        <v>186</v>
      </c>
      <c r="N36">
        <v>165</v>
      </c>
      <c r="O36">
        <v>1070</v>
      </c>
      <c r="P36">
        <v>810</v>
      </c>
      <c r="Q36">
        <v>0</v>
      </c>
      <c r="R36">
        <v>14</v>
      </c>
      <c r="T36" t="s">
        <v>654</v>
      </c>
      <c r="U36" t="s">
        <v>313</v>
      </c>
      <c r="V36" t="s">
        <v>139</v>
      </c>
      <c r="W36" t="s">
        <v>220</v>
      </c>
      <c r="X36" t="s">
        <v>467</v>
      </c>
      <c r="Y36" t="s">
        <v>222</v>
      </c>
      <c r="Z36" t="s">
        <v>223</v>
      </c>
      <c r="AA36" t="s">
        <v>224</v>
      </c>
      <c r="AB36" t="s">
        <v>468</v>
      </c>
      <c r="AC36" t="s">
        <v>226</v>
      </c>
      <c r="AD36" t="s">
        <v>227</v>
      </c>
      <c r="AE36" t="s">
        <v>228</v>
      </c>
      <c r="AF36" t="s">
        <v>229</v>
      </c>
      <c r="AH36" t="s">
        <v>390</v>
      </c>
      <c r="AI36">
        <v>16312</v>
      </c>
      <c r="AJ36">
        <v>322.70659637080001</v>
      </c>
      <c r="AK36">
        <v>19085</v>
      </c>
      <c r="AL36">
        <v>4946</v>
      </c>
      <c r="AM36">
        <v>22572</v>
      </c>
      <c r="AN36">
        <v>13377</v>
      </c>
      <c r="AO36">
        <v>4339</v>
      </c>
      <c r="AP36">
        <v>3485</v>
      </c>
      <c r="AQ36">
        <v>7949</v>
      </c>
      <c r="AR36">
        <v>4739</v>
      </c>
      <c r="AS36">
        <v>888</v>
      </c>
      <c r="AT36">
        <v>44</v>
      </c>
      <c r="AV36" t="s">
        <v>391</v>
      </c>
      <c r="AW36">
        <v>815</v>
      </c>
      <c r="AX36">
        <v>98.907975460100005</v>
      </c>
      <c r="AY36">
        <v>741</v>
      </c>
      <c r="AZ36">
        <v>179</v>
      </c>
      <c r="BA36">
        <v>1260</v>
      </c>
      <c r="BB36">
        <v>372</v>
      </c>
      <c r="BC36">
        <v>18</v>
      </c>
      <c r="BD36">
        <v>15</v>
      </c>
      <c r="BE36">
        <v>134</v>
      </c>
      <c r="BF36">
        <v>28</v>
      </c>
      <c r="BG36">
        <v>104</v>
      </c>
      <c r="BH36">
        <v>249</v>
      </c>
      <c r="BJ36" t="s">
        <v>377</v>
      </c>
      <c r="BK36" t="s">
        <v>377</v>
      </c>
      <c r="BL36">
        <v>72500</v>
      </c>
      <c r="BM36">
        <v>17256</v>
      </c>
      <c r="BN36">
        <v>100.8259724138</v>
      </c>
      <c r="BO36">
        <v>252454</v>
      </c>
      <c r="BP36">
        <v>11274</v>
      </c>
      <c r="BQ36">
        <v>190.03687008329999</v>
      </c>
      <c r="BR36">
        <v>164.4507716871</v>
      </c>
      <c r="BS36">
        <v>71594</v>
      </c>
      <c r="BT36">
        <v>16686</v>
      </c>
      <c r="BU36">
        <v>99.822834315700007</v>
      </c>
      <c r="BV36">
        <v>249055</v>
      </c>
      <c r="BW36">
        <v>10915</v>
      </c>
      <c r="BX36">
        <v>187.59736202849999</v>
      </c>
      <c r="BY36">
        <v>162.49564819060001</v>
      </c>
      <c r="CA36" t="s">
        <v>423</v>
      </c>
      <c r="CB36" t="s">
        <v>864</v>
      </c>
      <c r="CC36" t="s">
        <v>994</v>
      </c>
      <c r="CD36">
        <v>1371</v>
      </c>
      <c r="CE36">
        <v>259</v>
      </c>
      <c r="CF36">
        <v>90.965718453700006</v>
      </c>
      <c r="CG36">
        <v>4013</v>
      </c>
      <c r="CH36">
        <v>147</v>
      </c>
      <c r="CI36">
        <v>173.2855718914</v>
      </c>
      <c r="CJ36">
        <v>158.29931972790001</v>
      </c>
      <c r="CL36" t="s">
        <v>423</v>
      </c>
      <c r="CM36" t="s">
        <v>833</v>
      </c>
      <c r="CN36" t="s">
        <v>839</v>
      </c>
      <c r="CO36">
        <v>58</v>
      </c>
      <c r="CP36">
        <v>7</v>
      </c>
      <c r="CQ36">
        <v>68.431034482800001</v>
      </c>
      <c r="CR36">
        <v>458</v>
      </c>
      <c r="CS36">
        <v>23</v>
      </c>
      <c r="CT36">
        <v>73.742358078600006</v>
      </c>
      <c r="CU36">
        <v>85.434782608700004</v>
      </c>
      <c r="CW36" t="s">
        <v>423</v>
      </c>
      <c r="CX36" t="s">
        <v>849</v>
      </c>
      <c r="CY36" t="s">
        <v>855</v>
      </c>
      <c r="CZ36">
        <v>15</v>
      </c>
      <c r="DA36">
        <v>1</v>
      </c>
      <c r="DB36">
        <v>53.266666666699997</v>
      </c>
      <c r="DC36">
        <v>64</v>
      </c>
      <c r="DD36">
        <v>1</v>
      </c>
      <c r="DE36">
        <v>121.015625</v>
      </c>
      <c r="DF36">
        <v>139</v>
      </c>
      <c r="DH36" t="s">
        <v>423</v>
      </c>
      <c r="DI36" t="s">
        <v>817</v>
      </c>
      <c r="DJ36" t="s">
        <v>823</v>
      </c>
      <c r="DK36">
        <v>17</v>
      </c>
      <c r="DL36">
        <v>3</v>
      </c>
      <c r="DM36">
        <v>88.941176470599999</v>
      </c>
      <c r="DN36">
        <v>31</v>
      </c>
      <c r="DO36">
        <v>2</v>
      </c>
      <c r="DP36">
        <v>149.935483871</v>
      </c>
      <c r="DQ36">
        <v>128</v>
      </c>
    </row>
    <row r="37" spans="2:121" x14ac:dyDescent="0.2">
      <c r="B37" t="s">
        <v>121</v>
      </c>
      <c r="C37">
        <v>3232</v>
      </c>
      <c r="D37">
        <v>901</v>
      </c>
      <c r="F37" t="s">
        <v>85</v>
      </c>
      <c r="G37">
        <v>826</v>
      </c>
      <c r="H37">
        <v>337.52905569009999</v>
      </c>
      <c r="I37">
        <v>805</v>
      </c>
      <c r="J37">
        <v>214</v>
      </c>
      <c r="K37">
        <v>877</v>
      </c>
      <c r="L37">
        <v>422</v>
      </c>
      <c r="M37">
        <v>12</v>
      </c>
      <c r="N37">
        <v>8</v>
      </c>
      <c r="O37">
        <v>287</v>
      </c>
      <c r="P37">
        <v>139</v>
      </c>
      <c r="Q37">
        <v>0</v>
      </c>
      <c r="R37">
        <v>0</v>
      </c>
      <c r="T37" t="s">
        <v>398</v>
      </c>
      <c r="U37">
        <v>2080</v>
      </c>
      <c r="V37">
        <v>57.088942307700002</v>
      </c>
      <c r="W37">
        <v>5188</v>
      </c>
      <c r="X37">
        <v>345</v>
      </c>
      <c r="Y37">
        <v>3888</v>
      </c>
      <c r="Z37">
        <v>297</v>
      </c>
      <c r="AA37">
        <v>30</v>
      </c>
      <c r="AB37">
        <v>19</v>
      </c>
      <c r="AC37">
        <v>244</v>
      </c>
      <c r="AD37">
        <v>76</v>
      </c>
      <c r="AE37">
        <v>3689</v>
      </c>
      <c r="AF37">
        <v>449</v>
      </c>
      <c r="AH37" t="s">
        <v>427</v>
      </c>
      <c r="AI37">
        <v>237</v>
      </c>
      <c r="AJ37">
        <v>234.00421940929999</v>
      </c>
      <c r="AK37">
        <v>678</v>
      </c>
      <c r="AL37">
        <v>133</v>
      </c>
      <c r="AM37">
        <v>467</v>
      </c>
      <c r="AN37">
        <v>142</v>
      </c>
      <c r="AO37">
        <v>76</v>
      </c>
      <c r="AP37">
        <v>39</v>
      </c>
      <c r="AQ37">
        <v>119</v>
      </c>
      <c r="AR37">
        <v>47</v>
      </c>
      <c r="AS37">
        <v>0</v>
      </c>
      <c r="AT37">
        <v>0</v>
      </c>
      <c r="AV37" t="s">
        <v>399</v>
      </c>
      <c r="AW37">
        <v>436</v>
      </c>
      <c r="AX37">
        <v>66.172018348600005</v>
      </c>
      <c r="AY37">
        <v>1029</v>
      </c>
      <c r="AZ37">
        <v>81</v>
      </c>
      <c r="BA37">
        <v>818</v>
      </c>
      <c r="BB37">
        <v>88</v>
      </c>
      <c r="BC37">
        <v>17</v>
      </c>
      <c r="BD37">
        <v>8</v>
      </c>
      <c r="BE37">
        <v>46</v>
      </c>
      <c r="BF37">
        <v>15</v>
      </c>
      <c r="BG37">
        <v>576</v>
      </c>
      <c r="BH37">
        <v>64</v>
      </c>
      <c r="BJ37" t="s">
        <v>534</v>
      </c>
      <c r="BK37" t="s">
        <v>377</v>
      </c>
      <c r="BL37">
        <v>7517</v>
      </c>
      <c r="BM37">
        <v>2643</v>
      </c>
      <c r="BN37">
        <v>128.52813622459999</v>
      </c>
      <c r="BO37">
        <v>28320</v>
      </c>
      <c r="BP37">
        <v>1373</v>
      </c>
      <c r="BQ37">
        <v>223.56087570619999</v>
      </c>
      <c r="BR37">
        <v>164.7348871085</v>
      </c>
      <c r="BS37">
        <v>7651</v>
      </c>
      <c r="BT37">
        <v>2745</v>
      </c>
      <c r="BU37">
        <v>130.449091622</v>
      </c>
      <c r="BV37">
        <v>29057</v>
      </c>
      <c r="BW37">
        <v>1402</v>
      </c>
      <c r="BX37">
        <v>222.139897443</v>
      </c>
      <c r="BY37">
        <v>166.90299572040001</v>
      </c>
      <c r="CA37" t="s">
        <v>382</v>
      </c>
      <c r="CB37" t="s">
        <v>864</v>
      </c>
      <c r="CC37" t="s">
        <v>995</v>
      </c>
      <c r="CD37">
        <v>4176</v>
      </c>
      <c r="CE37">
        <v>1006</v>
      </c>
      <c r="CF37">
        <v>103.1642720307</v>
      </c>
      <c r="CG37">
        <v>13380</v>
      </c>
      <c r="CH37">
        <v>644</v>
      </c>
      <c r="CI37">
        <v>190.37742899849999</v>
      </c>
      <c r="CJ37">
        <v>182.91304347830001</v>
      </c>
      <c r="CL37" t="s">
        <v>382</v>
      </c>
      <c r="CM37" t="s">
        <v>833</v>
      </c>
      <c r="CN37" t="s">
        <v>840</v>
      </c>
      <c r="CO37">
        <v>293</v>
      </c>
      <c r="CP37">
        <v>30</v>
      </c>
      <c r="CQ37">
        <v>66.385665528999994</v>
      </c>
      <c r="CR37">
        <v>2047</v>
      </c>
      <c r="CS37">
        <v>115</v>
      </c>
      <c r="CT37">
        <v>79.352222764999993</v>
      </c>
      <c r="CU37">
        <v>83.182608695699997</v>
      </c>
      <c r="CW37" t="s">
        <v>382</v>
      </c>
      <c r="CX37" t="s">
        <v>849</v>
      </c>
      <c r="CY37" t="s">
        <v>856</v>
      </c>
      <c r="CZ37">
        <v>93</v>
      </c>
      <c r="DA37">
        <v>10</v>
      </c>
      <c r="DB37">
        <v>64.118279569899997</v>
      </c>
      <c r="DC37">
        <v>227</v>
      </c>
      <c r="DD37">
        <v>9</v>
      </c>
      <c r="DE37">
        <v>134.3303964758</v>
      </c>
      <c r="DF37">
        <v>119.7777777778</v>
      </c>
      <c r="DH37" t="s">
        <v>382</v>
      </c>
      <c r="DI37" t="s">
        <v>817</v>
      </c>
      <c r="DJ37" t="s">
        <v>824</v>
      </c>
      <c r="DK37">
        <v>69</v>
      </c>
      <c r="DL37">
        <v>10</v>
      </c>
      <c r="DM37">
        <v>70.782608695700006</v>
      </c>
      <c r="DN37">
        <v>182</v>
      </c>
      <c r="DO37">
        <v>7</v>
      </c>
      <c r="DP37">
        <v>140.01098901099999</v>
      </c>
      <c r="DQ37">
        <v>129.28571428570001</v>
      </c>
    </row>
    <row r="38" spans="2:121" x14ac:dyDescent="0.2">
      <c r="B38" t="s">
        <v>102</v>
      </c>
      <c r="C38">
        <v>15849</v>
      </c>
      <c r="D38">
        <v>1498</v>
      </c>
      <c r="F38" t="s">
        <v>55</v>
      </c>
      <c r="G38">
        <v>7407</v>
      </c>
      <c r="H38">
        <v>395.58323207780001</v>
      </c>
      <c r="I38">
        <v>9629</v>
      </c>
      <c r="J38">
        <v>2855</v>
      </c>
      <c r="K38">
        <v>9220</v>
      </c>
      <c r="L38">
        <v>6123</v>
      </c>
      <c r="M38">
        <v>878</v>
      </c>
      <c r="N38">
        <v>838</v>
      </c>
      <c r="O38">
        <v>5455</v>
      </c>
      <c r="P38">
        <v>3824</v>
      </c>
      <c r="Q38">
        <v>2</v>
      </c>
      <c r="R38">
        <v>33</v>
      </c>
      <c r="T38" t="s">
        <v>388</v>
      </c>
      <c r="U38">
        <v>6149</v>
      </c>
      <c r="V38">
        <v>98.565132541899999</v>
      </c>
      <c r="W38">
        <v>6613</v>
      </c>
      <c r="X38">
        <v>1348</v>
      </c>
      <c r="Y38">
        <v>10111</v>
      </c>
      <c r="Z38">
        <v>2702</v>
      </c>
      <c r="AA38">
        <v>210</v>
      </c>
      <c r="AB38">
        <v>189</v>
      </c>
      <c r="AC38">
        <v>901</v>
      </c>
      <c r="AD38">
        <v>218</v>
      </c>
      <c r="AE38">
        <v>1715</v>
      </c>
      <c r="AF38">
        <v>1586</v>
      </c>
      <c r="AH38" t="s">
        <v>399</v>
      </c>
      <c r="AI38">
        <v>8365</v>
      </c>
      <c r="AJ38">
        <v>478.19402271370001</v>
      </c>
      <c r="AK38">
        <v>8904</v>
      </c>
      <c r="AL38">
        <v>2034</v>
      </c>
      <c r="AM38">
        <v>11935</v>
      </c>
      <c r="AN38">
        <v>8425</v>
      </c>
      <c r="AO38">
        <v>1594</v>
      </c>
      <c r="AP38">
        <v>1470</v>
      </c>
      <c r="AQ38">
        <v>6077</v>
      </c>
      <c r="AR38">
        <v>3427</v>
      </c>
      <c r="AS38">
        <v>46</v>
      </c>
      <c r="AT38">
        <v>342</v>
      </c>
      <c r="AV38" t="s">
        <v>404</v>
      </c>
      <c r="AW38">
        <v>189</v>
      </c>
      <c r="AX38">
        <v>52.910052910099999</v>
      </c>
      <c r="AY38">
        <v>330</v>
      </c>
      <c r="AZ38">
        <v>11</v>
      </c>
      <c r="BA38">
        <v>358</v>
      </c>
      <c r="BB38">
        <v>17</v>
      </c>
      <c r="BC38">
        <v>0</v>
      </c>
      <c r="BE38">
        <v>20</v>
      </c>
      <c r="BF38">
        <v>6</v>
      </c>
      <c r="BG38">
        <v>303</v>
      </c>
      <c r="BH38">
        <v>23</v>
      </c>
      <c r="BJ38" t="s">
        <v>537</v>
      </c>
      <c r="BK38" t="s">
        <v>377</v>
      </c>
      <c r="BL38">
        <v>4947</v>
      </c>
      <c r="BM38">
        <v>1487</v>
      </c>
      <c r="BN38">
        <v>124.1053163533</v>
      </c>
      <c r="BO38">
        <v>12848</v>
      </c>
      <c r="BP38">
        <v>489</v>
      </c>
      <c r="BQ38">
        <v>209.8608343711</v>
      </c>
      <c r="BR38">
        <v>215.55214723930001</v>
      </c>
      <c r="BS38">
        <v>4711</v>
      </c>
      <c r="BT38">
        <v>1611</v>
      </c>
      <c r="BU38">
        <v>133.24920399070001</v>
      </c>
      <c r="BV38">
        <v>11344</v>
      </c>
      <c r="BW38">
        <v>456</v>
      </c>
      <c r="BX38">
        <v>205.54883638929999</v>
      </c>
      <c r="BY38">
        <v>219.21929824559999</v>
      </c>
      <c r="CA38" t="s">
        <v>63</v>
      </c>
      <c r="CB38" t="s">
        <v>864</v>
      </c>
      <c r="CC38" t="s">
        <v>526</v>
      </c>
      <c r="CD38">
        <v>9051</v>
      </c>
      <c r="CE38">
        <v>1991</v>
      </c>
      <c r="CF38">
        <v>100.2468235554</v>
      </c>
      <c r="CG38">
        <v>31563</v>
      </c>
      <c r="CH38">
        <v>1579</v>
      </c>
      <c r="CI38">
        <v>196.35522605579999</v>
      </c>
      <c r="CJ38">
        <v>175.49208359720001</v>
      </c>
      <c r="CL38" t="s">
        <v>63</v>
      </c>
      <c r="CM38" t="s">
        <v>833</v>
      </c>
      <c r="CN38" t="s">
        <v>841</v>
      </c>
      <c r="CO38">
        <v>678</v>
      </c>
      <c r="CP38">
        <v>73</v>
      </c>
      <c r="CQ38">
        <v>70.373156342200005</v>
      </c>
      <c r="CR38">
        <v>4910</v>
      </c>
      <c r="CS38">
        <v>274</v>
      </c>
      <c r="CT38">
        <v>70.569246435799997</v>
      </c>
      <c r="CU38">
        <v>77.383211678799995</v>
      </c>
      <c r="CW38" t="s">
        <v>63</v>
      </c>
      <c r="CX38" t="s">
        <v>849</v>
      </c>
      <c r="CY38" t="s">
        <v>857</v>
      </c>
      <c r="CZ38">
        <v>234</v>
      </c>
      <c r="DA38">
        <v>25</v>
      </c>
      <c r="DB38">
        <v>62.880341880300001</v>
      </c>
      <c r="DC38">
        <v>554</v>
      </c>
      <c r="DD38">
        <v>22</v>
      </c>
      <c r="DE38">
        <v>134.4259927798</v>
      </c>
      <c r="DF38">
        <v>135.2272727273</v>
      </c>
      <c r="DH38" t="s">
        <v>63</v>
      </c>
      <c r="DI38" t="s">
        <v>817</v>
      </c>
      <c r="DJ38" t="s">
        <v>825</v>
      </c>
      <c r="DK38">
        <v>161</v>
      </c>
      <c r="DL38">
        <v>19</v>
      </c>
      <c r="DM38">
        <v>70.701863353999997</v>
      </c>
      <c r="DN38">
        <v>436</v>
      </c>
      <c r="DO38">
        <v>17</v>
      </c>
      <c r="DP38">
        <v>147.8004587156</v>
      </c>
      <c r="DQ38">
        <v>143.8823529412</v>
      </c>
    </row>
    <row r="39" spans="2:121" x14ac:dyDescent="0.2">
      <c r="B39" t="s">
        <v>130</v>
      </c>
      <c r="C39">
        <v>1405</v>
      </c>
      <c r="D39">
        <v>331</v>
      </c>
      <c r="F39" t="s">
        <v>63</v>
      </c>
      <c r="G39">
        <v>3153</v>
      </c>
      <c r="H39">
        <v>270.28861401839998</v>
      </c>
      <c r="I39">
        <v>4632</v>
      </c>
      <c r="J39">
        <v>944</v>
      </c>
      <c r="K39">
        <v>4774</v>
      </c>
      <c r="L39">
        <v>2608</v>
      </c>
      <c r="M39">
        <v>1734</v>
      </c>
      <c r="N39">
        <v>1208</v>
      </c>
      <c r="O39">
        <v>284</v>
      </c>
      <c r="P39">
        <v>200</v>
      </c>
      <c r="Q39">
        <v>0</v>
      </c>
      <c r="R39">
        <v>12</v>
      </c>
      <c r="T39" t="s">
        <v>377</v>
      </c>
      <c r="U39">
        <v>6335</v>
      </c>
      <c r="V39">
        <v>102.3428571429</v>
      </c>
      <c r="W39">
        <v>7611</v>
      </c>
      <c r="X39">
        <v>1988</v>
      </c>
      <c r="Y39">
        <v>9971</v>
      </c>
      <c r="Z39">
        <v>3020</v>
      </c>
      <c r="AA39">
        <v>398</v>
      </c>
      <c r="AB39">
        <v>382</v>
      </c>
      <c r="AC39">
        <v>1215</v>
      </c>
      <c r="AD39">
        <v>269</v>
      </c>
      <c r="AE39">
        <v>839</v>
      </c>
      <c r="AF39">
        <v>2164</v>
      </c>
      <c r="AH39" t="s">
        <v>420</v>
      </c>
      <c r="AI39">
        <v>4133</v>
      </c>
      <c r="AJ39">
        <v>290.17711105730001</v>
      </c>
      <c r="AK39">
        <v>7028</v>
      </c>
      <c r="AL39">
        <v>1324</v>
      </c>
      <c r="AM39">
        <v>6785</v>
      </c>
      <c r="AN39">
        <v>2762</v>
      </c>
      <c r="AO39">
        <v>986</v>
      </c>
      <c r="AP39">
        <v>575</v>
      </c>
      <c r="AQ39">
        <v>1305</v>
      </c>
      <c r="AR39">
        <v>497</v>
      </c>
      <c r="AS39">
        <v>8</v>
      </c>
      <c r="AT39">
        <v>66</v>
      </c>
      <c r="AV39" t="s">
        <v>422</v>
      </c>
      <c r="AW39">
        <v>45</v>
      </c>
      <c r="AX39">
        <v>100.3333333333</v>
      </c>
      <c r="AY39">
        <v>60</v>
      </c>
      <c r="AZ39">
        <v>8</v>
      </c>
      <c r="BA39">
        <v>64</v>
      </c>
      <c r="BB39">
        <v>20</v>
      </c>
      <c r="BC39">
        <v>4</v>
      </c>
      <c r="BD39">
        <v>4</v>
      </c>
      <c r="BE39">
        <v>6</v>
      </c>
      <c r="BF39">
        <v>1</v>
      </c>
      <c r="BG39">
        <v>10</v>
      </c>
      <c r="BH39">
        <v>12</v>
      </c>
      <c r="BJ39" t="s">
        <v>522</v>
      </c>
      <c r="BK39" t="s">
        <v>377</v>
      </c>
      <c r="BL39">
        <v>2333</v>
      </c>
      <c r="BM39">
        <v>392</v>
      </c>
      <c r="BN39">
        <v>73.471924560700003</v>
      </c>
      <c r="BO39">
        <v>23251</v>
      </c>
      <c r="BP39">
        <v>1050</v>
      </c>
      <c r="BQ39">
        <v>55.586082318999999</v>
      </c>
      <c r="BR39">
        <v>65.348571428599996</v>
      </c>
      <c r="BS39">
        <v>3094</v>
      </c>
      <c r="BT39">
        <v>963</v>
      </c>
      <c r="BU39">
        <v>117.5258564964</v>
      </c>
      <c r="BV39">
        <v>28777</v>
      </c>
      <c r="BW39">
        <v>1195</v>
      </c>
      <c r="BX39">
        <v>86.533064600200007</v>
      </c>
      <c r="BY39">
        <v>94.3682008368</v>
      </c>
      <c r="CA39" t="s">
        <v>390</v>
      </c>
      <c r="CB39" t="s">
        <v>864</v>
      </c>
      <c r="CC39" t="s">
        <v>996</v>
      </c>
      <c r="CD39">
        <v>17887</v>
      </c>
      <c r="CE39">
        <v>4761</v>
      </c>
      <c r="CF39">
        <v>105.2658914295</v>
      </c>
      <c r="CG39">
        <v>57641</v>
      </c>
      <c r="CH39">
        <v>2405</v>
      </c>
      <c r="CI39">
        <v>193.3081834111</v>
      </c>
      <c r="CJ39">
        <v>166.42910602910001</v>
      </c>
      <c r="CL39" t="s">
        <v>390</v>
      </c>
      <c r="CM39" t="s">
        <v>833</v>
      </c>
      <c r="CN39" t="s">
        <v>842</v>
      </c>
      <c r="CO39">
        <v>686</v>
      </c>
      <c r="CP39">
        <v>84</v>
      </c>
      <c r="CQ39">
        <v>68.903790087499999</v>
      </c>
      <c r="CR39">
        <v>5288</v>
      </c>
      <c r="CS39">
        <v>292</v>
      </c>
      <c r="CT39">
        <v>75.873108925899999</v>
      </c>
      <c r="CU39">
        <v>70.205479452099993</v>
      </c>
      <c r="CW39" t="s">
        <v>390</v>
      </c>
      <c r="CX39" t="s">
        <v>849</v>
      </c>
      <c r="CY39" t="s">
        <v>858</v>
      </c>
      <c r="CZ39">
        <v>581</v>
      </c>
      <c r="DA39">
        <v>64</v>
      </c>
      <c r="DB39">
        <v>70.103270223799996</v>
      </c>
      <c r="DC39">
        <v>1276</v>
      </c>
      <c r="DD39">
        <v>47</v>
      </c>
      <c r="DE39">
        <v>142.11442006269999</v>
      </c>
      <c r="DF39">
        <v>148.97872340430001</v>
      </c>
      <c r="DH39" t="s">
        <v>390</v>
      </c>
      <c r="DI39" t="s">
        <v>817</v>
      </c>
      <c r="DJ39" t="s">
        <v>826</v>
      </c>
      <c r="DK39">
        <v>1228</v>
      </c>
      <c r="DL39">
        <v>107</v>
      </c>
      <c r="DM39">
        <v>63.791530944599998</v>
      </c>
      <c r="DN39">
        <v>1738</v>
      </c>
      <c r="DO39">
        <v>64</v>
      </c>
      <c r="DP39">
        <v>129.40161104719999</v>
      </c>
      <c r="DQ39">
        <v>149.078125</v>
      </c>
    </row>
    <row r="40" spans="2:121" x14ac:dyDescent="0.2">
      <c r="B40" t="s">
        <v>111</v>
      </c>
      <c r="C40">
        <v>6766</v>
      </c>
      <c r="D40">
        <v>5157</v>
      </c>
      <c r="F40" t="s">
        <v>52</v>
      </c>
      <c r="G40">
        <v>4302</v>
      </c>
      <c r="H40">
        <v>376.50557880060001</v>
      </c>
      <c r="I40">
        <v>4388</v>
      </c>
      <c r="J40">
        <v>1452</v>
      </c>
      <c r="K40">
        <v>6408</v>
      </c>
      <c r="L40">
        <v>4028</v>
      </c>
      <c r="M40">
        <v>2010</v>
      </c>
      <c r="N40">
        <v>1529</v>
      </c>
      <c r="O40">
        <v>2159</v>
      </c>
      <c r="P40">
        <v>1274</v>
      </c>
      <c r="Q40">
        <v>89</v>
      </c>
      <c r="R40">
        <v>175</v>
      </c>
      <c r="T40" t="s">
        <v>8</v>
      </c>
      <c r="U40">
        <v>215</v>
      </c>
      <c r="V40">
        <v>98.046511627900003</v>
      </c>
      <c r="W40">
        <v>180</v>
      </c>
      <c r="X40">
        <v>77</v>
      </c>
      <c r="Y40">
        <v>464</v>
      </c>
      <c r="Z40">
        <v>195</v>
      </c>
      <c r="AA40">
        <v>26</v>
      </c>
      <c r="AB40">
        <v>23</v>
      </c>
      <c r="AC40">
        <v>75</v>
      </c>
      <c r="AD40">
        <v>24</v>
      </c>
      <c r="AE40">
        <v>51</v>
      </c>
      <c r="AF40">
        <v>20</v>
      </c>
      <c r="AH40" t="s">
        <v>417</v>
      </c>
      <c r="AI40">
        <v>9078</v>
      </c>
      <c r="AJ40">
        <v>398.03238598809997</v>
      </c>
      <c r="AK40">
        <v>5134</v>
      </c>
      <c r="AL40">
        <v>1736</v>
      </c>
      <c r="AM40">
        <v>12281</v>
      </c>
      <c r="AN40">
        <v>8358</v>
      </c>
      <c r="AO40">
        <v>3714</v>
      </c>
      <c r="AP40">
        <v>3049</v>
      </c>
      <c r="AQ40">
        <v>1849</v>
      </c>
      <c r="AR40">
        <v>667</v>
      </c>
      <c r="AS40">
        <v>4</v>
      </c>
      <c r="AT40">
        <v>78</v>
      </c>
      <c r="AV40" t="s">
        <v>418</v>
      </c>
      <c r="AW40">
        <v>418</v>
      </c>
      <c r="AX40">
        <v>44.260765550199999</v>
      </c>
      <c r="AY40">
        <v>1396</v>
      </c>
      <c r="AZ40">
        <v>37</v>
      </c>
      <c r="BA40">
        <v>890</v>
      </c>
      <c r="BB40">
        <v>75</v>
      </c>
      <c r="BC40">
        <v>8</v>
      </c>
      <c r="BD40">
        <v>7</v>
      </c>
      <c r="BE40">
        <v>51</v>
      </c>
      <c r="BF40">
        <v>38</v>
      </c>
      <c r="BG40">
        <v>916</v>
      </c>
      <c r="BH40">
        <v>251</v>
      </c>
      <c r="BJ40" t="s">
        <v>543</v>
      </c>
      <c r="BK40" t="s">
        <v>377</v>
      </c>
      <c r="BL40">
        <v>10689</v>
      </c>
      <c r="BM40">
        <v>2110</v>
      </c>
      <c r="BN40">
        <v>88.904294134200001</v>
      </c>
      <c r="BO40">
        <v>37875</v>
      </c>
      <c r="BP40">
        <v>1788</v>
      </c>
      <c r="BQ40">
        <v>205.41124752479999</v>
      </c>
      <c r="BR40">
        <v>167.69966442949999</v>
      </c>
      <c r="BS40">
        <v>10485</v>
      </c>
      <c r="BT40">
        <v>1759</v>
      </c>
      <c r="BU40">
        <v>83.265045302800004</v>
      </c>
      <c r="BV40">
        <v>36489</v>
      </c>
      <c r="BW40">
        <v>1646</v>
      </c>
      <c r="BX40">
        <v>194.71147469100001</v>
      </c>
      <c r="BY40">
        <v>159.5650060753</v>
      </c>
      <c r="CA40" t="s">
        <v>383</v>
      </c>
      <c r="CB40" t="s">
        <v>864</v>
      </c>
      <c r="CC40" t="s">
        <v>997</v>
      </c>
      <c r="CD40">
        <v>9294</v>
      </c>
      <c r="CE40">
        <v>2823</v>
      </c>
      <c r="CF40">
        <v>118.45599311380001</v>
      </c>
      <c r="CG40">
        <v>32502</v>
      </c>
      <c r="CH40">
        <v>1462</v>
      </c>
      <c r="CI40">
        <v>207.02279859699999</v>
      </c>
      <c r="CJ40">
        <v>166.6716826265</v>
      </c>
      <c r="CL40" t="s">
        <v>383</v>
      </c>
      <c r="CM40" t="s">
        <v>833</v>
      </c>
      <c r="CN40" t="s">
        <v>843</v>
      </c>
      <c r="CO40">
        <v>813</v>
      </c>
      <c r="CP40">
        <v>78</v>
      </c>
      <c r="CQ40">
        <v>64.633456334599998</v>
      </c>
      <c r="CR40">
        <v>5871</v>
      </c>
      <c r="CS40">
        <v>350</v>
      </c>
      <c r="CT40">
        <v>68.983137455299996</v>
      </c>
      <c r="CU40">
        <v>72.739999999999995</v>
      </c>
      <c r="CW40" t="s">
        <v>383</v>
      </c>
      <c r="CX40" t="s">
        <v>849</v>
      </c>
      <c r="CY40" t="s">
        <v>859</v>
      </c>
      <c r="CZ40">
        <v>188</v>
      </c>
      <c r="DA40">
        <v>17</v>
      </c>
      <c r="DB40">
        <v>66.856382978699997</v>
      </c>
      <c r="DC40">
        <v>493</v>
      </c>
      <c r="DD40">
        <v>20</v>
      </c>
      <c r="DE40">
        <v>132.0892494929</v>
      </c>
      <c r="DF40">
        <v>137.6</v>
      </c>
      <c r="DH40" t="s">
        <v>383</v>
      </c>
      <c r="DI40" t="s">
        <v>817</v>
      </c>
      <c r="DJ40" t="s">
        <v>827</v>
      </c>
      <c r="DK40">
        <v>116</v>
      </c>
      <c r="DL40">
        <v>8</v>
      </c>
      <c r="DM40">
        <v>66.870689655199996</v>
      </c>
      <c r="DN40">
        <v>335</v>
      </c>
      <c r="DO40">
        <v>9</v>
      </c>
      <c r="DP40">
        <v>153.14626865669999</v>
      </c>
      <c r="DQ40">
        <v>148.2222222222</v>
      </c>
    </row>
    <row r="41" spans="2:121" x14ac:dyDescent="0.2">
      <c r="B41" t="s">
        <v>119</v>
      </c>
      <c r="C41">
        <v>14108</v>
      </c>
      <c r="D41">
        <v>3511</v>
      </c>
      <c r="F41" t="s">
        <v>25</v>
      </c>
      <c r="G41">
        <v>13409</v>
      </c>
      <c r="H41">
        <v>329.28726974419999</v>
      </c>
      <c r="I41">
        <v>17283</v>
      </c>
      <c r="J41">
        <v>3781</v>
      </c>
      <c r="K41">
        <v>18533</v>
      </c>
      <c r="L41">
        <v>12155</v>
      </c>
      <c r="M41">
        <v>4647</v>
      </c>
      <c r="N41">
        <v>3988</v>
      </c>
      <c r="O41">
        <v>20440</v>
      </c>
      <c r="P41">
        <v>10137</v>
      </c>
      <c r="Q41">
        <v>63</v>
      </c>
      <c r="R41">
        <v>24</v>
      </c>
      <c r="T41" t="s">
        <v>393</v>
      </c>
      <c r="U41">
        <v>1191</v>
      </c>
      <c r="V41">
        <v>53.9227539882</v>
      </c>
      <c r="W41">
        <v>2909</v>
      </c>
      <c r="X41">
        <v>95</v>
      </c>
      <c r="Y41">
        <v>2281</v>
      </c>
      <c r="Z41">
        <v>210</v>
      </c>
      <c r="AA41">
        <v>26</v>
      </c>
      <c r="AB41">
        <v>25</v>
      </c>
      <c r="AC41">
        <v>150</v>
      </c>
      <c r="AD41">
        <v>75</v>
      </c>
      <c r="AE41">
        <v>2462</v>
      </c>
      <c r="AF41">
        <v>460</v>
      </c>
      <c r="AH41" t="s">
        <v>8</v>
      </c>
      <c r="AI41">
        <v>8760</v>
      </c>
      <c r="AJ41">
        <v>420.129109589</v>
      </c>
      <c r="AK41">
        <v>4065</v>
      </c>
      <c r="AL41">
        <v>1716</v>
      </c>
      <c r="AM41">
        <v>10669</v>
      </c>
      <c r="AN41">
        <v>8192</v>
      </c>
      <c r="AO41">
        <v>1344</v>
      </c>
      <c r="AP41">
        <v>1151</v>
      </c>
      <c r="AQ41">
        <v>14917</v>
      </c>
      <c r="AR41">
        <v>12599</v>
      </c>
      <c r="AS41">
        <v>380</v>
      </c>
      <c r="AT41">
        <v>155</v>
      </c>
      <c r="AV41" t="s">
        <v>419</v>
      </c>
      <c r="AW41">
        <v>141</v>
      </c>
      <c r="AX41">
        <v>72.453900709199999</v>
      </c>
      <c r="AY41">
        <v>189</v>
      </c>
      <c r="AZ41">
        <v>7</v>
      </c>
      <c r="BA41">
        <v>239</v>
      </c>
      <c r="BB41">
        <v>35</v>
      </c>
      <c r="BC41">
        <v>4</v>
      </c>
      <c r="BD41">
        <v>4</v>
      </c>
      <c r="BE41">
        <v>13</v>
      </c>
      <c r="BF41">
        <v>4</v>
      </c>
      <c r="BG41">
        <v>253</v>
      </c>
      <c r="BH41">
        <v>18</v>
      </c>
      <c r="BJ41" t="s">
        <v>635</v>
      </c>
      <c r="BK41" t="s">
        <v>377</v>
      </c>
      <c r="BL41">
        <v>1352</v>
      </c>
      <c r="BM41">
        <v>152</v>
      </c>
      <c r="BN41">
        <v>74.792899408300002</v>
      </c>
      <c r="BO41">
        <v>4423</v>
      </c>
      <c r="BP41">
        <v>217</v>
      </c>
      <c r="BQ41">
        <v>130.13881980560001</v>
      </c>
      <c r="BR41">
        <v>129.5576036866</v>
      </c>
      <c r="BS41">
        <v>4677</v>
      </c>
      <c r="BT41">
        <v>1065</v>
      </c>
      <c r="BU41">
        <v>101.8370750481</v>
      </c>
      <c r="BV41">
        <v>19258</v>
      </c>
      <c r="BW41">
        <v>864</v>
      </c>
      <c r="BX41">
        <v>208.1862602555</v>
      </c>
      <c r="BY41">
        <v>167.71064814810001</v>
      </c>
      <c r="CA41" t="s">
        <v>380</v>
      </c>
      <c r="CB41" t="s">
        <v>864</v>
      </c>
      <c r="CC41" t="s">
        <v>998</v>
      </c>
      <c r="CD41">
        <v>947</v>
      </c>
      <c r="CE41">
        <v>207</v>
      </c>
      <c r="CF41">
        <v>87.609292502599999</v>
      </c>
      <c r="CG41">
        <v>3044</v>
      </c>
      <c r="CH41">
        <v>182</v>
      </c>
      <c r="CI41">
        <v>117.9346254928</v>
      </c>
      <c r="CJ41">
        <v>147.58791208790001</v>
      </c>
      <c r="CL41" t="s">
        <v>380</v>
      </c>
      <c r="CM41" t="s">
        <v>833</v>
      </c>
      <c r="CN41" t="s">
        <v>844</v>
      </c>
      <c r="CO41">
        <v>75</v>
      </c>
      <c r="CP41">
        <v>6</v>
      </c>
      <c r="CQ41">
        <v>67.106666666699994</v>
      </c>
      <c r="CR41">
        <v>363</v>
      </c>
      <c r="CS41">
        <v>23</v>
      </c>
      <c r="CT41">
        <v>68.6639118457</v>
      </c>
      <c r="CU41">
        <v>70.956521739099998</v>
      </c>
      <c r="CW41" t="s">
        <v>380</v>
      </c>
      <c r="CX41" t="s">
        <v>849</v>
      </c>
      <c r="CY41" t="s">
        <v>860</v>
      </c>
      <c r="CZ41">
        <v>14</v>
      </c>
      <c r="DA41">
        <v>0</v>
      </c>
      <c r="DB41">
        <v>57.714285714299997</v>
      </c>
      <c r="DC41">
        <v>30</v>
      </c>
      <c r="DD41">
        <v>1</v>
      </c>
      <c r="DE41">
        <v>102.3</v>
      </c>
      <c r="DF41">
        <v>95</v>
      </c>
      <c r="DH41" t="s">
        <v>380</v>
      </c>
      <c r="DI41" t="s">
        <v>817</v>
      </c>
      <c r="DJ41" t="s">
        <v>828</v>
      </c>
      <c r="DK41">
        <v>7</v>
      </c>
      <c r="DL41">
        <v>0</v>
      </c>
      <c r="DM41">
        <v>50.285714285700003</v>
      </c>
      <c r="DN41">
        <v>16</v>
      </c>
      <c r="DO41">
        <v>2</v>
      </c>
      <c r="DP41">
        <v>126.625</v>
      </c>
      <c r="DQ41">
        <v>63</v>
      </c>
    </row>
    <row r="42" spans="2:121" x14ac:dyDescent="0.2">
      <c r="B42" t="s">
        <v>118</v>
      </c>
      <c r="C42">
        <v>6028</v>
      </c>
      <c r="D42">
        <v>255</v>
      </c>
      <c r="F42" t="s">
        <v>78</v>
      </c>
      <c r="G42">
        <v>4962</v>
      </c>
      <c r="H42">
        <v>271.32003224509998</v>
      </c>
      <c r="I42">
        <v>4862</v>
      </c>
      <c r="J42">
        <v>835</v>
      </c>
      <c r="K42">
        <v>7529</v>
      </c>
      <c r="L42">
        <v>4612</v>
      </c>
      <c r="M42">
        <v>2261</v>
      </c>
      <c r="N42">
        <v>2077</v>
      </c>
      <c r="O42">
        <v>5591</v>
      </c>
      <c r="P42">
        <v>4640</v>
      </c>
      <c r="Q42">
        <v>42</v>
      </c>
      <c r="R42">
        <v>98</v>
      </c>
      <c r="T42" t="s">
        <v>412</v>
      </c>
      <c r="U42">
        <v>969</v>
      </c>
      <c r="V42">
        <v>41.294117647100002</v>
      </c>
      <c r="W42">
        <v>3896</v>
      </c>
      <c r="X42">
        <v>137</v>
      </c>
      <c r="Y42">
        <v>1812</v>
      </c>
      <c r="Z42">
        <v>132</v>
      </c>
      <c r="AA42">
        <v>19</v>
      </c>
      <c r="AB42">
        <v>17</v>
      </c>
      <c r="AC42">
        <v>109</v>
      </c>
      <c r="AD42">
        <v>62</v>
      </c>
      <c r="AE42">
        <v>1934</v>
      </c>
      <c r="AF42">
        <v>504</v>
      </c>
      <c r="AH42" t="s">
        <v>383</v>
      </c>
      <c r="AI42">
        <v>7802</v>
      </c>
      <c r="AJ42">
        <v>395.85875416559998</v>
      </c>
      <c r="AK42">
        <v>9396</v>
      </c>
      <c r="AL42">
        <v>2792</v>
      </c>
      <c r="AM42">
        <v>11818</v>
      </c>
      <c r="AN42">
        <v>7749</v>
      </c>
      <c r="AO42">
        <v>932</v>
      </c>
      <c r="AP42">
        <v>737</v>
      </c>
      <c r="AQ42">
        <v>5812</v>
      </c>
      <c r="AR42">
        <v>3060</v>
      </c>
      <c r="AS42">
        <v>1013</v>
      </c>
      <c r="AT42">
        <v>9</v>
      </c>
      <c r="AV42" t="s">
        <v>63</v>
      </c>
      <c r="AW42">
        <v>1099</v>
      </c>
      <c r="AX42">
        <v>103.5386715196</v>
      </c>
      <c r="AY42">
        <v>1562</v>
      </c>
      <c r="AZ42">
        <v>440</v>
      </c>
      <c r="BA42">
        <v>1800</v>
      </c>
      <c r="BB42">
        <v>546</v>
      </c>
      <c r="BC42">
        <v>45</v>
      </c>
      <c r="BD42">
        <v>43</v>
      </c>
      <c r="BE42">
        <v>158</v>
      </c>
      <c r="BF42">
        <v>37</v>
      </c>
      <c r="BG42">
        <v>114</v>
      </c>
      <c r="BH42">
        <v>338</v>
      </c>
      <c r="BJ42" t="s">
        <v>637</v>
      </c>
      <c r="BK42" t="s">
        <v>377</v>
      </c>
      <c r="BL42">
        <v>382</v>
      </c>
      <c r="BM42">
        <v>105</v>
      </c>
      <c r="BN42">
        <v>95.044502617800006</v>
      </c>
      <c r="BO42">
        <v>1484</v>
      </c>
      <c r="BP42">
        <v>48</v>
      </c>
      <c r="BQ42">
        <v>167.1327493261</v>
      </c>
      <c r="BR42">
        <v>181.5833333333</v>
      </c>
      <c r="BS42">
        <v>615</v>
      </c>
      <c r="BT42">
        <v>198</v>
      </c>
      <c r="BU42">
        <v>117.34308943089999</v>
      </c>
      <c r="BV42">
        <v>2288</v>
      </c>
      <c r="BW42">
        <v>84</v>
      </c>
      <c r="BX42">
        <v>187.4047202797</v>
      </c>
      <c r="BY42">
        <v>188.19047619049999</v>
      </c>
      <c r="CA42" t="s">
        <v>425</v>
      </c>
      <c r="CB42" t="s">
        <v>864</v>
      </c>
      <c r="CC42" t="s">
        <v>999</v>
      </c>
      <c r="CD42">
        <v>411</v>
      </c>
      <c r="CE42">
        <v>104</v>
      </c>
      <c r="CF42">
        <v>94.102189781000007</v>
      </c>
      <c r="CG42">
        <v>1503</v>
      </c>
      <c r="CH42">
        <v>60</v>
      </c>
      <c r="CI42">
        <v>161.7711244178</v>
      </c>
      <c r="CJ42">
        <v>162.4166666667</v>
      </c>
      <c r="CL42" t="s">
        <v>425</v>
      </c>
      <c r="CM42" t="s">
        <v>833</v>
      </c>
      <c r="CN42" t="s">
        <v>845</v>
      </c>
      <c r="CO42">
        <v>16</v>
      </c>
      <c r="CP42">
        <v>3</v>
      </c>
      <c r="CQ42">
        <v>74.1875</v>
      </c>
      <c r="CR42">
        <v>131</v>
      </c>
      <c r="CS42">
        <v>6</v>
      </c>
      <c r="CT42">
        <v>85.618320610699996</v>
      </c>
      <c r="CU42">
        <v>98.166666666699996</v>
      </c>
      <c r="CW42" t="s">
        <v>425</v>
      </c>
      <c r="CX42" t="s">
        <v>849</v>
      </c>
      <c r="CY42" t="s">
        <v>861</v>
      </c>
      <c r="CZ42">
        <v>6</v>
      </c>
      <c r="DA42">
        <v>0</v>
      </c>
      <c r="DB42">
        <v>46.166666666700003</v>
      </c>
      <c r="DC42">
        <v>22</v>
      </c>
      <c r="DD42">
        <v>0</v>
      </c>
      <c r="DE42">
        <v>134.9090909091</v>
      </c>
      <c r="DF42">
        <v>0</v>
      </c>
      <c r="DH42" t="s">
        <v>425</v>
      </c>
      <c r="DI42" t="s">
        <v>817</v>
      </c>
      <c r="DJ42" t="s">
        <v>829</v>
      </c>
      <c r="DK42">
        <v>6</v>
      </c>
      <c r="DL42">
        <v>1</v>
      </c>
      <c r="DM42">
        <v>76</v>
      </c>
      <c r="DN42">
        <v>17</v>
      </c>
      <c r="DO42">
        <v>1</v>
      </c>
      <c r="DP42">
        <v>145.8823529412</v>
      </c>
      <c r="DQ42">
        <v>16</v>
      </c>
    </row>
    <row r="43" spans="2:121" x14ac:dyDescent="0.2">
      <c r="B43" t="s">
        <v>133</v>
      </c>
      <c r="C43">
        <v>64065</v>
      </c>
      <c r="D43">
        <v>51167</v>
      </c>
      <c r="F43" t="s">
        <v>69</v>
      </c>
      <c r="G43">
        <v>8137</v>
      </c>
      <c r="H43">
        <v>401.9430994224</v>
      </c>
      <c r="I43">
        <v>4853</v>
      </c>
      <c r="J43">
        <v>1724</v>
      </c>
      <c r="K43">
        <v>10245</v>
      </c>
      <c r="L43">
        <v>7395</v>
      </c>
      <c r="M43">
        <v>3873</v>
      </c>
      <c r="N43">
        <v>3273</v>
      </c>
      <c r="O43">
        <v>1587</v>
      </c>
      <c r="P43">
        <v>677</v>
      </c>
      <c r="Q43">
        <v>0</v>
      </c>
      <c r="R43">
        <v>76</v>
      </c>
      <c r="AH43" t="s">
        <v>435</v>
      </c>
      <c r="AI43">
        <v>2654</v>
      </c>
      <c r="AJ43">
        <v>275.49472494349999</v>
      </c>
      <c r="AK43">
        <v>3000</v>
      </c>
      <c r="AL43">
        <v>777</v>
      </c>
      <c r="AM43">
        <v>4585</v>
      </c>
      <c r="AN43">
        <v>2966</v>
      </c>
      <c r="AO43">
        <v>724</v>
      </c>
      <c r="AP43">
        <v>613</v>
      </c>
      <c r="AQ43">
        <v>1565</v>
      </c>
      <c r="AR43">
        <v>737</v>
      </c>
      <c r="AS43">
        <v>243</v>
      </c>
      <c r="AT43">
        <v>5</v>
      </c>
      <c r="AV43" t="s">
        <v>424</v>
      </c>
      <c r="AW43">
        <v>108</v>
      </c>
      <c r="AX43">
        <v>107.44444444440001</v>
      </c>
      <c r="AY43">
        <v>95</v>
      </c>
      <c r="AZ43">
        <v>9</v>
      </c>
      <c r="BA43">
        <v>180</v>
      </c>
      <c r="BB43">
        <v>62</v>
      </c>
      <c r="BC43">
        <v>4</v>
      </c>
      <c r="BD43">
        <v>3</v>
      </c>
      <c r="BE43">
        <v>23</v>
      </c>
      <c r="BF43">
        <v>3</v>
      </c>
      <c r="BG43">
        <v>20</v>
      </c>
      <c r="BH43">
        <v>28</v>
      </c>
      <c r="BJ43" t="s">
        <v>651</v>
      </c>
      <c r="BK43" t="s">
        <v>377</v>
      </c>
      <c r="BL43">
        <v>814</v>
      </c>
      <c r="BM43">
        <v>214</v>
      </c>
      <c r="BN43">
        <v>104.48894348890001</v>
      </c>
      <c r="BO43">
        <v>2657</v>
      </c>
      <c r="BP43">
        <v>130</v>
      </c>
      <c r="BQ43">
        <v>218.9394053444</v>
      </c>
      <c r="BR43">
        <v>187</v>
      </c>
      <c r="BS43">
        <v>626</v>
      </c>
      <c r="BT43">
        <v>97</v>
      </c>
      <c r="BU43">
        <v>86.028753993600006</v>
      </c>
      <c r="BV43">
        <v>2031</v>
      </c>
      <c r="BW43">
        <v>71</v>
      </c>
      <c r="BX43">
        <v>226.3761693747</v>
      </c>
      <c r="BY43">
        <v>178.8169014085</v>
      </c>
      <c r="CA43" t="s">
        <v>386</v>
      </c>
      <c r="CB43" t="s">
        <v>864</v>
      </c>
      <c r="CC43" t="s">
        <v>1000</v>
      </c>
      <c r="CD43">
        <v>10848</v>
      </c>
      <c r="CE43">
        <v>2369</v>
      </c>
      <c r="CF43">
        <v>94.234236725700001</v>
      </c>
      <c r="CG43">
        <v>40651</v>
      </c>
      <c r="CH43">
        <v>1936</v>
      </c>
      <c r="CI43">
        <v>195.2760325699</v>
      </c>
      <c r="CJ43">
        <v>159.32489669419999</v>
      </c>
      <c r="CL43" t="s">
        <v>386</v>
      </c>
      <c r="CM43" t="s">
        <v>833</v>
      </c>
      <c r="CN43" t="s">
        <v>846</v>
      </c>
      <c r="CO43">
        <v>500</v>
      </c>
      <c r="CP43">
        <v>66</v>
      </c>
      <c r="CQ43">
        <v>73.66</v>
      </c>
      <c r="CR43">
        <v>3279</v>
      </c>
      <c r="CS43">
        <v>192</v>
      </c>
      <c r="CT43">
        <v>80.266849649299999</v>
      </c>
      <c r="CU43">
        <v>67.546875</v>
      </c>
      <c r="CW43" t="s">
        <v>386</v>
      </c>
      <c r="CX43" t="s">
        <v>849</v>
      </c>
      <c r="CY43" t="s">
        <v>862</v>
      </c>
      <c r="CZ43">
        <v>587</v>
      </c>
      <c r="DA43">
        <v>98</v>
      </c>
      <c r="DB43">
        <v>78.572402044300006</v>
      </c>
      <c r="DC43">
        <v>1469</v>
      </c>
      <c r="DD43">
        <v>53</v>
      </c>
      <c r="DE43">
        <v>148.47855684140001</v>
      </c>
      <c r="DF43">
        <v>156.03773584909999</v>
      </c>
      <c r="DH43" t="s">
        <v>386</v>
      </c>
      <c r="DI43" t="s">
        <v>817</v>
      </c>
      <c r="DJ43" t="s">
        <v>830</v>
      </c>
      <c r="DK43">
        <v>1059</v>
      </c>
      <c r="DL43">
        <v>112</v>
      </c>
      <c r="DM43">
        <v>69</v>
      </c>
      <c r="DN43">
        <v>1743</v>
      </c>
      <c r="DO43">
        <v>74</v>
      </c>
      <c r="DP43">
        <v>141.64257028110001</v>
      </c>
      <c r="DQ43">
        <v>150.17567567570001</v>
      </c>
    </row>
    <row r="44" spans="2:121" x14ac:dyDescent="0.2">
      <c r="B44" t="s">
        <v>132</v>
      </c>
      <c r="C44">
        <v>9621</v>
      </c>
      <c r="D44">
        <v>6808</v>
      </c>
      <c r="F44" t="s">
        <v>35</v>
      </c>
      <c r="G44">
        <v>2132</v>
      </c>
      <c r="H44">
        <v>457.70215759849998</v>
      </c>
      <c r="I44">
        <v>877</v>
      </c>
      <c r="J44">
        <v>73</v>
      </c>
      <c r="K44">
        <v>2807</v>
      </c>
      <c r="L44">
        <v>1935</v>
      </c>
      <c r="M44">
        <v>1902</v>
      </c>
      <c r="N44">
        <v>1771</v>
      </c>
      <c r="O44">
        <v>241</v>
      </c>
      <c r="P44">
        <v>109</v>
      </c>
      <c r="Q44">
        <v>0</v>
      </c>
      <c r="R44">
        <v>2</v>
      </c>
      <c r="AH44" t="s">
        <v>380</v>
      </c>
      <c r="AI44">
        <v>473</v>
      </c>
      <c r="AJ44">
        <v>231.0909090909</v>
      </c>
      <c r="AK44">
        <v>923</v>
      </c>
      <c r="AL44">
        <v>208</v>
      </c>
      <c r="AM44">
        <v>1035</v>
      </c>
      <c r="AN44">
        <v>352</v>
      </c>
      <c r="AO44">
        <v>324</v>
      </c>
      <c r="AP44">
        <v>122</v>
      </c>
      <c r="AQ44">
        <v>133</v>
      </c>
      <c r="AR44">
        <v>52</v>
      </c>
      <c r="AS44">
        <v>131</v>
      </c>
      <c r="AT44">
        <v>0</v>
      </c>
      <c r="AV44" t="s">
        <v>402</v>
      </c>
      <c r="AW44">
        <v>287</v>
      </c>
      <c r="AX44">
        <v>58.459930313599997</v>
      </c>
      <c r="AY44">
        <v>765</v>
      </c>
      <c r="AZ44">
        <v>64</v>
      </c>
      <c r="BA44">
        <v>509</v>
      </c>
      <c r="BB44">
        <v>36</v>
      </c>
      <c r="BC44">
        <v>4</v>
      </c>
      <c r="BD44">
        <v>2</v>
      </c>
      <c r="BE44">
        <v>50</v>
      </c>
      <c r="BF44">
        <v>13</v>
      </c>
      <c r="BG44">
        <v>538</v>
      </c>
      <c r="BH44">
        <v>48</v>
      </c>
      <c r="BJ44" t="s">
        <v>551</v>
      </c>
      <c r="BK44" t="s">
        <v>377</v>
      </c>
      <c r="BL44">
        <v>18588</v>
      </c>
      <c r="BM44">
        <v>4692</v>
      </c>
      <c r="BN44">
        <v>102.1523025608</v>
      </c>
      <c r="BO44">
        <v>54611</v>
      </c>
      <c r="BP44">
        <v>2234</v>
      </c>
      <c r="BQ44">
        <v>202.8308399407</v>
      </c>
      <c r="BR44">
        <v>174.92837958819999</v>
      </c>
      <c r="BS44">
        <v>14454</v>
      </c>
      <c r="BT44">
        <v>3101</v>
      </c>
      <c r="BU44">
        <v>93.419814584199997</v>
      </c>
      <c r="BV44">
        <v>38898</v>
      </c>
      <c r="BW44">
        <v>1491</v>
      </c>
      <c r="BX44">
        <v>208.18078050290001</v>
      </c>
      <c r="BY44">
        <v>165.80684104630001</v>
      </c>
      <c r="CA44" t="s">
        <v>387</v>
      </c>
      <c r="CB44" t="s">
        <v>864</v>
      </c>
      <c r="CC44" t="s">
        <v>1001</v>
      </c>
      <c r="CD44">
        <v>2331</v>
      </c>
      <c r="CE44">
        <v>437</v>
      </c>
      <c r="CF44">
        <v>88.174174174200004</v>
      </c>
      <c r="CG44">
        <v>9453</v>
      </c>
      <c r="CH44">
        <v>383</v>
      </c>
      <c r="CI44">
        <v>145.9009838147</v>
      </c>
      <c r="CJ44">
        <v>137.6997389034</v>
      </c>
      <c r="CL44" t="s">
        <v>387</v>
      </c>
      <c r="CM44" t="s">
        <v>833</v>
      </c>
      <c r="CN44" t="s">
        <v>847</v>
      </c>
      <c r="CO44">
        <v>149</v>
      </c>
      <c r="CP44">
        <v>16</v>
      </c>
      <c r="CQ44">
        <v>68.375838926200004</v>
      </c>
      <c r="CR44">
        <v>958</v>
      </c>
      <c r="CS44">
        <v>61</v>
      </c>
      <c r="CT44">
        <v>77.829853862199997</v>
      </c>
      <c r="CU44">
        <v>83.655737704900005</v>
      </c>
      <c r="CW44" t="s">
        <v>387</v>
      </c>
      <c r="CX44" t="s">
        <v>849</v>
      </c>
      <c r="CY44" t="s">
        <v>863</v>
      </c>
      <c r="CZ44">
        <v>21</v>
      </c>
      <c r="DA44">
        <v>3</v>
      </c>
      <c r="DB44">
        <v>62.047619047600001</v>
      </c>
      <c r="DC44">
        <v>65</v>
      </c>
      <c r="DD44">
        <v>2</v>
      </c>
      <c r="DE44">
        <v>126.2769230769</v>
      </c>
      <c r="DF44">
        <v>110.5</v>
      </c>
      <c r="DH44" t="s">
        <v>387</v>
      </c>
      <c r="DI44" t="s">
        <v>817</v>
      </c>
      <c r="DJ44" t="s">
        <v>831</v>
      </c>
      <c r="DK44">
        <v>29</v>
      </c>
      <c r="DL44">
        <v>2</v>
      </c>
      <c r="DM44">
        <v>80.034482758600006</v>
      </c>
      <c r="DN44">
        <v>61</v>
      </c>
      <c r="DO44">
        <v>3</v>
      </c>
      <c r="DP44">
        <v>155.62295081970001</v>
      </c>
      <c r="DQ44">
        <v>114</v>
      </c>
    </row>
    <row r="45" spans="2:121" x14ac:dyDescent="0.2">
      <c r="B45" t="s">
        <v>106</v>
      </c>
      <c r="C45">
        <v>191</v>
      </c>
      <c r="D45">
        <v>189</v>
      </c>
      <c r="F45" t="s">
        <v>66</v>
      </c>
      <c r="G45">
        <v>5478</v>
      </c>
      <c r="H45">
        <v>381.76524278929998</v>
      </c>
      <c r="I45">
        <v>9786</v>
      </c>
      <c r="J45">
        <v>2957</v>
      </c>
      <c r="K45">
        <v>8620</v>
      </c>
      <c r="L45">
        <v>5587</v>
      </c>
      <c r="M45">
        <v>723</v>
      </c>
      <c r="N45">
        <v>446</v>
      </c>
      <c r="O45">
        <v>7349</v>
      </c>
      <c r="P45">
        <v>3951</v>
      </c>
      <c r="Q45">
        <v>9171</v>
      </c>
      <c r="R45">
        <v>0</v>
      </c>
      <c r="AH45" t="s">
        <v>391</v>
      </c>
      <c r="AI45">
        <v>11557</v>
      </c>
      <c r="AJ45">
        <v>344.56710218910001</v>
      </c>
      <c r="AK45">
        <v>9763</v>
      </c>
      <c r="AL45">
        <v>2358</v>
      </c>
      <c r="AM45">
        <v>16515</v>
      </c>
      <c r="AN45">
        <v>10941</v>
      </c>
      <c r="AO45">
        <v>2198</v>
      </c>
      <c r="AP45">
        <v>1047</v>
      </c>
      <c r="AQ45">
        <v>2809</v>
      </c>
      <c r="AR45">
        <v>1575</v>
      </c>
      <c r="AS45">
        <v>432</v>
      </c>
      <c r="AT45">
        <v>63</v>
      </c>
      <c r="AV45" t="s">
        <v>429</v>
      </c>
      <c r="AW45">
        <v>9</v>
      </c>
      <c r="AX45">
        <v>34.777777777799997</v>
      </c>
      <c r="AY45">
        <v>22</v>
      </c>
      <c r="AZ45">
        <v>1</v>
      </c>
      <c r="BA45">
        <v>21</v>
      </c>
      <c r="BB45">
        <v>3</v>
      </c>
      <c r="BC45">
        <v>0</v>
      </c>
      <c r="BE45">
        <v>1</v>
      </c>
      <c r="BF45">
        <v>1</v>
      </c>
      <c r="BG45">
        <v>39</v>
      </c>
      <c r="BH45">
        <v>4</v>
      </c>
      <c r="BJ45" t="s">
        <v>8</v>
      </c>
      <c r="BK45" t="s">
        <v>8</v>
      </c>
      <c r="BL45">
        <v>422</v>
      </c>
      <c r="BM45">
        <v>209</v>
      </c>
      <c r="BN45">
        <v>149.07109004739999</v>
      </c>
      <c r="BO45">
        <v>1100</v>
      </c>
      <c r="BP45">
        <v>104</v>
      </c>
      <c r="BQ45">
        <v>201.8</v>
      </c>
      <c r="BR45">
        <v>183.0384615385</v>
      </c>
      <c r="BS45">
        <v>26</v>
      </c>
      <c r="BT45">
        <v>3</v>
      </c>
      <c r="BU45">
        <v>121.5769230769</v>
      </c>
      <c r="BV45">
        <v>6033</v>
      </c>
      <c r="BW45">
        <v>2</v>
      </c>
      <c r="BX45">
        <v>178.46461130450001</v>
      </c>
      <c r="BY45">
        <v>151.5</v>
      </c>
      <c r="CA45" t="s">
        <v>377</v>
      </c>
      <c r="CB45" t="s">
        <v>864</v>
      </c>
      <c r="CD45">
        <v>70832</v>
      </c>
      <c r="CE45">
        <v>17179</v>
      </c>
      <c r="CF45">
        <v>101.9567850689</v>
      </c>
      <c r="CG45">
        <v>245320</v>
      </c>
      <c r="CH45">
        <v>11098</v>
      </c>
      <c r="CI45">
        <v>193.44144790479999</v>
      </c>
      <c r="CJ45">
        <v>166.64029554870001</v>
      </c>
      <c r="CL45" t="s">
        <v>377</v>
      </c>
      <c r="CM45" t="s">
        <v>833</v>
      </c>
      <c r="CO45">
        <v>4039</v>
      </c>
      <c r="CP45">
        <v>433</v>
      </c>
      <c r="CQ45">
        <v>68.635058182700007</v>
      </c>
      <c r="CR45">
        <v>28703</v>
      </c>
      <c r="CS45">
        <v>1628</v>
      </c>
      <c r="CT45">
        <v>74.489844267099997</v>
      </c>
      <c r="CU45">
        <v>73.759213759199994</v>
      </c>
      <c r="CW45" t="s">
        <v>377</v>
      </c>
      <c r="CX45" t="s">
        <v>849</v>
      </c>
      <c r="CZ45">
        <v>2169</v>
      </c>
      <c r="DA45">
        <v>255</v>
      </c>
      <c r="DB45">
        <v>70.042415859800002</v>
      </c>
      <c r="DC45">
        <v>5267</v>
      </c>
      <c r="DD45">
        <v>193</v>
      </c>
      <c r="DE45">
        <v>139.9506360357</v>
      </c>
      <c r="DF45">
        <v>144.26424870470001</v>
      </c>
      <c r="DH45" t="s">
        <v>377</v>
      </c>
      <c r="DI45" t="s">
        <v>817</v>
      </c>
      <c r="DK45">
        <v>3162</v>
      </c>
      <c r="DL45">
        <v>308</v>
      </c>
      <c r="DM45">
        <v>67.268500948799996</v>
      </c>
      <c r="DN45">
        <v>5484</v>
      </c>
      <c r="DO45">
        <v>212</v>
      </c>
      <c r="DP45">
        <v>139.61633843909999</v>
      </c>
      <c r="DQ45">
        <v>144.04716981129999</v>
      </c>
    </row>
    <row r="46" spans="2:121" x14ac:dyDescent="0.2">
      <c r="B46" t="s">
        <v>114</v>
      </c>
      <c r="C46">
        <v>548</v>
      </c>
      <c r="D46">
        <v>480</v>
      </c>
      <c r="F46" t="s">
        <v>81</v>
      </c>
      <c r="G46">
        <v>1494</v>
      </c>
      <c r="H46">
        <v>236.1372155288</v>
      </c>
      <c r="I46">
        <v>1149</v>
      </c>
      <c r="J46">
        <v>147</v>
      </c>
      <c r="K46">
        <v>2266</v>
      </c>
      <c r="L46">
        <v>1010</v>
      </c>
      <c r="M46">
        <v>1004</v>
      </c>
      <c r="N46">
        <v>572</v>
      </c>
      <c r="O46">
        <v>875</v>
      </c>
      <c r="P46">
        <v>816</v>
      </c>
      <c r="Q46">
        <v>1</v>
      </c>
      <c r="R46">
        <v>0</v>
      </c>
      <c r="AH46" t="s">
        <v>428</v>
      </c>
      <c r="AI46">
        <v>429</v>
      </c>
      <c r="AJ46">
        <v>220.37995337999999</v>
      </c>
      <c r="AK46">
        <v>907</v>
      </c>
      <c r="AL46">
        <v>218</v>
      </c>
      <c r="AM46">
        <v>1099</v>
      </c>
      <c r="AN46">
        <v>238</v>
      </c>
      <c r="AO46">
        <v>414</v>
      </c>
      <c r="AP46">
        <v>100</v>
      </c>
      <c r="AQ46">
        <v>113</v>
      </c>
      <c r="AR46">
        <v>56</v>
      </c>
      <c r="AS46">
        <v>1</v>
      </c>
      <c r="AT46">
        <v>1</v>
      </c>
      <c r="AV46" t="s">
        <v>397</v>
      </c>
      <c r="AW46">
        <v>159</v>
      </c>
      <c r="AX46">
        <v>75.509433962299994</v>
      </c>
      <c r="AY46">
        <v>246</v>
      </c>
      <c r="AZ46">
        <v>11</v>
      </c>
      <c r="BA46">
        <v>279</v>
      </c>
      <c r="BB46">
        <v>40</v>
      </c>
      <c r="BC46">
        <v>4</v>
      </c>
      <c r="BD46">
        <v>4</v>
      </c>
      <c r="BE46">
        <v>25</v>
      </c>
      <c r="BF46">
        <v>8</v>
      </c>
      <c r="BG46">
        <v>316</v>
      </c>
      <c r="BH46">
        <v>27</v>
      </c>
      <c r="BJ46" t="s">
        <v>694</v>
      </c>
      <c r="BK46" t="s">
        <v>8</v>
      </c>
      <c r="BL46">
        <v>422</v>
      </c>
      <c r="BM46">
        <v>209</v>
      </c>
      <c r="BN46">
        <v>149.07109004739999</v>
      </c>
      <c r="BO46">
        <v>1100</v>
      </c>
      <c r="BP46">
        <v>104</v>
      </c>
      <c r="BQ46">
        <v>201.8</v>
      </c>
      <c r="BR46">
        <v>183.0384615385</v>
      </c>
      <c r="BS46">
        <v>26</v>
      </c>
      <c r="BT46">
        <v>3</v>
      </c>
      <c r="BU46">
        <v>121.5769230769</v>
      </c>
      <c r="BV46">
        <v>6033</v>
      </c>
      <c r="BW46">
        <v>2</v>
      </c>
      <c r="BX46">
        <v>178.46461130450001</v>
      </c>
      <c r="BY46">
        <v>151.5</v>
      </c>
      <c r="CA46" t="s">
        <v>8</v>
      </c>
      <c r="CB46" t="s">
        <v>694</v>
      </c>
      <c r="CC46" t="s">
        <v>694</v>
      </c>
      <c r="CD46">
        <v>3638</v>
      </c>
      <c r="CE46">
        <v>1493</v>
      </c>
      <c r="CF46">
        <v>146.755360088</v>
      </c>
      <c r="CG46">
        <v>10354</v>
      </c>
      <c r="CH46">
        <v>461</v>
      </c>
      <c r="CI46">
        <v>205.3636275835</v>
      </c>
      <c r="CJ46">
        <v>196.967462039</v>
      </c>
      <c r="CL46" t="s">
        <v>8</v>
      </c>
      <c r="CM46" t="s">
        <v>866</v>
      </c>
      <c r="CN46" t="s">
        <v>866</v>
      </c>
      <c r="CO46">
        <v>170</v>
      </c>
      <c r="CP46">
        <v>29</v>
      </c>
      <c r="CQ46">
        <v>84.276470588199999</v>
      </c>
      <c r="CR46">
        <v>1083</v>
      </c>
      <c r="CS46">
        <v>61</v>
      </c>
      <c r="CT46">
        <v>97.198522622300004</v>
      </c>
      <c r="CU46">
        <v>91.901639344299994</v>
      </c>
      <c r="CW46" t="s">
        <v>8</v>
      </c>
      <c r="CX46" t="s">
        <v>867</v>
      </c>
      <c r="CY46" t="s">
        <v>867</v>
      </c>
      <c r="CZ46">
        <v>27</v>
      </c>
      <c r="DA46">
        <v>3</v>
      </c>
      <c r="DB46">
        <v>62.925925925900003</v>
      </c>
      <c r="DC46">
        <v>64</v>
      </c>
      <c r="DD46">
        <v>1</v>
      </c>
      <c r="DE46">
        <v>141.703125</v>
      </c>
      <c r="DF46">
        <v>148</v>
      </c>
      <c r="DH46" t="s">
        <v>8</v>
      </c>
      <c r="DI46" t="s">
        <v>865</v>
      </c>
      <c r="DJ46" t="s">
        <v>865</v>
      </c>
      <c r="DK46">
        <v>68</v>
      </c>
      <c r="DL46">
        <v>7</v>
      </c>
      <c r="DM46">
        <v>75.191176470599999</v>
      </c>
      <c r="DN46">
        <v>186</v>
      </c>
      <c r="DO46">
        <v>6</v>
      </c>
      <c r="DP46">
        <v>149.02150537630001</v>
      </c>
      <c r="DQ46">
        <v>161.6666666667</v>
      </c>
    </row>
    <row r="47" spans="2:121" x14ac:dyDescent="0.2">
      <c r="B47" t="s">
        <v>107</v>
      </c>
      <c r="C47">
        <v>18279</v>
      </c>
      <c r="D47">
        <v>13294</v>
      </c>
      <c r="F47" t="s">
        <v>84</v>
      </c>
      <c r="G47">
        <v>1514</v>
      </c>
      <c r="H47">
        <v>153.94649933950001</v>
      </c>
      <c r="I47">
        <v>2715</v>
      </c>
      <c r="J47">
        <v>580</v>
      </c>
      <c r="K47">
        <v>2319</v>
      </c>
      <c r="L47">
        <v>966</v>
      </c>
      <c r="M47">
        <v>471</v>
      </c>
      <c r="N47">
        <v>240</v>
      </c>
      <c r="O47">
        <v>167</v>
      </c>
      <c r="P47">
        <v>90</v>
      </c>
      <c r="Q47">
        <v>0</v>
      </c>
      <c r="R47">
        <v>10</v>
      </c>
      <c r="AH47" t="s">
        <v>392</v>
      </c>
      <c r="AI47">
        <v>7128</v>
      </c>
      <c r="AJ47">
        <v>273.49621212120002</v>
      </c>
      <c r="AK47">
        <v>9713</v>
      </c>
      <c r="AL47">
        <v>2162</v>
      </c>
      <c r="AM47">
        <v>10557</v>
      </c>
      <c r="AN47">
        <v>5653</v>
      </c>
      <c r="AO47">
        <v>1614</v>
      </c>
      <c r="AP47">
        <v>1304</v>
      </c>
      <c r="AQ47">
        <v>1915</v>
      </c>
      <c r="AR47">
        <v>1142</v>
      </c>
      <c r="AS47">
        <v>42</v>
      </c>
      <c r="AT47">
        <v>228</v>
      </c>
      <c r="AV47" t="s">
        <v>431</v>
      </c>
      <c r="AW47">
        <v>56</v>
      </c>
      <c r="AX47">
        <v>102.9642857143</v>
      </c>
      <c r="AY47">
        <v>71</v>
      </c>
      <c r="AZ47">
        <v>22</v>
      </c>
      <c r="BA47">
        <v>82</v>
      </c>
      <c r="BB47">
        <v>30</v>
      </c>
      <c r="BC47">
        <v>6</v>
      </c>
      <c r="BD47">
        <v>5</v>
      </c>
      <c r="BE47">
        <v>19</v>
      </c>
      <c r="BF47">
        <v>5</v>
      </c>
      <c r="BG47">
        <v>6</v>
      </c>
      <c r="BH47">
        <v>24</v>
      </c>
      <c r="BJ47" t="s">
        <v>594</v>
      </c>
      <c r="BK47" t="s">
        <v>412</v>
      </c>
      <c r="BL47">
        <v>3000</v>
      </c>
      <c r="BM47">
        <v>703</v>
      </c>
      <c r="BN47">
        <v>96.668999999999997</v>
      </c>
      <c r="BO47">
        <v>8676</v>
      </c>
      <c r="BP47">
        <v>317</v>
      </c>
      <c r="BQ47">
        <v>176.98374827110001</v>
      </c>
      <c r="BR47">
        <v>192.7444794953</v>
      </c>
      <c r="BS47">
        <v>2725</v>
      </c>
      <c r="BT47">
        <v>582</v>
      </c>
      <c r="BU47">
        <v>91.684403669700004</v>
      </c>
      <c r="BV47">
        <v>8625</v>
      </c>
      <c r="BW47">
        <v>310</v>
      </c>
      <c r="BX47">
        <v>179.04139130429999</v>
      </c>
      <c r="BY47">
        <v>183.46129032260001</v>
      </c>
      <c r="CA47" t="s">
        <v>8</v>
      </c>
      <c r="CB47" t="s">
        <v>694</v>
      </c>
      <c r="CC47" t="s">
        <v>694</v>
      </c>
      <c r="CD47">
        <v>3638</v>
      </c>
      <c r="CE47">
        <v>1493</v>
      </c>
      <c r="CF47">
        <v>146.755360088</v>
      </c>
      <c r="CG47">
        <v>10354</v>
      </c>
      <c r="CH47">
        <v>461</v>
      </c>
      <c r="CI47">
        <v>205.3636275835</v>
      </c>
      <c r="CJ47">
        <v>196.967462039</v>
      </c>
      <c r="CL47" t="s">
        <v>8</v>
      </c>
      <c r="CM47" t="s">
        <v>866</v>
      </c>
      <c r="CN47" t="s">
        <v>866</v>
      </c>
      <c r="CO47">
        <v>170</v>
      </c>
      <c r="CP47">
        <v>29</v>
      </c>
      <c r="CQ47">
        <v>84.276470588199999</v>
      </c>
      <c r="CR47">
        <v>1083</v>
      </c>
      <c r="CS47">
        <v>61</v>
      </c>
      <c r="CT47">
        <v>97.198522622300004</v>
      </c>
      <c r="CU47">
        <v>91.901639344299994</v>
      </c>
      <c r="CW47" t="s">
        <v>8</v>
      </c>
      <c r="CX47" t="s">
        <v>867</v>
      </c>
      <c r="CY47" t="s">
        <v>867</v>
      </c>
      <c r="CZ47">
        <v>27</v>
      </c>
      <c r="DA47">
        <v>3</v>
      </c>
      <c r="DB47">
        <v>62.925925925900003</v>
      </c>
      <c r="DC47">
        <v>64</v>
      </c>
      <c r="DD47">
        <v>1</v>
      </c>
      <c r="DE47">
        <v>141.703125</v>
      </c>
      <c r="DF47">
        <v>148</v>
      </c>
      <c r="DH47" t="s">
        <v>8</v>
      </c>
      <c r="DI47" t="s">
        <v>865</v>
      </c>
      <c r="DJ47" t="s">
        <v>865</v>
      </c>
      <c r="DK47">
        <v>68</v>
      </c>
      <c r="DL47">
        <v>7</v>
      </c>
      <c r="DM47">
        <v>75.191176470599999</v>
      </c>
      <c r="DN47">
        <v>186</v>
      </c>
      <c r="DO47">
        <v>6</v>
      </c>
      <c r="DP47">
        <v>149.02150537630001</v>
      </c>
      <c r="DQ47">
        <v>161.6666666667</v>
      </c>
    </row>
    <row r="48" spans="2:121" x14ac:dyDescent="0.2">
      <c r="B48" t="s">
        <v>123</v>
      </c>
      <c r="C48">
        <v>3257</v>
      </c>
      <c r="D48">
        <v>824</v>
      </c>
      <c r="F48" t="s">
        <v>51</v>
      </c>
      <c r="G48">
        <v>9850</v>
      </c>
      <c r="H48">
        <v>551.21675126900004</v>
      </c>
      <c r="I48">
        <v>4831</v>
      </c>
      <c r="J48">
        <v>1032</v>
      </c>
      <c r="K48">
        <v>15789</v>
      </c>
      <c r="L48">
        <v>8999</v>
      </c>
      <c r="M48">
        <v>1025</v>
      </c>
      <c r="N48">
        <v>847</v>
      </c>
      <c r="O48">
        <v>1927</v>
      </c>
      <c r="P48">
        <v>1436</v>
      </c>
      <c r="Q48">
        <v>3</v>
      </c>
      <c r="R48">
        <v>211</v>
      </c>
      <c r="AH48" t="s">
        <v>418</v>
      </c>
      <c r="AI48">
        <v>32466</v>
      </c>
      <c r="AJ48">
        <v>338.03154068869998</v>
      </c>
      <c r="AK48">
        <v>37721</v>
      </c>
      <c r="AL48">
        <v>8798</v>
      </c>
      <c r="AM48">
        <v>45620</v>
      </c>
      <c r="AN48">
        <v>26316</v>
      </c>
      <c r="AO48">
        <v>4982</v>
      </c>
      <c r="AP48">
        <v>3646</v>
      </c>
      <c r="AQ48">
        <v>9018</v>
      </c>
      <c r="AR48">
        <v>4782</v>
      </c>
      <c r="AS48">
        <v>25</v>
      </c>
      <c r="AT48">
        <v>447</v>
      </c>
      <c r="AV48" t="s">
        <v>427</v>
      </c>
      <c r="AW48">
        <v>12</v>
      </c>
      <c r="AX48">
        <v>40.916666666700003</v>
      </c>
      <c r="AY48">
        <v>32</v>
      </c>
      <c r="BA48">
        <v>24</v>
      </c>
      <c r="BC48">
        <v>0</v>
      </c>
      <c r="BE48">
        <v>0</v>
      </c>
      <c r="BG48">
        <v>41</v>
      </c>
      <c r="BH48">
        <v>6</v>
      </c>
      <c r="BJ48" t="s">
        <v>653</v>
      </c>
      <c r="BK48" t="s">
        <v>412</v>
      </c>
      <c r="BL48">
        <v>1019</v>
      </c>
      <c r="BM48">
        <v>77</v>
      </c>
      <c r="BN48">
        <v>67.729146221799994</v>
      </c>
      <c r="BO48">
        <v>3337</v>
      </c>
      <c r="BP48">
        <v>213</v>
      </c>
      <c r="BQ48">
        <v>146.83338327839999</v>
      </c>
      <c r="BR48">
        <v>139.92488262910001</v>
      </c>
      <c r="BS48">
        <v>1100</v>
      </c>
      <c r="BT48">
        <v>159</v>
      </c>
      <c r="BU48">
        <v>77.119090909099995</v>
      </c>
      <c r="BV48">
        <v>3388</v>
      </c>
      <c r="BW48">
        <v>250</v>
      </c>
      <c r="BX48">
        <v>149.3571428571</v>
      </c>
      <c r="BY48">
        <v>143.804</v>
      </c>
      <c r="CA48" t="s">
        <v>8</v>
      </c>
      <c r="CB48" t="s">
        <v>694</v>
      </c>
      <c r="CC48" t="s">
        <v>694</v>
      </c>
      <c r="CD48">
        <v>3638</v>
      </c>
      <c r="CE48">
        <v>1493</v>
      </c>
      <c r="CF48">
        <v>146.755360088</v>
      </c>
      <c r="CG48">
        <v>10354</v>
      </c>
      <c r="CH48">
        <v>461</v>
      </c>
      <c r="CI48">
        <v>205.3636275835</v>
      </c>
      <c r="CJ48">
        <v>196.967462039</v>
      </c>
      <c r="CL48" t="s">
        <v>8</v>
      </c>
      <c r="CM48" t="s">
        <v>866</v>
      </c>
      <c r="CN48" t="s">
        <v>866</v>
      </c>
      <c r="CO48">
        <v>170</v>
      </c>
      <c r="CP48">
        <v>29</v>
      </c>
      <c r="CQ48">
        <v>84.276470588199999</v>
      </c>
      <c r="CR48">
        <v>1083</v>
      </c>
      <c r="CS48">
        <v>61</v>
      </c>
      <c r="CT48">
        <v>97.198522622300004</v>
      </c>
      <c r="CU48">
        <v>91.901639344299994</v>
      </c>
      <c r="CW48" t="s">
        <v>8</v>
      </c>
      <c r="CX48" t="s">
        <v>867</v>
      </c>
      <c r="CY48" t="s">
        <v>867</v>
      </c>
      <c r="CZ48">
        <v>27</v>
      </c>
      <c r="DA48">
        <v>3</v>
      </c>
      <c r="DB48">
        <v>62.925925925900003</v>
      </c>
      <c r="DC48">
        <v>64</v>
      </c>
      <c r="DD48">
        <v>1</v>
      </c>
      <c r="DE48">
        <v>141.703125</v>
      </c>
      <c r="DF48">
        <v>148</v>
      </c>
      <c r="DH48" t="s">
        <v>8</v>
      </c>
      <c r="DI48" t="s">
        <v>865</v>
      </c>
      <c r="DJ48" t="s">
        <v>865</v>
      </c>
      <c r="DK48">
        <v>68</v>
      </c>
      <c r="DL48">
        <v>7</v>
      </c>
      <c r="DM48">
        <v>75.191176470599999</v>
      </c>
      <c r="DN48">
        <v>186</v>
      </c>
      <c r="DO48">
        <v>6</v>
      </c>
      <c r="DP48">
        <v>149.02150537630001</v>
      </c>
      <c r="DQ48">
        <v>161.6666666667</v>
      </c>
    </row>
    <row r="49" spans="2:121" x14ac:dyDescent="0.2">
      <c r="B49" t="s">
        <v>21</v>
      </c>
      <c r="C49">
        <v>40702</v>
      </c>
      <c r="D49">
        <v>12608</v>
      </c>
      <c r="F49" t="s">
        <v>45</v>
      </c>
      <c r="G49">
        <v>3028</v>
      </c>
      <c r="H49">
        <v>238.67866578600001</v>
      </c>
      <c r="I49">
        <v>7337</v>
      </c>
      <c r="J49">
        <v>1901</v>
      </c>
      <c r="K49">
        <v>6196</v>
      </c>
      <c r="L49">
        <v>2481</v>
      </c>
      <c r="M49">
        <v>983</v>
      </c>
      <c r="N49">
        <v>754</v>
      </c>
      <c r="O49">
        <v>730</v>
      </c>
      <c r="P49">
        <v>408</v>
      </c>
      <c r="Q49">
        <v>3</v>
      </c>
      <c r="R49">
        <v>205</v>
      </c>
      <c r="AH49" t="s">
        <v>414</v>
      </c>
      <c r="AI49">
        <v>2142</v>
      </c>
      <c r="AJ49">
        <v>318.58309990660001</v>
      </c>
      <c r="AK49">
        <v>1968</v>
      </c>
      <c r="AL49">
        <v>455</v>
      </c>
      <c r="AM49">
        <v>3422</v>
      </c>
      <c r="AN49">
        <v>1779</v>
      </c>
      <c r="AO49">
        <v>529</v>
      </c>
      <c r="AP49">
        <v>432</v>
      </c>
      <c r="AQ49">
        <v>250</v>
      </c>
      <c r="AR49">
        <v>114</v>
      </c>
      <c r="AS49">
        <v>0</v>
      </c>
      <c r="AT49">
        <v>5</v>
      </c>
      <c r="AV49" t="s">
        <v>386</v>
      </c>
      <c r="AW49">
        <v>721</v>
      </c>
      <c r="AX49">
        <v>104.57420249650001</v>
      </c>
      <c r="AY49">
        <v>687</v>
      </c>
      <c r="AZ49">
        <v>165</v>
      </c>
      <c r="BA49">
        <v>1084</v>
      </c>
      <c r="BB49">
        <v>345</v>
      </c>
      <c r="BC49">
        <v>158</v>
      </c>
      <c r="BD49">
        <v>155</v>
      </c>
      <c r="BE49">
        <v>130</v>
      </c>
      <c r="BF49">
        <v>30</v>
      </c>
      <c r="BG49">
        <v>110</v>
      </c>
      <c r="BH49">
        <v>277</v>
      </c>
      <c r="BJ49" t="s">
        <v>609</v>
      </c>
      <c r="BK49" t="s">
        <v>412</v>
      </c>
      <c r="BL49">
        <v>1528</v>
      </c>
      <c r="BM49">
        <v>309</v>
      </c>
      <c r="BN49">
        <v>88.008507853400005</v>
      </c>
      <c r="BO49">
        <v>4710</v>
      </c>
      <c r="BP49">
        <v>264</v>
      </c>
      <c r="BQ49">
        <v>148.04182590229999</v>
      </c>
      <c r="BR49">
        <v>155.93939393939999</v>
      </c>
      <c r="BS49">
        <v>1639</v>
      </c>
      <c r="BT49">
        <v>406</v>
      </c>
      <c r="BU49">
        <v>102.2342892007</v>
      </c>
      <c r="BV49">
        <v>6267</v>
      </c>
      <c r="BW49">
        <v>305</v>
      </c>
      <c r="BX49">
        <v>167.1116961864</v>
      </c>
      <c r="BY49">
        <v>174.068852459</v>
      </c>
      <c r="CA49" t="s">
        <v>8</v>
      </c>
      <c r="CB49" t="s">
        <v>694</v>
      </c>
      <c r="CD49">
        <v>3638</v>
      </c>
      <c r="CE49">
        <v>1493</v>
      </c>
      <c r="CF49">
        <v>146.755360088</v>
      </c>
      <c r="CG49">
        <v>10354</v>
      </c>
      <c r="CH49">
        <v>461</v>
      </c>
      <c r="CI49">
        <v>205.3636275835</v>
      </c>
      <c r="CJ49">
        <v>196.967462039</v>
      </c>
      <c r="CL49" t="s">
        <v>8</v>
      </c>
      <c r="CM49" t="s">
        <v>866</v>
      </c>
      <c r="CO49">
        <v>170</v>
      </c>
      <c r="CP49">
        <v>29</v>
      </c>
      <c r="CQ49">
        <v>84.276470588199999</v>
      </c>
      <c r="CR49">
        <v>1083</v>
      </c>
      <c r="CS49">
        <v>61</v>
      </c>
      <c r="CT49">
        <v>97.198522622300004</v>
      </c>
      <c r="CU49">
        <v>91.901639344299994</v>
      </c>
      <c r="CW49" t="s">
        <v>8</v>
      </c>
      <c r="CX49" t="s">
        <v>867</v>
      </c>
      <c r="CZ49">
        <v>27</v>
      </c>
      <c r="DA49">
        <v>3</v>
      </c>
      <c r="DB49">
        <v>62.925925925900003</v>
      </c>
      <c r="DC49">
        <v>64</v>
      </c>
      <c r="DD49">
        <v>1</v>
      </c>
      <c r="DE49">
        <v>141.703125</v>
      </c>
      <c r="DF49">
        <v>148</v>
      </c>
      <c r="DH49" t="s">
        <v>8</v>
      </c>
      <c r="DI49" t="s">
        <v>865</v>
      </c>
      <c r="DK49">
        <v>68</v>
      </c>
      <c r="DL49">
        <v>7</v>
      </c>
      <c r="DM49">
        <v>75.191176470599999</v>
      </c>
      <c r="DN49">
        <v>186</v>
      </c>
      <c r="DO49">
        <v>6</v>
      </c>
      <c r="DP49">
        <v>149.02150537630001</v>
      </c>
      <c r="DQ49">
        <v>161.6666666667</v>
      </c>
    </row>
    <row r="50" spans="2:121" x14ac:dyDescent="0.2">
      <c r="B50" t="s">
        <v>104</v>
      </c>
      <c r="C50">
        <v>224239</v>
      </c>
      <c r="D50">
        <v>157550</v>
      </c>
      <c r="F50" t="s">
        <v>56</v>
      </c>
      <c r="G50">
        <v>9728</v>
      </c>
      <c r="H50">
        <v>490.67444490129998</v>
      </c>
      <c r="I50">
        <v>6120</v>
      </c>
      <c r="J50">
        <v>2560</v>
      </c>
      <c r="K50">
        <v>14182</v>
      </c>
      <c r="L50">
        <v>9151</v>
      </c>
      <c r="M50">
        <v>3175</v>
      </c>
      <c r="N50">
        <v>2541</v>
      </c>
      <c r="O50">
        <v>584</v>
      </c>
      <c r="P50">
        <v>388</v>
      </c>
      <c r="Q50">
        <v>80</v>
      </c>
      <c r="R50">
        <v>253</v>
      </c>
      <c r="AH50" t="s">
        <v>425</v>
      </c>
      <c r="AI50">
        <v>466</v>
      </c>
      <c r="AJ50">
        <v>350.09012875539997</v>
      </c>
      <c r="AK50">
        <v>418</v>
      </c>
      <c r="AL50">
        <v>107</v>
      </c>
      <c r="AM50">
        <v>796</v>
      </c>
      <c r="AN50">
        <v>424</v>
      </c>
      <c r="AO50">
        <v>181</v>
      </c>
      <c r="AP50">
        <v>106</v>
      </c>
      <c r="AQ50">
        <v>91</v>
      </c>
      <c r="AR50">
        <v>56</v>
      </c>
      <c r="AS50">
        <v>48</v>
      </c>
      <c r="AT50">
        <v>1</v>
      </c>
      <c r="AV50" t="s">
        <v>381</v>
      </c>
      <c r="AW50">
        <v>164</v>
      </c>
      <c r="AX50">
        <v>92.756097561000004</v>
      </c>
      <c r="AY50">
        <v>253</v>
      </c>
      <c r="AZ50">
        <v>75</v>
      </c>
      <c r="BA50">
        <v>244</v>
      </c>
      <c r="BB50">
        <v>65</v>
      </c>
      <c r="BC50">
        <v>5</v>
      </c>
      <c r="BD50">
        <v>5</v>
      </c>
      <c r="BE50">
        <v>43</v>
      </c>
      <c r="BF50">
        <v>8</v>
      </c>
      <c r="BG50">
        <v>19</v>
      </c>
      <c r="BH50">
        <v>71</v>
      </c>
      <c r="BJ50" t="s">
        <v>649</v>
      </c>
      <c r="BK50" t="s">
        <v>412</v>
      </c>
      <c r="BL50">
        <v>2578</v>
      </c>
      <c r="BM50">
        <v>526</v>
      </c>
      <c r="BN50">
        <v>92.840574088400004</v>
      </c>
      <c r="BO50">
        <v>8184</v>
      </c>
      <c r="BP50">
        <v>378</v>
      </c>
      <c r="BQ50">
        <v>195.27627077220001</v>
      </c>
      <c r="BR50">
        <v>198.2698412698</v>
      </c>
      <c r="BS50">
        <v>2430</v>
      </c>
      <c r="BT50">
        <v>407</v>
      </c>
      <c r="BU50">
        <v>85.709465020600007</v>
      </c>
      <c r="BV50">
        <v>6590</v>
      </c>
      <c r="BW50">
        <v>266</v>
      </c>
      <c r="BX50">
        <v>191.26069802730001</v>
      </c>
      <c r="BY50">
        <v>206.44360902259999</v>
      </c>
      <c r="CA50" t="s">
        <v>432</v>
      </c>
      <c r="CB50" t="s">
        <v>898</v>
      </c>
      <c r="CC50" t="s">
        <v>1023</v>
      </c>
      <c r="CD50">
        <v>1029</v>
      </c>
      <c r="CE50">
        <v>84</v>
      </c>
      <c r="CF50">
        <v>68.450923226399993</v>
      </c>
      <c r="CG50">
        <v>4302</v>
      </c>
      <c r="CH50">
        <v>273</v>
      </c>
      <c r="CI50">
        <v>129.20083682009999</v>
      </c>
      <c r="CJ50">
        <v>119.96703296699999</v>
      </c>
      <c r="CL50" t="s">
        <v>432</v>
      </c>
      <c r="CM50" t="s">
        <v>879</v>
      </c>
      <c r="CN50" t="s">
        <v>878</v>
      </c>
      <c r="CO50">
        <v>27</v>
      </c>
      <c r="CP50">
        <v>4</v>
      </c>
      <c r="CQ50">
        <v>69.074074074099997</v>
      </c>
      <c r="CR50">
        <v>211</v>
      </c>
      <c r="CS50">
        <v>8</v>
      </c>
      <c r="CT50">
        <v>62.625592417100002</v>
      </c>
      <c r="CU50">
        <v>86.5</v>
      </c>
      <c r="CW50" t="s">
        <v>432</v>
      </c>
      <c r="CX50" t="s">
        <v>889</v>
      </c>
      <c r="CY50" t="s">
        <v>888</v>
      </c>
      <c r="CZ50">
        <v>19</v>
      </c>
      <c r="DA50">
        <v>1</v>
      </c>
      <c r="DB50">
        <v>65.789473684200004</v>
      </c>
      <c r="DC50">
        <v>101</v>
      </c>
      <c r="DD50">
        <v>6</v>
      </c>
      <c r="DE50">
        <v>124.0198019802</v>
      </c>
      <c r="DF50">
        <v>123.5</v>
      </c>
      <c r="DH50" t="s">
        <v>432</v>
      </c>
      <c r="DI50" t="s">
        <v>869</v>
      </c>
      <c r="DJ50" t="s">
        <v>868</v>
      </c>
      <c r="DK50">
        <v>44</v>
      </c>
      <c r="DL50">
        <v>6</v>
      </c>
      <c r="DM50">
        <v>73.022727272699996</v>
      </c>
      <c r="DN50">
        <v>124</v>
      </c>
      <c r="DO50">
        <v>6</v>
      </c>
      <c r="DP50">
        <v>166.54838709680001</v>
      </c>
      <c r="DQ50">
        <v>108.8333333333</v>
      </c>
    </row>
    <row r="51" spans="2:121" x14ac:dyDescent="0.2">
      <c r="B51" t="s">
        <v>131</v>
      </c>
      <c r="C51">
        <v>20685</v>
      </c>
      <c r="D51">
        <v>3310</v>
      </c>
      <c r="F51" t="s">
        <v>43</v>
      </c>
      <c r="G51">
        <v>6781</v>
      </c>
      <c r="H51">
        <v>416.60772747380003</v>
      </c>
      <c r="I51">
        <v>6941</v>
      </c>
      <c r="J51">
        <v>2294</v>
      </c>
      <c r="K51">
        <v>8957</v>
      </c>
      <c r="L51">
        <v>6059</v>
      </c>
      <c r="M51">
        <v>2056</v>
      </c>
      <c r="N51">
        <v>1790</v>
      </c>
      <c r="O51">
        <v>4310</v>
      </c>
      <c r="P51">
        <v>3279</v>
      </c>
      <c r="Q51">
        <v>0</v>
      </c>
      <c r="R51">
        <v>68</v>
      </c>
      <c r="AH51" t="s">
        <v>386</v>
      </c>
      <c r="AI51">
        <v>18054</v>
      </c>
      <c r="AJ51">
        <v>471.00398803590002</v>
      </c>
      <c r="AK51">
        <v>12452</v>
      </c>
      <c r="AL51">
        <v>2597</v>
      </c>
      <c r="AM51">
        <v>22661</v>
      </c>
      <c r="AN51">
        <v>14971</v>
      </c>
      <c r="AO51">
        <v>5556</v>
      </c>
      <c r="AP51">
        <v>5016</v>
      </c>
      <c r="AQ51">
        <v>5759</v>
      </c>
      <c r="AR51">
        <v>4220</v>
      </c>
      <c r="AS51">
        <v>718</v>
      </c>
      <c r="AT51">
        <v>35</v>
      </c>
      <c r="AV51" t="s">
        <v>414</v>
      </c>
      <c r="AW51">
        <v>32</v>
      </c>
      <c r="AX51">
        <v>67.5</v>
      </c>
      <c r="AY51">
        <v>153</v>
      </c>
      <c r="AZ51">
        <v>2</v>
      </c>
      <c r="BA51">
        <v>67</v>
      </c>
      <c r="BB51">
        <v>3</v>
      </c>
      <c r="BC51">
        <v>0</v>
      </c>
      <c r="BE51">
        <v>3</v>
      </c>
      <c r="BF51">
        <v>3</v>
      </c>
      <c r="BG51">
        <v>90</v>
      </c>
      <c r="BH51">
        <v>16</v>
      </c>
      <c r="BJ51" t="s">
        <v>601</v>
      </c>
      <c r="BK51" t="s">
        <v>412</v>
      </c>
      <c r="BL51">
        <v>9705</v>
      </c>
      <c r="BM51">
        <v>2832</v>
      </c>
      <c r="BN51">
        <v>109.2628541989</v>
      </c>
      <c r="BO51">
        <v>33801</v>
      </c>
      <c r="BP51">
        <v>1894</v>
      </c>
      <c r="BQ51">
        <v>212.60811810300001</v>
      </c>
      <c r="BR51">
        <v>149.59820485739999</v>
      </c>
      <c r="BS51">
        <v>7521</v>
      </c>
      <c r="BT51">
        <v>1382</v>
      </c>
      <c r="BU51">
        <v>83.448078712899999</v>
      </c>
      <c r="BV51">
        <v>22607</v>
      </c>
      <c r="BW51">
        <v>1397</v>
      </c>
      <c r="BX51">
        <v>213.10678108549999</v>
      </c>
      <c r="BY51">
        <v>130.9534717251</v>
      </c>
      <c r="CA51" t="s">
        <v>434</v>
      </c>
      <c r="CB51" t="s">
        <v>898</v>
      </c>
      <c r="CC51" t="s">
        <v>1024</v>
      </c>
      <c r="CD51">
        <v>6026</v>
      </c>
      <c r="CE51">
        <v>1255</v>
      </c>
      <c r="CF51">
        <v>95.056090275499997</v>
      </c>
      <c r="CG51">
        <v>22454</v>
      </c>
      <c r="CH51">
        <v>1034</v>
      </c>
      <c r="CI51">
        <v>166.7501558742</v>
      </c>
      <c r="CJ51">
        <v>154.63152804640001</v>
      </c>
      <c r="CL51" t="s">
        <v>434</v>
      </c>
      <c r="CM51" t="s">
        <v>879</v>
      </c>
      <c r="CN51" t="s">
        <v>880</v>
      </c>
      <c r="CO51">
        <v>547</v>
      </c>
      <c r="CP51">
        <v>40</v>
      </c>
      <c r="CQ51">
        <v>53.6361974406</v>
      </c>
      <c r="CR51">
        <v>3692</v>
      </c>
      <c r="CS51">
        <v>227</v>
      </c>
      <c r="CT51">
        <v>69.050650054200005</v>
      </c>
      <c r="CU51">
        <v>61.3392070485</v>
      </c>
      <c r="CW51" t="s">
        <v>434</v>
      </c>
      <c r="CX51" t="s">
        <v>889</v>
      </c>
      <c r="CY51" t="s">
        <v>890</v>
      </c>
      <c r="CZ51">
        <v>196</v>
      </c>
      <c r="DA51">
        <v>26</v>
      </c>
      <c r="DB51">
        <v>76.653061224499993</v>
      </c>
      <c r="DC51">
        <v>525</v>
      </c>
      <c r="DD51">
        <v>26</v>
      </c>
      <c r="DE51">
        <v>139.8704761905</v>
      </c>
      <c r="DF51">
        <v>125.6538461538</v>
      </c>
      <c r="DH51" t="s">
        <v>434</v>
      </c>
      <c r="DI51" t="s">
        <v>869</v>
      </c>
      <c r="DJ51" t="s">
        <v>870</v>
      </c>
      <c r="DK51">
        <v>125</v>
      </c>
      <c r="DL51">
        <v>13</v>
      </c>
      <c r="DM51">
        <v>69.207999999999998</v>
      </c>
      <c r="DN51">
        <v>442</v>
      </c>
      <c r="DO51">
        <v>17</v>
      </c>
      <c r="DP51">
        <v>171.26018099550001</v>
      </c>
      <c r="DQ51">
        <v>152.70588235290001</v>
      </c>
    </row>
    <row r="52" spans="2:121" x14ac:dyDescent="0.2">
      <c r="B52" t="s">
        <v>126</v>
      </c>
      <c r="C52">
        <v>533</v>
      </c>
      <c r="D52">
        <v>525</v>
      </c>
      <c r="F52" t="s">
        <v>438</v>
      </c>
      <c r="G52">
        <v>37604</v>
      </c>
      <c r="H52">
        <v>470.65136687590001</v>
      </c>
      <c r="I52">
        <v>621</v>
      </c>
      <c r="J52">
        <v>251</v>
      </c>
      <c r="K52">
        <v>38088</v>
      </c>
      <c r="L52">
        <v>37319</v>
      </c>
      <c r="M52">
        <v>76</v>
      </c>
      <c r="N52">
        <v>66</v>
      </c>
      <c r="O52">
        <v>1541</v>
      </c>
      <c r="P52">
        <v>1383</v>
      </c>
      <c r="Q52">
        <v>0</v>
      </c>
      <c r="R52">
        <v>2</v>
      </c>
      <c r="AH52" t="s">
        <v>83</v>
      </c>
      <c r="AI52">
        <v>14000</v>
      </c>
      <c r="AJ52">
        <v>400.01492857139999</v>
      </c>
      <c r="AK52">
        <v>7051</v>
      </c>
      <c r="AL52">
        <v>1612</v>
      </c>
      <c r="AM52">
        <v>20430</v>
      </c>
      <c r="AN52">
        <v>13366</v>
      </c>
      <c r="AO52">
        <v>3532</v>
      </c>
      <c r="AP52">
        <v>3140</v>
      </c>
      <c r="AQ52">
        <v>4984</v>
      </c>
      <c r="AR52">
        <v>4028</v>
      </c>
      <c r="AS52">
        <v>11</v>
      </c>
      <c r="AT52">
        <v>144</v>
      </c>
      <c r="AV52" t="s">
        <v>400</v>
      </c>
      <c r="AW52">
        <v>210</v>
      </c>
      <c r="AX52">
        <v>57.376190476200001</v>
      </c>
      <c r="AY52">
        <v>544</v>
      </c>
      <c r="AZ52">
        <v>47</v>
      </c>
      <c r="BA52">
        <v>419</v>
      </c>
      <c r="BB52">
        <v>40</v>
      </c>
      <c r="BC52">
        <v>2</v>
      </c>
      <c r="BD52">
        <v>2</v>
      </c>
      <c r="BE52">
        <v>28</v>
      </c>
      <c r="BF52">
        <v>14</v>
      </c>
      <c r="BG52">
        <v>334</v>
      </c>
      <c r="BH52">
        <v>43</v>
      </c>
      <c r="BJ52" t="s">
        <v>623</v>
      </c>
      <c r="BK52" t="s">
        <v>412</v>
      </c>
      <c r="BL52">
        <v>842</v>
      </c>
      <c r="BM52">
        <v>267</v>
      </c>
      <c r="BN52">
        <v>118.2743467933</v>
      </c>
      <c r="BO52">
        <v>3942</v>
      </c>
      <c r="BP52">
        <v>138</v>
      </c>
      <c r="BQ52">
        <v>162.29934043630001</v>
      </c>
      <c r="BR52">
        <v>130.34782608699999</v>
      </c>
      <c r="BS52">
        <v>1472</v>
      </c>
      <c r="BT52">
        <v>729</v>
      </c>
      <c r="BU52">
        <v>169.24456521740001</v>
      </c>
      <c r="BV52">
        <v>7313</v>
      </c>
      <c r="BW52">
        <v>210</v>
      </c>
      <c r="BX52">
        <v>208.53698892380001</v>
      </c>
      <c r="BY52">
        <v>177.5666666667</v>
      </c>
      <c r="CA52" t="s">
        <v>415</v>
      </c>
      <c r="CB52" t="s">
        <v>898</v>
      </c>
      <c r="CC52" t="s">
        <v>1025</v>
      </c>
      <c r="CD52">
        <v>30440</v>
      </c>
      <c r="CE52">
        <v>7242</v>
      </c>
      <c r="CF52">
        <v>99.624277266799993</v>
      </c>
      <c r="CG52">
        <v>104946</v>
      </c>
      <c r="CH52">
        <v>5031</v>
      </c>
      <c r="CI52">
        <v>192.78759552529999</v>
      </c>
      <c r="CJ52">
        <v>155.70622142720001</v>
      </c>
      <c r="CL52" t="s">
        <v>415</v>
      </c>
      <c r="CM52" t="s">
        <v>879</v>
      </c>
      <c r="CN52" t="s">
        <v>881</v>
      </c>
      <c r="CO52">
        <v>2302</v>
      </c>
      <c r="CP52">
        <v>110</v>
      </c>
      <c r="CQ52">
        <v>48.803214595999997</v>
      </c>
      <c r="CR52">
        <v>14683</v>
      </c>
      <c r="CS52">
        <v>859</v>
      </c>
      <c r="CT52">
        <v>62.800858135299997</v>
      </c>
      <c r="CU52">
        <v>57.785797438899998</v>
      </c>
      <c r="CW52" t="s">
        <v>415</v>
      </c>
      <c r="CX52" t="s">
        <v>889</v>
      </c>
      <c r="CY52" t="s">
        <v>891</v>
      </c>
      <c r="CZ52">
        <v>1352</v>
      </c>
      <c r="DA52">
        <v>136</v>
      </c>
      <c r="DB52">
        <v>63.274408284000003</v>
      </c>
      <c r="DC52">
        <v>3844</v>
      </c>
      <c r="DD52">
        <v>153</v>
      </c>
      <c r="DE52">
        <v>116.43626430800001</v>
      </c>
      <c r="DF52">
        <v>117.4183006536</v>
      </c>
      <c r="DH52" t="s">
        <v>415</v>
      </c>
      <c r="DI52" t="s">
        <v>869</v>
      </c>
      <c r="DJ52" t="s">
        <v>871</v>
      </c>
      <c r="DK52">
        <v>781</v>
      </c>
      <c r="DL52">
        <v>53</v>
      </c>
      <c r="DM52">
        <v>62.106274007700002</v>
      </c>
      <c r="DN52">
        <v>1863</v>
      </c>
      <c r="DO52">
        <v>57</v>
      </c>
      <c r="DP52">
        <v>160.7638217928</v>
      </c>
      <c r="DQ52">
        <v>114.4561403509</v>
      </c>
    </row>
    <row r="53" spans="2:121" x14ac:dyDescent="0.2">
      <c r="B53" t="s">
        <v>109</v>
      </c>
      <c r="C53">
        <v>1357</v>
      </c>
      <c r="D53">
        <v>282</v>
      </c>
      <c r="F53" t="s">
        <v>53</v>
      </c>
      <c r="G53">
        <v>2517</v>
      </c>
      <c r="H53">
        <v>131.91418355179999</v>
      </c>
      <c r="I53">
        <v>1830</v>
      </c>
      <c r="J53">
        <v>283</v>
      </c>
      <c r="K53">
        <v>4521</v>
      </c>
      <c r="L53">
        <v>976</v>
      </c>
      <c r="M53">
        <v>624</v>
      </c>
      <c r="N53">
        <v>459</v>
      </c>
      <c r="O53">
        <v>336</v>
      </c>
      <c r="P53">
        <v>196</v>
      </c>
      <c r="Q53">
        <v>0</v>
      </c>
      <c r="R53">
        <v>14</v>
      </c>
      <c r="AH53" t="s">
        <v>387</v>
      </c>
      <c r="AI53">
        <v>2317</v>
      </c>
      <c r="AJ53">
        <v>252.82563659909999</v>
      </c>
      <c r="AK53">
        <v>2328</v>
      </c>
      <c r="AL53">
        <v>461</v>
      </c>
      <c r="AM53">
        <v>3577</v>
      </c>
      <c r="AN53">
        <v>1899</v>
      </c>
      <c r="AO53">
        <v>266</v>
      </c>
      <c r="AP53">
        <v>225</v>
      </c>
      <c r="AQ53">
        <v>1140</v>
      </c>
      <c r="AR53">
        <v>703</v>
      </c>
      <c r="AS53">
        <v>272</v>
      </c>
      <c r="AT53">
        <v>17</v>
      </c>
      <c r="AV53" t="s">
        <v>409</v>
      </c>
      <c r="AW53">
        <v>93</v>
      </c>
      <c r="AX53">
        <v>33.827956989199997</v>
      </c>
      <c r="AY53">
        <v>308</v>
      </c>
      <c r="AZ53">
        <v>13</v>
      </c>
      <c r="BA53">
        <v>153</v>
      </c>
      <c r="BB53">
        <v>4</v>
      </c>
      <c r="BC53">
        <v>1</v>
      </c>
      <c r="BD53">
        <v>1</v>
      </c>
      <c r="BE53">
        <v>5</v>
      </c>
      <c r="BF53">
        <v>1</v>
      </c>
      <c r="BG53">
        <v>373</v>
      </c>
      <c r="BH53">
        <v>41</v>
      </c>
      <c r="BJ53" t="s">
        <v>599</v>
      </c>
      <c r="BK53" t="s">
        <v>412</v>
      </c>
      <c r="BL53">
        <v>11125</v>
      </c>
      <c r="BM53">
        <v>2725</v>
      </c>
      <c r="BN53">
        <v>101.3377977528</v>
      </c>
      <c r="BO53">
        <v>37208</v>
      </c>
      <c r="BP53">
        <v>1762</v>
      </c>
      <c r="BQ53">
        <v>221.2269941948</v>
      </c>
      <c r="BR53">
        <v>180.4551645857</v>
      </c>
      <c r="BS53">
        <v>7787</v>
      </c>
      <c r="BT53">
        <v>1037</v>
      </c>
      <c r="BU53">
        <v>75.114293052500003</v>
      </c>
      <c r="BV53">
        <v>21895</v>
      </c>
      <c r="BW53">
        <v>985</v>
      </c>
      <c r="BX53">
        <v>226.9201187486</v>
      </c>
      <c r="BY53">
        <v>175.23756345180001</v>
      </c>
      <c r="CA53" t="s">
        <v>436</v>
      </c>
      <c r="CB53" t="s">
        <v>898</v>
      </c>
      <c r="CC53" t="s">
        <v>1026</v>
      </c>
      <c r="CD53">
        <v>2047</v>
      </c>
      <c r="CE53">
        <v>382</v>
      </c>
      <c r="CF53">
        <v>87.638006839300004</v>
      </c>
      <c r="CG53">
        <v>7846</v>
      </c>
      <c r="CH53">
        <v>349</v>
      </c>
      <c r="CI53">
        <v>165.27058373689999</v>
      </c>
      <c r="CJ53">
        <v>161.51862464179999</v>
      </c>
      <c r="CL53" t="s">
        <v>436</v>
      </c>
      <c r="CM53" t="s">
        <v>879</v>
      </c>
      <c r="CN53" t="s">
        <v>882</v>
      </c>
      <c r="CO53">
        <v>73</v>
      </c>
      <c r="CP53">
        <v>4</v>
      </c>
      <c r="CQ53">
        <v>50.246575342500002</v>
      </c>
      <c r="CR53">
        <v>384</v>
      </c>
      <c r="CS53">
        <v>26</v>
      </c>
      <c r="CT53">
        <v>66.8203125</v>
      </c>
      <c r="CU53">
        <v>58.076923076900002</v>
      </c>
      <c r="CW53" t="s">
        <v>436</v>
      </c>
      <c r="CX53" t="s">
        <v>889</v>
      </c>
      <c r="CY53" t="s">
        <v>892</v>
      </c>
      <c r="CZ53">
        <v>29</v>
      </c>
      <c r="DA53">
        <v>3</v>
      </c>
      <c r="DB53">
        <v>69</v>
      </c>
      <c r="DC53">
        <v>110</v>
      </c>
      <c r="DD53">
        <v>2</v>
      </c>
      <c r="DE53">
        <v>127.3909090909</v>
      </c>
      <c r="DF53">
        <v>136</v>
      </c>
      <c r="DH53" t="s">
        <v>436</v>
      </c>
      <c r="DI53" t="s">
        <v>869</v>
      </c>
      <c r="DJ53" t="s">
        <v>872</v>
      </c>
      <c r="DK53">
        <v>82</v>
      </c>
      <c r="DL53">
        <v>5</v>
      </c>
      <c r="DM53">
        <v>57.451219512199998</v>
      </c>
      <c r="DN53">
        <v>252</v>
      </c>
      <c r="DO53">
        <v>9</v>
      </c>
      <c r="DP53">
        <v>160.62301587300001</v>
      </c>
      <c r="DQ53">
        <v>137</v>
      </c>
    </row>
    <row r="54" spans="2:121" x14ac:dyDescent="0.2">
      <c r="F54" t="s">
        <v>79</v>
      </c>
      <c r="G54">
        <v>3896</v>
      </c>
      <c r="H54">
        <v>322.57777207390001</v>
      </c>
      <c r="I54">
        <v>10384</v>
      </c>
      <c r="J54">
        <v>2007</v>
      </c>
      <c r="K54">
        <v>11573</v>
      </c>
      <c r="L54">
        <v>3378</v>
      </c>
      <c r="M54">
        <v>471</v>
      </c>
      <c r="N54">
        <v>309</v>
      </c>
      <c r="O54">
        <v>1349</v>
      </c>
      <c r="P54">
        <v>702</v>
      </c>
      <c r="Q54">
        <v>14</v>
      </c>
      <c r="R54">
        <v>0</v>
      </c>
      <c r="AH54" t="s">
        <v>404</v>
      </c>
      <c r="AI54">
        <v>5021</v>
      </c>
      <c r="AJ54">
        <v>241.6524596694</v>
      </c>
      <c r="AK54">
        <v>3896</v>
      </c>
      <c r="AL54">
        <v>897</v>
      </c>
      <c r="AM54">
        <v>6842</v>
      </c>
      <c r="AN54">
        <v>3445</v>
      </c>
      <c r="AO54">
        <v>355</v>
      </c>
      <c r="AP54">
        <v>272</v>
      </c>
      <c r="AQ54">
        <v>736</v>
      </c>
      <c r="AR54">
        <v>380</v>
      </c>
      <c r="AS54">
        <v>7</v>
      </c>
      <c r="AT54">
        <v>8</v>
      </c>
      <c r="AV54" t="s">
        <v>432</v>
      </c>
      <c r="AW54">
        <v>6</v>
      </c>
      <c r="AX54">
        <v>34.5</v>
      </c>
      <c r="AY54">
        <v>12</v>
      </c>
      <c r="BA54">
        <v>13</v>
      </c>
      <c r="BB54">
        <v>2</v>
      </c>
      <c r="BC54">
        <v>0</v>
      </c>
      <c r="BE54">
        <v>0</v>
      </c>
      <c r="BG54">
        <v>21</v>
      </c>
      <c r="BH54">
        <v>5</v>
      </c>
      <c r="BJ54" t="s">
        <v>412</v>
      </c>
      <c r="BK54" t="s">
        <v>412</v>
      </c>
      <c r="BL54">
        <v>62002</v>
      </c>
      <c r="BM54">
        <v>14672</v>
      </c>
      <c r="BN54">
        <v>97.630850617700006</v>
      </c>
      <c r="BO54">
        <v>249033</v>
      </c>
      <c r="BP54">
        <v>11751</v>
      </c>
      <c r="BQ54">
        <v>173.6115534889</v>
      </c>
      <c r="BR54">
        <v>139.88477576380001</v>
      </c>
      <c r="BS54">
        <v>58119</v>
      </c>
      <c r="BT54">
        <v>12171</v>
      </c>
      <c r="BU54">
        <v>92.4539823466</v>
      </c>
      <c r="BV54">
        <v>229653</v>
      </c>
      <c r="BW54">
        <v>11042</v>
      </c>
      <c r="BX54">
        <v>171.09636712779999</v>
      </c>
      <c r="BY54">
        <v>136.1208114472</v>
      </c>
      <c r="CA54" t="s">
        <v>416</v>
      </c>
      <c r="CB54" t="s">
        <v>898</v>
      </c>
      <c r="CC54" t="s">
        <v>1027</v>
      </c>
      <c r="CD54">
        <v>1612</v>
      </c>
      <c r="CE54">
        <v>328</v>
      </c>
      <c r="CF54">
        <v>89.047146401999996</v>
      </c>
      <c r="CG54">
        <v>5218</v>
      </c>
      <c r="CH54">
        <v>293</v>
      </c>
      <c r="CI54">
        <v>148.59965504019999</v>
      </c>
      <c r="CJ54">
        <v>152.5460750853</v>
      </c>
      <c r="CL54" t="s">
        <v>416</v>
      </c>
      <c r="CM54" t="s">
        <v>879</v>
      </c>
      <c r="CN54" t="s">
        <v>883</v>
      </c>
      <c r="CO54">
        <v>93</v>
      </c>
      <c r="CP54">
        <v>9</v>
      </c>
      <c r="CQ54">
        <v>52.548387096799999</v>
      </c>
      <c r="CR54">
        <v>843</v>
      </c>
      <c r="CS54">
        <v>42</v>
      </c>
      <c r="CT54">
        <v>59.676156583599997</v>
      </c>
      <c r="CU54">
        <v>67.690476190499993</v>
      </c>
      <c r="CW54" t="s">
        <v>416</v>
      </c>
      <c r="CX54" t="s">
        <v>889</v>
      </c>
      <c r="CY54" t="s">
        <v>893</v>
      </c>
      <c r="CZ54">
        <v>41</v>
      </c>
      <c r="DA54">
        <v>1</v>
      </c>
      <c r="DB54">
        <v>49.731707317100003</v>
      </c>
      <c r="DC54">
        <v>121</v>
      </c>
      <c r="DD54">
        <v>4</v>
      </c>
      <c r="DE54">
        <v>128.79338842979999</v>
      </c>
      <c r="DF54">
        <v>125.5</v>
      </c>
      <c r="DH54" t="s">
        <v>416</v>
      </c>
      <c r="DI54" t="s">
        <v>869</v>
      </c>
      <c r="DJ54" t="s">
        <v>873</v>
      </c>
      <c r="DK54">
        <v>56</v>
      </c>
      <c r="DL54">
        <v>1</v>
      </c>
      <c r="DM54">
        <v>54.607142857100001</v>
      </c>
      <c r="DN54">
        <v>73</v>
      </c>
      <c r="DO54">
        <v>2</v>
      </c>
      <c r="DP54">
        <v>163.87671232880001</v>
      </c>
      <c r="DQ54">
        <v>151.5</v>
      </c>
    </row>
    <row r="55" spans="2:121" x14ac:dyDescent="0.2">
      <c r="F55" t="s">
        <v>75</v>
      </c>
      <c r="G55">
        <v>2211</v>
      </c>
      <c r="H55">
        <v>249.39258254180001</v>
      </c>
      <c r="I55">
        <v>2944</v>
      </c>
      <c r="J55">
        <v>780</v>
      </c>
      <c r="K55">
        <v>3648</v>
      </c>
      <c r="L55">
        <v>2573</v>
      </c>
      <c r="M55">
        <v>686</v>
      </c>
      <c r="N55">
        <v>618</v>
      </c>
      <c r="O55">
        <v>1272</v>
      </c>
      <c r="P55">
        <v>652</v>
      </c>
      <c r="Q55">
        <v>0</v>
      </c>
      <c r="R55">
        <v>6</v>
      </c>
      <c r="AH55" t="s">
        <v>429</v>
      </c>
      <c r="AI55">
        <v>640</v>
      </c>
      <c r="AJ55">
        <v>298.70781249999999</v>
      </c>
      <c r="AK55">
        <v>917</v>
      </c>
      <c r="AL55">
        <v>179</v>
      </c>
      <c r="AM55">
        <v>1043</v>
      </c>
      <c r="AN55">
        <v>490</v>
      </c>
      <c r="AO55">
        <v>173</v>
      </c>
      <c r="AP55">
        <v>91</v>
      </c>
      <c r="AQ55">
        <v>181</v>
      </c>
      <c r="AR55">
        <v>74</v>
      </c>
      <c r="AS55">
        <v>4</v>
      </c>
      <c r="AT55">
        <v>5</v>
      </c>
      <c r="AV55" t="s">
        <v>387</v>
      </c>
      <c r="AW55">
        <v>239</v>
      </c>
      <c r="AX55">
        <v>105.64016736400001</v>
      </c>
      <c r="AY55">
        <v>216</v>
      </c>
      <c r="AZ55">
        <v>46</v>
      </c>
      <c r="BA55">
        <v>340</v>
      </c>
      <c r="BB55">
        <v>109</v>
      </c>
      <c r="BC55">
        <v>8</v>
      </c>
      <c r="BD55">
        <v>7</v>
      </c>
      <c r="BE55">
        <v>44</v>
      </c>
      <c r="BF55">
        <v>12</v>
      </c>
      <c r="BG55">
        <v>36</v>
      </c>
      <c r="BH55">
        <v>71</v>
      </c>
      <c r="BJ55" t="s">
        <v>603</v>
      </c>
      <c r="BK55" t="s">
        <v>412</v>
      </c>
      <c r="BL55">
        <v>5135</v>
      </c>
      <c r="BM55">
        <v>1043</v>
      </c>
      <c r="BN55">
        <v>92.806815968799995</v>
      </c>
      <c r="BO55">
        <v>19520</v>
      </c>
      <c r="BP55">
        <v>867</v>
      </c>
      <c r="BQ55">
        <v>171.23611680330001</v>
      </c>
      <c r="BR55">
        <v>157.31141868509999</v>
      </c>
      <c r="BS55">
        <v>7050</v>
      </c>
      <c r="BT55">
        <v>1647</v>
      </c>
      <c r="BU55">
        <v>105.1344680851</v>
      </c>
      <c r="BV55">
        <v>28062</v>
      </c>
      <c r="BW55">
        <v>1319</v>
      </c>
      <c r="BX55">
        <v>186.30828166200001</v>
      </c>
      <c r="BY55">
        <v>167.27445034120001</v>
      </c>
      <c r="CA55" t="s">
        <v>421</v>
      </c>
      <c r="CB55" t="s">
        <v>898</v>
      </c>
      <c r="CC55" t="s">
        <v>1028</v>
      </c>
      <c r="CD55">
        <v>3896</v>
      </c>
      <c r="CE55">
        <v>1167</v>
      </c>
      <c r="CF55">
        <v>113.296201232</v>
      </c>
      <c r="CG55">
        <v>12828</v>
      </c>
      <c r="CH55">
        <v>610</v>
      </c>
      <c r="CI55">
        <v>222.96694730280001</v>
      </c>
      <c r="CJ55">
        <v>177.27377049180001</v>
      </c>
      <c r="CL55" t="s">
        <v>421</v>
      </c>
      <c r="CM55" t="s">
        <v>879</v>
      </c>
      <c r="CN55" t="s">
        <v>884</v>
      </c>
      <c r="CO55">
        <v>230</v>
      </c>
      <c r="CP55">
        <v>13</v>
      </c>
      <c r="CQ55">
        <v>51.939130434799999</v>
      </c>
      <c r="CR55">
        <v>1652</v>
      </c>
      <c r="CS55">
        <v>93</v>
      </c>
      <c r="CT55">
        <v>70.277845036299993</v>
      </c>
      <c r="CU55">
        <v>61.946236559100001</v>
      </c>
      <c r="CW55" t="s">
        <v>421</v>
      </c>
      <c r="CX55" t="s">
        <v>889</v>
      </c>
      <c r="CY55" t="s">
        <v>894</v>
      </c>
      <c r="CZ55">
        <v>96</v>
      </c>
      <c r="DA55">
        <v>12</v>
      </c>
      <c r="DB55">
        <v>69.572916666699996</v>
      </c>
      <c r="DC55">
        <v>266</v>
      </c>
      <c r="DD55">
        <v>4</v>
      </c>
      <c r="DE55">
        <v>123.16541353380001</v>
      </c>
      <c r="DF55">
        <v>148.75</v>
      </c>
      <c r="DH55" t="s">
        <v>421</v>
      </c>
      <c r="DI55" t="s">
        <v>869</v>
      </c>
      <c r="DJ55" t="s">
        <v>874</v>
      </c>
      <c r="DK55">
        <v>80</v>
      </c>
      <c r="DL55">
        <v>8</v>
      </c>
      <c r="DM55">
        <v>67.1875</v>
      </c>
      <c r="DN55">
        <v>296</v>
      </c>
      <c r="DO55">
        <v>8</v>
      </c>
      <c r="DP55">
        <v>163.67229729729999</v>
      </c>
      <c r="DQ55">
        <v>111.375</v>
      </c>
    </row>
    <row r="56" spans="2:121" x14ac:dyDescent="0.2">
      <c r="F56" t="s">
        <v>65</v>
      </c>
      <c r="G56">
        <v>11308</v>
      </c>
      <c r="H56">
        <v>378.70879023700002</v>
      </c>
      <c r="I56">
        <v>11108</v>
      </c>
      <c r="J56">
        <v>2705</v>
      </c>
      <c r="K56">
        <v>14775</v>
      </c>
      <c r="L56">
        <v>10048</v>
      </c>
      <c r="M56">
        <v>5182</v>
      </c>
      <c r="N56">
        <v>3835</v>
      </c>
      <c r="O56">
        <v>3484</v>
      </c>
      <c r="P56">
        <v>2558</v>
      </c>
      <c r="Q56">
        <v>0</v>
      </c>
      <c r="R56">
        <v>46</v>
      </c>
      <c r="BJ56" t="s">
        <v>611</v>
      </c>
      <c r="BK56" t="s">
        <v>412</v>
      </c>
      <c r="BL56">
        <v>5105</v>
      </c>
      <c r="BM56">
        <v>1750</v>
      </c>
      <c r="BN56">
        <v>113.68481880509999</v>
      </c>
      <c r="BO56">
        <v>17796</v>
      </c>
      <c r="BP56">
        <v>866</v>
      </c>
      <c r="BQ56">
        <v>185.7239829175</v>
      </c>
      <c r="BR56">
        <v>151.66050808310001</v>
      </c>
      <c r="BS56">
        <v>4710</v>
      </c>
      <c r="BT56">
        <v>1438</v>
      </c>
      <c r="BU56">
        <v>111.08492569000001</v>
      </c>
      <c r="BV56">
        <v>17457</v>
      </c>
      <c r="BW56">
        <v>774</v>
      </c>
      <c r="BX56">
        <v>187.67222317689999</v>
      </c>
      <c r="BY56">
        <v>155.29844961239999</v>
      </c>
      <c r="CA56" t="s">
        <v>413</v>
      </c>
      <c r="CB56" t="s">
        <v>898</v>
      </c>
      <c r="CC56" t="s">
        <v>1029</v>
      </c>
      <c r="CD56">
        <v>2930</v>
      </c>
      <c r="CE56">
        <v>747</v>
      </c>
      <c r="CF56">
        <v>102.56416382250001</v>
      </c>
      <c r="CG56">
        <v>9314</v>
      </c>
      <c r="CH56">
        <v>348</v>
      </c>
      <c r="CI56">
        <v>172.8230620571</v>
      </c>
      <c r="CJ56">
        <v>187.18965517239999</v>
      </c>
      <c r="CL56" t="s">
        <v>413</v>
      </c>
      <c r="CM56" t="s">
        <v>879</v>
      </c>
      <c r="CN56" t="s">
        <v>885</v>
      </c>
      <c r="CO56">
        <v>169</v>
      </c>
      <c r="CP56">
        <v>18</v>
      </c>
      <c r="CQ56">
        <v>56.668639053299998</v>
      </c>
      <c r="CR56">
        <v>1340</v>
      </c>
      <c r="CS56">
        <v>88</v>
      </c>
      <c r="CT56">
        <v>60.720895522399999</v>
      </c>
      <c r="CU56">
        <v>51.375</v>
      </c>
      <c r="CW56" t="s">
        <v>413</v>
      </c>
      <c r="CX56" t="s">
        <v>889</v>
      </c>
      <c r="CY56" t="s">
        <v>895</v>
      </c>
      <c r="CZ56">
        <v>64</v>
      </c>
      <c r="DA56">
        <v>16</v>
      </c>
      <c r="DB56">
        <v>95.515625</v>
      </c>
      <c r="DC56">
        <v>151</v>
      </c>
      <c r="DD56">
        <v>8</v>
      </c>
      <c r="DE56">
        <v>126.3774834437</v>
      </c>
      <c r="DF56">
        <v>105.75</v>
      </c>
      <c r="DH56" t="s">
        <v>413</v>
      </c>
      <c r="DI56" t="s">
        <v>869</v>
      </c>
      <c r="DJ56" t="s">
        <v>875</v>
      </c>
      <c r="DK56">
        <v>58</v>
      </c>
      <c r="DL56">
        <v>8</v>
      </c>
      <c r="DM56">
        <v>80.672413793100006</v>
      </c>
      <c r="DN56">
        <v>157</v>
      </c>
      <c r="DO56">
        <v>6</v>
      </c>
      <c r="DP56">
        <v>161.4012738854</v>
      </c>
      <c r="DQ56">
        <v>113.5</v>
      </c>
    </row>
    <row r="57" spans="2:121" x14ac:dyDescent="0.2">
      <c r="F57" t="s">
        <v>67</v>
      </c>
      <c r="G57">
        <v>5213</v>
      </c>
      <c r="H57">
        <v>268.86456934590001</v>
      </c>
      <c r="I57">
        <v>4974</v>
      </c>
      <c r="J57">
        <v>1016</v>
      </c>
      <c r="K57">
        <v>6173</v>
      </c>
      <c r="L57">
        <v>3440</v>
      </c>
      <c r="M57">
        <v>279</v>
      </c>
      <c r="N57">
        <v>201</v>
      </c>
      <c r="O57">
        <v>2688</v>
      </c>
      <c r="P57">
        <v>2119</v>
      </c>
      <c r="Q57">
        <v>2</v>
      </c>
      <c r="R57">
        <v>70</v>
      </c>
      <c r="BJ57" t="s">
        <v>619</v>
      </c>
      <c r="BK57" t="s">
        <v>412</v>
      </c>
      <c r="BL57">
        <v>3708</v>
      </c>
      <c r="BM57">
        <v>1116</v>
      </c>
      <c r="BN57">
        <v>112.3802588997</v>
      </c>
      <c r="BO57">
        <v>12102</v>
      </c>
      <c r="BP57">
        <v>578</v>
      </c>
      <c r="BQ57">
        <v>232.87134357959999</v>
      </c>
      <c r="BR57">
        <v>182.4117647059</v>
      </c>
      <c r="BS57">
        <v>2806</v>
      </c>
      <c r="BT57">
        <v>476</v>
      </c>
      <c r="BU57">
        <v>86.272986457599998</v>
      </c>
      <c r="BV57">
        <v>6067</v>
      </c>
      <c r="BW57">
        <v>321</v>
      </c>
      <c r="BX57">
        <v>256.73380583480002</v>
      </c>
      <c r="BY57">
        <v>171.02492211840001</v>
      </c>
      <c r="CA57" t="s">
        <v>417</v>
      </c>
      <c r="CB57" t="s">
        <v>898</v>
      </c>
      <c r="CC57" t="s">
        <v>1030</v>
      </c>
      <c r="CD57">
        <v>5132</v>
      </c>
      <c r="CE57">
        <v>1731</v>
      </c>
      <c r="CF57">
        <v>113.5438425565</v>
      </c>
      <c r="CG57">
        <v>18327</v>
      </c>
      <c r="CH57">
        <v>859</v>
      </c>
      <c r="CI57">
        <v>184.5454247831</v>
      </c>
      <c r="CJ57">
        <v>150.13504074510001</v>
      </c>
      <c r="CL57" t="s">
        <v>417</v>
      </c>
      <c r="CM57" t="s">
        <v>879</v>
      </c>
      <c r="CN57" t="s">
        <v>886</v>
      </c>
      <c r="CO57">
        <v>344</v>
      </c>
      <c r="CP57">
        <v>22</v>
      </c>
      <c r="CQ57">
        <v>56.5406976744</v>
      </c>
      <c r="CR57">
        <v>2301</v>
      </c>
      <c r="CS57">
        <v>112</v>
      </c>
      <c r="CT57">
        <v>65.152976966500006</v>
      </c>
      <c r="CU57">
        <v>63.633928571399998</v>
      </c>
      <c r="CW57" t="s">
        <v>417</v>
      </c>
      <c r="CX57" t="s">
        <v>889</v>
      </c>
      <c r="CY57" t="s">
        <v>896</v>
      </c>
      <c r="CZ57">
        <v>96</v>
      </c>
      <c r="DA57">
        <v>7</v>
      </c>
      <c r="DB57">
        <v>64.229166666699996</v>
      </c>
      <c r="DC57">
        <v>256</v>
      </c>
      <c r="DD57">
        <v>17</v>
      </c>
      <c r="DE57">
        <v>113.7734375</v>
      </c>
      <c r="DF57">
        <v>99.470588235299999</v>
      </c>
      <c r="DH57" t="s">
        <v>417</v>
      </c>
      <c r="DI57" t="s">
        <v>869</v>
      </c>
      <c r="DJ57" t="s">
        <v>876</v>
      </c>
      <c r="DK57">
        <v>39</v>
      </c>
      <c r="DL57">
        <v>5</v>
      </c>
      <c r="DM57">
        <v>64.512820512800005</v>
      </c>
      <c r="DN57">
        <v>155</v>
      </c>
      <c r="DO57">
        <v>6</v>
      </c>
      <c r="DP57">
        <v>157.2967741935</v>
      </c>
      <c r="DQ57">
        <v>124.8333333333</v>
      </c>
    </row>
    <row r="58" spans="2:121" x14ac:dyDescent="0.2">
      <c r="F58" t="s">
        <v>57</v>
      </c>
      <c r="G58">
        <v>1714</v>
      </c>
      <c r="H58">
        <v>378.83605600930002</v>
      </c>
      <c r="I58">
        <v>1133</v>
      </c>
      <c r="J58">
        <v>236</v>
      </c>
      <c r="K58">
        <v>2131</v>
      </c>
      <c r="L58">
        <v>1439</v>
      </c>
      <c r="M58">
        <v>527</v>
      </c>
      <c r="N58">
        <v>501</v>
      </c>
      <c r="O58">
        <v>89</v>
      </c>
      <c r="P58">
        <v>67</v>
      </c>
      <c r="Q58">
        <v>0</v>
      </c>
      <c r="R58">
        <v>1</v>
      </c>
      <c r="BJ58" t="s">
        <v>632</v>
      </c>
      <c r="BK58" t="s">
        <v>412</v>
      </c>
      <c r="BL58">
        <v>10040</v>
      </c>
      <c r="BM58">
        <v>1747</v>
      </c>
      <c r="BN58">
        <v>84.4364541833</v>
      </c>
      <c r="BO58">
        <v>31733</v>
      </c>
      <c r="BP58">
        <v>1392</v>
      </c>
      <c r="BQ58">
        <v>154.77833800779999</v>
      </c>
      <c r="BR58">
        <v>135.1127873563</v>
      </c>
      <c r="BS58">
        <v>10953</v>
      </c>
      <c r="BT58">
        <v>2528</v>
      </c>
      <c r="BU58">
        <v>97.1924586871</v>
      </c>
      <c r="BV58">
        <v>39066</v>
      </c>
      <c r="BW58">
        <v>1709</v>
      </c>
      <c r="BX58">
        <v>171.27033737779999</v>
      </c>
      <c r="BY58">
        <v>149.27501462839999</v>
      </c>
      <c r="CA58" t="s">
        <v>83</v>
      </c>
      <c r="CB58" t="s">
        <v>898</v>
      </c>
      <c r="CC58" t="s">
        <v>1031</v>
      </c>
      <c r="CD58">
        <v>6706</v>
      </c>
      <c r="CE58">
        <v>1578</v>
      </c>
      <c r="CF58">
        <v>100.2660304205</v>
      </c>
      <c r="CG58">
        <v>31576</v>
      </c>
      <c r="CH58">
        <v>1445</v>
      </c>
      <c r="CI58">
        <v>216.28619837849999</v>
      </c>
      <c r="CJ58">
        <v>143.00830449829999</v>
      </c>
      <c r="CL58" t="s">
        <v>83</v>
      </c>
      <c r="CM58" t="s">
        <v>879</v>
      </c>
      <c r="CN58" t="s">
        <v>887</v>
      </c>
      <c r="CO58">
        <v>537</v>
      </c>
      <c r="CP58">
        <v>38</v>
      </c>
      <c r="CQ58">
        <v>55.441340782099999</v>
      </c>
      <c r="CR58">
        <v>3653</v>
      </c>
      <c r="CS58">
        <v>233</v>
      </c>
      <c r="CT58">
        <v>68.250752805900007</v>
      </c>
      <c r="CU58">
        <v>60.738197424900001</v>
      </c>
      <c r="CW58" t="s">
        <v>83</v>
      </c>
      <c r="CX58" t="s">
        <v>889</v>
      </c>
      <c r="CY58" t="s">
        <v>897</v>
      </c>
      <c r="CZ58">
        <v>245</v>
      </c>
      <c r="DA58">
        <v>18</v>
      </c>
      <c r="DB58">
        <v>57.628571428599997</v>
      </c>
      <c r="DC58">
        <v>891</v>
      </c>
      <c r="DD58">
        <v>33</v>
      </c>
      <c r="DE58">
        <v>122.8148148148</v>
      </c>
      <c r="DF58">
        <v>114.84848484849999</v>
      </c>
      <c r="DH58" t="s">
        <v>83</v>
      </c>
      <c r="DI58" t="s">
        <v>869</v>
      </c>
      <c r="DJ58" t="s">
        <v>877</v>
      </c>
      <c r="DK58">
        <v>465</v>
      </c>
      <c r="DL58">
        <v>37</v>
      </c>
      <c r="DM58">
        <v>64.963440860199995</v>
      </c>
      <c r="DN58">
        <v>1289</v>
      </c>
      <c r="DO58">
        <v>52</v>
      </c>
      <c r="DP58">
        <v>159.3320403413</v>
      </c>
      <c r="DQ58">
        <v>119.5384615385</v>
      </c>
    </row>
    <row r="59" spans="2:121" x14ac:dyDescent="0.2">
      <c r="F59" t="s">
        <v>49</v>
      </c>
      <c r="G59">
        <v>13204</v>
      </c>
      <c r="H59">
        <v>343.57694637989999</v>
      </c>
      <c r="I59">
        <v>17189</v>
      </c>
      <c r="J59">
        <v>4416</v>
      </c>
      <c r="K59">
        <v>17380</v>
      </c>
      <c r="L59">
        <v>11643</v>
      </c>
      <c r="M59">
        <v>1803</v>
      </c>
      <c r="N59">
        <v>1474</v>
      </c>
      <c r="O59">
        <v>3490</v>
      </c>
      <c r="P59">
        <v>2602</v>
      </c>
      <c r="Q59">
        <v>0</v>
      </c>
      <c r="R59">
        <v>241</v>
      </c>
      <c r="BJ59" t="s">
        <v>605</v>
      </c>
      <c r="BK59" t="s">
        <v>412</v>
      </c>
      <c r="BL59">
        <v>8217</v>
      </c>
      <c r="BM59">
        <v>1577</v>
      </c>
      <c r="BN59">
        <v>86.616405013999994</v>
      </c>
      <c r="BO59">
        <v>68024</v>
      </c>
      <c r="BP59">
        <v>3082</v>
      </c>
      <c r="BQ59">
        <v>124.6481535928</v>
      </c>
      <c r="BR59">
        <v>83.141142115500003</v>
      </c>
      <c r="BS59">
        <v>7926</v>
      </c>
      <c r="BT59">
        <v>1380</v>
      </c>
      <c r="BU59">
        <v>79.501766338600007</v>
      </c>
      <c r="BV59">
        <v>62316</v>
      </c>
      <c r="BW59">
        <v>3196</v>
      </c>
      <c r="BX59">
        <v>110.2584087554</v>
      </c>
      <c r="BY59">
        <v>80.892052565699998</v>
      </c>
      <c r="CA59" t="s">
        <v>412</v>
      </c>
      <c r="CB59" t="s">
        <v>898</v>
      </c>
      <c r="CD59">
        <v>59818</v>
      </c>
      <c r="CE59">
        <v>14514</v>
      </c>
      <c r="CF59">
        <v>100.23324083049999</v>
      </c>
      <c r="CG59">
        <v>216811</v>
      </c>
      <c r="CH59">
        <v>10242</v>
      </c>
      <c r="CI59">
        <v>190.42361319310001</v>
      </c>
      <c r="CJ59">
        <v>154.8482718219</v>
      </c>
      <c r="CL59" t="s">
        <v>412</v>
      </c>
      <c r="CM59" t="s">
        <v>879</v>
      </c>
      <c r="CO59">
        <v>4322</v>
      </c>
      <c r="CP59">
        <v>258</v>
      </c>
      <c r="CQ59">
        <v>51.561545580699999</v>
      </c>
      <c r="CR59">
        <v>28759</v>
      </c>
      <c r="CS59">
        <v>1688</v>
      </c>
      <c r="CT59">
        <v>64.777008936300007</v>
      </c>
      <c r="CU59">
        <v>59.341232227500001</v>
      </c>
      <c r="CW59" t="s">
        <v>412</v>
      </c>
      <c r="CX59" t="s">
        <v>889</v>
      </c>
      <c r="CZ59">
        <v>2138</v>
      </c>
      <c r="DA59">
        <v>220</v>
      </c>
      <c r="DB59">
        <v>64.985032740899996</v>
      </c>
      <c r="DC59">
        <v>6265</v>
      </c>
      <c r="DD59">
        <v>253</v>
      </c>
      <c r="DE59">
        <v>120.27693535509999</v>
      </c>
      <c r="DF59">
        <v>117.2687747036</v>
      </c>
      <c r="DH59" t="s">
        <v>412</v>
      </c>
      <c r="DI59" t="s">
        <v>869</v>
      </c>
      <c r="DK59">
        <v>1730</v>
      </c>
      <c r="DL59">
        <v>136</v>
      </c>
      <c r="DM59">
        <v>64.113294797699993</v>
      </c>
      <c r="DN59">
        <v>4651</v>
      </c>
      <c r="DO59">
        <v>163</v>
      </c>
      <c r="DP59">
        <v>161.6510427865</v>
      </c>
      <c r="DQ59">
        <v>121.75460122699999</v>
      </c>
    </row>
    <row r="60" spans="2:121" x14ac:dyDescent="0.2">
      <c r="F60" t="s">
        <v>141</v>
      </c>
      <c r="G60">
        <v>448</v>
      </c>
      <c r="H60">
        <v>340.33705357140002</v>
      </c>
      <c r="I60">
        <v>383</v>
      </c>
      <c r="J60">
        <v>106</v>
      </c>
      <c r="K60">
        <v>609</v>
      </c>
      <c r="L60">
        <v>393</v>
      </c>
      <c r="M60">
        <v>72</v>
      </c>
      <c r="N60">
        <v>61</v>
      </c>
      <c r="O60">
        <v>97</v>
      </c>
      <c r="P60">
        <v>76</v>
      </c>
      <c r="Q60">
        <v>0</v>
      </c>
      <c r="R60">
        <v>1</v>
      </c>
      <c r="BJ60" t="s">
        <v>547</v>
      </c>
      <c r="BK60" t="s">
        <v>388</v>
      </c>
      <c r="BL60">
        <v>17039</v>
      </c>
      <c r="BM60">
        <v>3786</v>
      </c>
      <c r="BN60">
        <v>93.966429954800006</v>
      </c>
      <c r="BO60">
        <v>53371</v>
      </c>
      <c r="BP60">
        <v>2329</v>
      </c>
      <c r="BQ60">
        <v>194.818215885</v>
      </c>
      <c r="BR60">
        <v>176.58522971229999</v>
      </c>
      <c r="BS60">
        <v>16165</v>
      </c>
      <c r="BT60">
        <v>2947</v>
      </c>
      <c r="BU60">
        <v>85.989112279599993</v>
      </c>
      <c r="BV60">
        <v>45165</v>
      </c>
      <c r="BW60">
        <v>2019</v>
      </c>
      <c r="BX60">
        <v>188.85054799069999</v>
      </c>
      <c r="BY60">
        <v>168.17335314510001</v>
      </c>
      <c r="CA60" t="s">
        <v>396</v>
      </c>
      <c r="CB60" t="s">
        <v>923</v>
      </c>
      <c r="CC60" t="s">
        <v>1032</v>
      </c>
      <c r="CD60">
        <v>7760</v>
      </c>
      <c r="CE60">
        <v>1213</v>
      </c>
      <c r="CF60">
        <v>87.582216494799994</v>
      </c>
      <c r="CG60">
        <v>26360</v>
      </c>
      <c r="CH60">
        <v>940</v>
      </c>
      <c r="CI60">
        <v>194.828414264</v>
      </c>
      <c r="CJ60">
        <v>204.55957446810001</v>
      </c>
      <c r="CL60" t="s">
        <v>396</v>
      </c>
      <c r="CM60" t="s">
        <v>908</v>
      </c>
      <c r="CN60" t="s">
        <v>907</v>
      </c>
      <c r="CO60">
        <v>585</v>
      </c>
      <c r="CP60">
        <v>49</v>
      </c>
      <c r="CQ60">
        <v>54.2871794872</v>
      </c>
      <c r="CR60">
        <v>4565</v>
      </c>
      <c r="CS60">
        <v>217</v>
      </c>
      <c r="CT60">
        <v>50.504271631999998</v>
      </c>
      <c r="CU60">
        <v>66.511520737300003</v>
      </c>
      <c r="CW60" t="s">
        <v>396</v>
      </c>
      <c r="CX60" t="s">
        <v>916</v>
      </c>
      <c r="CY60" t="s">
        <v>915</v>
      </c>
      <c r="CZ60">
        <v>164</v>
      </c>
      <c r="DA60">
        <v>20</v>
      </c>
      <c r="DB60">
        <v>65.134146341499999</v>
      </c>
      <c r="DC60">
        <v>392</v>
      </c>
      <c r="DD60">
        <v>22</v>
      </c>
      <c r="DE60">
        <v>140.3443877551</v>
      </c>
      <c r="DF60">
        <v>132.0909090909</v>
      </c>
      <c r="DH60" t="s">
        <v>396</v>
      </c>
      <c r="DI60" t="s">
        <v>900</v>
      </c>
      <c r="DJ60" t="s">
        <v>899</v>
      </c>
      <c r="DK60">
        <v>182</v>
      </c>
      <c r="DL60">
        <v>21</v>
      </c>
      <c r="DM60">
        <v>75.450549450500006</v>
      </c>
      <c r="DN60">
        <v>380</v>
      </c>
      <c r="DO60">
        <v>7</v>
      </c>
      <c r="DP60">
        <v>144.37631578950001</v>
      </c>
      <c r="DQ60">
        <v>123.2857142857</v>
      </c>
    </row>
    <row r="61" spans="2:121" x14ac:dyDescent="0.2">
      <c r="F61" t="s">
        <v>59</v>
      </c>
      <c r="G61">
        <v>7160</v>
      </c>
      <c r="H61">
        <v>242.1783519553</v>
      </c>
      <c r="I61">
        <v>5859</v>
      </c>
      <c r="J61">
        <v>1155</v>
      </c>
      <c r="K61">
        <v>9394</v>
      </c>
      <c r="L61">
        <v>4387</v>
      </c>
      <c r="M61">
        <v>367</v>
      </c>
      <c r="N61">
        <v>236</v>
      </c>
      <c r="O61">
        <v>446</v>
      </c>
      <c r="P61">
        <v>188</v>
      </c>
      <c r="Q61">
        <v>107</v>
      </c>
      <c r="R61">
        <v>0</v>
      </c>
      <c r="BJ61" t="s">
        <v>555</v>
      </c>
      <c r="BK61" t="s">
        <v>388</v>
      </c>
      <c r="BL61">
        <v>8788</v>
      </c>
      <c r="BM61">
        <v>2157</v>
      </c>
      <c r="BN61">
        <v>99.840805644100001</v>
      </c>
      <c r="BO61">
        <v>31509</v>
      </c>
      <c r="BP61">
        <v>1280</v>
      </c>
      <c r="BQ61">
        <v>191.9150084103</v>
      </c>
      <c r="BR61">
        <v>158.18828124999999</v>
      </c>
      <c r="BS61">
        <v>8707</v>
      </c>
      <c r="BT61">
        <v>2317</v>
      </c>
      <c r="BU61">
        <v>102.5012059263</v>
      </c>
      <c r="BV61">
        <v>30085</v>
      </c>
      <c r="BW61">
        <v>1328</v>
      </c>
      <c r="BX61">
        <v>188.96134286189999</v>
      </c>
      <c r="BY61">
        <v>165.9457831325</v>
      </c>
      <c r="CA61" t="s">
        <v>433</v>
      </c>
      <c r="CB61" t="s">
        <v>923</v>
      </c>
      <c r="CC61" t="s">
        <v>1033</v>
      </c>
      <c r="CD61">
        <v>23079</v>
      </c>
      <c r="CE61">
        <v>6758</v>
      </c>
      <c r="CF61">
        <v>114.5102907405</v>
      </c>
      <c r="CG61">
        <v>84516</v>
      </c>
      <c r="CH61">
        <v>4130</v>
      </c>
      <c r="CI61">
        <v>202.5266576743</v>
      </c>
      <c r="CJ61">
        <v>169.62276029060001</v>
      </c>
      <c r="CL61" t="s">
        <v>433</v>
      </c>
      <c r="CM61" t="s">
        <v>908</v>
      </c>
      <c r="CN61" t="s">
        <v>909</v>
      </c>
      <c r="CO61">
        <v>1403</v>
      </c>
      <c r="CP61">
        <v>125</v>
      </c>
      <c r="CQ61">
        <v>62.5951532431</v>
      </c>
      <c r="CR61">
        <v>11186</v>
      </c>
      <c r="CS61">
        <v>556</v>
      </c>
      <c r="CT61">
        <v>74.122027534400004</v>
      </c>
      <c r="CU61">
        <v>80.030575539599994</v>
      </c>
      <c r="CW61" t="s">
        <v>433</v>
      </c>
      <c r="CX61" t="s">
        <v>916</v>
      </c>
      <c r="CY61" t="s">
        <v>917</v>
      </c>
      <c r="CZ61">
        <v>728</v>
      </c>
      <c r="DA61">
        <v>99</v>
      </c>
      <c r="DB61">
        <v>74.811813186799995</v>
      </c>
      <c r="DC61">
        <v>1979</v>
      </c>
      <c r="DD61">
        <v>90</v>
      </c>
      <c r="DE61">
        <v>142.6326427489</v>
      </c>
      <c r="DF61">
        <v>149.62222222220001</v>
      </c>
      <c r="DH61" t="s">
        <v>433</v>
      </c>
      <c r="DI61" t="s">
        <v>900</v>
      </c>
      <c r="DJ61" t="s">
        <v>901</v>
      </c>
      <c r="DK61">
        <v>960</v>
      </c>
      <c r="DL61">
        <v>120</v>
      </c>
      <c r="DM61">
        <v>74.560416666699993</v>
      </c>
      <c r="DN61">
        <v>2064</v>
      </c>
      <c r="DO61">
        <v>76</v>
      </c>
      <c r="DP61">
        <v>141.44476744190001</v>
      </c>
      <c r="DQ61">
        <v>144.93421052630001</v>
      </c>
    </row>
    <row r="62" spans="2:121" x14ac:dyDescent="0.2">
      <c r="BJ62" t="s">
        <v>571</v>
      </c>
      <c r="BK62" t="s">
        <v>388</v>
      </c>
      <c r="BL62">
        <v>6572</v>
      </c>
      <c r="BM62">
        <v>2469</v>
      </c>
      <c r="BN62">
        <v>150.03377967130001</v>
      </c>
      <c r="BO62">
        <v>20124</v>
      </c>
      <c r="BP62">
        <v>800</v>
      </c>
      <c r="BQ62">
        <v>224.34744583579999</v>
      </c>
      <c r="BR62">
        <v>231.27</v>
      </c>
      <c r="BS62">
        <v>7149</v>
      </c>
      <c r="BT62">
        <v>2780</v>
      </c>
      <c r="BU62">
        <v>148.8671142817</v>
      </c>
      <c r="BV62">
        <v>20906</v>
      </c>
      <c r="BW62">
        <v>850</v>
      </c>
      <c r="BX62">
        <v>224.54099301639999</v>
      </c>
      <c r="BY62">
        <v>223.93411764710001</v>
      </c>
      <c r="CA62" t="s">
        <v>389</v>
      </c>
      <c r="CB62" t="s">
        <v>923</v>
      </c>
      <c r="CC62" t="s">
        <v>1034</v>
      </c>
      <c r="CD62">
        <v>17836</v>
      </c>
      <c r="CE62">
        <v>3906</v>
      </c>
      <c r="CF62">
        <v>94.422684458399999</v>
      </c>
      <c r="CG62">
        <v>59332</v>
      </c>
      <c r="CH62">
        <v>2633</v>
      </c>
      <c r="CI62">
        <v>186.55575406189999</v>
      </c>
      <c r="CJ62">
        <v>165.47018609950001</v>
      </c>
      <c r="CL62" t="s">
        <v>389</v>
      </c>
      <c r="CM62" t="s">
        <v>908</v>
      </c>
      <c r="CN62" t="s">
        <v>910</v>
      </c>
      <c r="CO62">
        <v>697</v>
      </c>
      <c r="CP62">
        <v>85</v>
      </c>
      <c r="CQ62">
        <v>73.903873744600006</v>
      </c>
      <c r="CR62">
        <v>5345</v>
      </c>
      <c r="CS62">
        <v>293</v>
      </c>
      <c r="CT62">
        <v>75.313376987799998</v>
      </c>
      <c r="CU62">
        <v>77.187713310600003</v>
      </c>
      <c r="CW62" t="s">
        <v>389</v>
      </c>
      <c r="CX62" t="s">
        <v>916</v>
      </c>
      <c r="CY62" t="s">
        <v>918</v>
      </c>
      <c r="CZ62">
        <v>436</v>
      </c>
      <c r="DA62">
        <v>72</v>
      </c>
      <c r="DB62">
        <v>79.013761467899997</v>
      </c>
      <c r="DC62">
        <v>1074</v>
      </c>
      <c r="DD62">
        <v>40</v>
      </c>
      <c r="DE62">
        <v>151.52420856609999</v>
      </c>
      <c r="DF62">
        <v>139.77500000000001</v>
      </c>
      <c r="DH62" t="s">
        <v>389</v>
      </c>
      <c r="DI62" t="s">
        <v>900</v>
      </c>
      <c r="DJ62" t="s">
        <v>902</v>
      </c>
      <c r="DK62">
        <v>535</v>
      </c>
      <c r="DL62">
        <v>58</v>
      </c>
      <c r="DM62">
        <v>68.897196261700003</v>
      </c>
      <c r="DN62">
        <v>1097</v>
      </c>
      <c r="DO62">
        <v>43</v>
      </c>
      <c r="DP62">
        <v>149.63172288059999</v>
      </c>
      <c r="DQ62">
        <v>157.06976744190001</v>
      </c>
    </row>
    <row r="63" spans="2:121" x14ac:dyDescent="0.2">
      <c r="BJ63" t="s">
        <v>561</v>
      </c>
      <c r="BK63" t="s">
        <v>388</v>
      </c>
      <c r="BL63">
        <v>7656</v>
      </c>
      <c r="BM63">
        <v>1054</v>
      </c>
      <c r="BN63">
        <v>82.1340125392</v>
      </c>
      <c r="BO63">
        <v>24289</v>
      </c>
      <c r="BP63">
        <v>836</v>
      </c>
      <c r="BQ63">
        <v>202.27633908350001</v>
      </c>
      <c r="BR63">
        <v>211.7344497608</v>
      </c>
      <c r="BS63">
        <v>7500</v>
      </c>
      <c r="BT63">
        <v>808</v>
      </c>
      <c r="BU63">
        <v>76.580533333299996</v>
      </c>
      <c r="BV63">
        <v>23923</v>
      </c>
      <c r="BW63">
        <v>777</v>
      </c>
      <c r="BX63">
        <v>203.42791455919999</v>
      </c>
      <c r="BY63">
        <v>205.111969112</v>
      </c>
      <c r="CA63" t="s">
        <v>401</v>
      </c>
      <c r="CB63" t="s">
        <v>923</v>
      </c>
      <c r="CC63" t="s">
        <v>1035</v>
      </c>
      <c r="CD63">
        <v>4646</v>
      </c>
      <c r="CE63">
        <v>973</v>
      </c>
      <c r="CF63">
        <v>102.6747739991</v>
      </c>
      <c r="CG63">
        <v>16004</v>
      </c>
      <c r="CH63">
        <v>630</v>
      </c>
      <c r="CI63">
        <v>169.68239190200001</v>
      </c>
      <c r="CJ63">
        <v>171.17936507939999</v>
      </c>
      <c r="CL63" t="s">
        <v>401</v>
      </c>
      <c r="CM63" t="s">
        <v>908</v>
      </c>
      <c r="CN63" t="s">
        <v>911</v>
      </c>
      <c r="CO63">
        <v>346</v>
      </c>
      <c r="CP63">
        <v>36</v>
      </c>
      <c r="CQ63">
        <v>59.505780346800002</v>
      </c>
      <c r="CR63">
        <v>2309</v>
      </c>
      <c r="CS63">
        <v>116</v>
      </c>
      <c r="CT63">
        <v>56.320485058499997</v>
      </c>
      <c r="CU63">
        <v>70.534482758600006</v>
      </c>
      <c r="CW63" t="s">
        <v>401</v>
      </c>
      <c r="CX63" t="s">
        <v>916</v>
      </c>
      <c r="CY63" t="s">
        <v>919</v>
      </c>
      <c r="CZ63">
        <v>85</v>
      </c>
      <c r="DA63">
        <v>8</v>
      </c>
      <c r="DB63">
        <v>70.9176470588</v>
      </c>
      <c r="DC63">
        <v>270</v>
      </c>
      <c r="DD63">
        <v>8</v>
      </c>
      <c r="DE63">
        <v>136.76296296300001</v>
      </c>
      <c r="DF63">
        <v>152.75</v>
      </c>
      <c r="DH63" t="s">
        <v>401</v>
      </c>
      <c r="DI63" t="s">
        <v>900</v>
      </c>
      <c r="DJ63" t="s">
        <v>903</v>
      </c>
      <c r="DK63">
        <v>151</v>
      </c>
      <c r="DL63">
        <v>15</v>
      </c>
      <c r="DM63">
        <v>68.675496688699994</v>
      </c>
      <c r="DN63">
        <v>311</v>
      </c>
      <c r="DO63">
        <v>9</v>
      </c>
      <c r="DP63">
        <v>131.4051446945</v>
      </c>
      <c r="DQ63">
        <v>136.6666666667</v>
      </c>
    </row>
    <row r="64" spans="2:121" x14ac:dyDescent="0.2">
      <c r="BJ64" t="s">
        <v>557</v>
      </c>
      <c r="BK64" t="s">
        <v>388</v>
      </c>
      <c r="BL64">
        <v>9604</v>
      </c>
      <c r="BM64">
        <v>1978</v>
      </c>
      <c r="BN64">
        <v>91.053727613500001</v>
      </c>
      <c r="BO64">
        <v>29826</v>
      </c>
      <c r="BP64">
        <v>1417</v>
      </c>
      <c r="BQ64">
        <v>153.92684235230001</v>
      </c>
      <c r="BR64">
        <v>146.68172194780001</v>
      </c>
      <c r="BS64">
        <v>10001</v>
      </c>
      <c r="BT64">
        <v>2380</v>
      </c>
      <c r="BU64">
        <v>102.05179482050001</v>
      </c>
      <c r="BV64">
        <v>34244</v>
      </c>
      <c r="BW64">
        <v>1700</v>
      </c>
      <c r="BX64">
        <v>169.71346805280001</v>
      </c>
      <c r="BY64">
        <v>166.95470588239999</v>
      </c>
      <c r="CA64" t="s">
        <v>435</v>
      </c>
      <c r="CB64" t="s">
        <v>923</v>
      </c>
      <c r="CC64" t="s">
        <v>1036</v>
      </c>
      <c r="CD64">
        <v>2961</v>
      </c>
      <c r="CE64">
        <v>759</v>
      </c>
      <c r="CF64">
        <v>102.0685579196</v>
      </c>
      <c r="CG64">
        <v>9452</v>
      </c>
      <c r="CH64">
        <v>305</v>
      </c>
      <c r="CI64">
        <v>158.64420228520001</v>
      </c>
      <c r="CJ64">
        <v>182.793442623</v>
      </c>
      <c r="CL64" t="s">
        <v>435</v>
      </c>
      <c r="CM64" t="s">
        <v>908</v>
      </c>
      <c r="CN64" t="s">
        <v>912</v>
      </c>
      <c r="CO64">
        <v>262</v>
      </c>
      <c r="CP64">
        <v>36</v>
      </c>
      <c r="CQ64">
        <v>76.870229007600003</v>
      </c>
      <c r="CR64">
        <v>2417</v>
      </c>
      <c r="CS64">
        <v>123</v>
      </c>
      <c r="CT64">
        <v>81.191559784899994</v>
      </c>
      <c r="CU64">
        <v>79.593495935000007</v>
      </c>
      <c r="CW64" t="s">
        <v>435</v>
      </c>
      <c r="CX64" t="s">
        <v>916</v>
      </c>
      <c r="CY64" t="s">
        <v>920</v>
      </c>
      <c r="CZ64">
        <v>9</v>
      </c>
      <c r="DA64">
        <v>2</v>
      </c>
      <c r="DB64">
        <v>82.444444444400006</v>
      </c>
      <c r="DC64">
        <v>29</v>
      </c>
      <c r="DD64">
        <v>1</v>
      </c>
      <c r="DE64">
        <v>118.3448275862</v>
      </c>
      <c r="DF64">
        <v>120</v>
      </c>
      <c r="DH64" t="s">
        <v>435</v>
      </c>
      <c r="DI64" t="s">
        <v>900</v>
      </c>
      <c r="DJ64" t="s">
        <v>904</v>
      </c>
      <c r="DK64">
        <v>9</v>
      </c>
      <c r="DL64">
        <v>1</v>
      </c>
      <c r="DM64">
        <v>78.555555555599994</v>
      </c>
      <c r="DN64">
        <v>44</v>
      </c>
      <c r="DO64">
        <v>1</v>
      </c>
      <c r="DP64">
        <v>148.6818181818</v>
      </c>
      <c r="DQ64">
        <v>30</v>
      </c>
    </row>
    <row r="65" spans="62:121" x14ac:dyDescent="0.2">
      <c r="BJ65" t="s">
        <v>621</v>
      </c>
      <c r="BK65" t="s">
        <v>388</v>
      </c>
      <c r="BL65">
        <v>2974</v>
      </c>
      <c r="BM65">
        <v>785</v>
      </c>
      <c r="BN65">
        <v>102.96603900469999</v>
      </c>
      <c r="BO65">
        <v>9202</v>
      </c>
      <c r="BP65">
        <v>293</v>
      </c>
      <c r="BQ65">
        <v>160.34546837639999</v>
      </c>
      <c r="BR65">
        <v>195.6894197952</v>
      </c>
      <c r="BS65">
        <v>3267</v>
      </c>
      <c r="BT65">
        <v>1079</v>
      </c>
      <c r="BU65">
        <v>121.9525558616</v>
      </c>
      <c r="BV65">
        <v>11407</v>
      </c>
      <c r="BW65">
        <v>343</v>
      </c>
      <c r="BX65">
        <v>170.47164022090001</v>
      </c>
      <c r="BY65">
        <v>206.5131195335</v>
      </c>
      <c r="CA65" t="s">
        <v>391</v>
      </c>
      <c r="CB65" t="s">
        <v>923</v>
      </c>
      <c r="CC65" t="s">
        <v>1037</v>
      </c>
      <c r="CD65">
        <v>9354</v>
      </c>
      <c r="CE65">
        <v>2254</v>
      </c>
      <c r="CF65">
        <v>100.35396621770001</v>
      </c>
      <c r="CG65">
        <v>33302</v>
      </c>
      <c r="CH65">
        <v>1355</v>
      </c>
      <c r="CI65">
        <v>187.80145336620001</v>
      </c>
      <c r="CJ65">
        <v>151.7867158672</v>
      </c>
      <c r="CL65" t="s">
        <v>391</v>
      </c>
      <c r="CM65" t="s">
        <v>908</v>
      </c>
      <c r="CN65" t="s">
        <v>913</v>
      </c>
      <c r="CO65">
        <v>465</v>
      </c>
      <c r="CP65">
        <v>55</v>
      </c>
      <c r="CQ65">
        <v>68.5161290323</v>
      </c>
      <c r="CR65">
        <v>3356</v>
      </c>
      <c r="CS65">
        <v>173</v>
      </c>
      <c r="CT65">
        <v>71.816448152600003</v>
      </c>
      <c r="CU65">
        <v>67.300578034699996</v>
      </c>
      <c r="CW65" t="s">
        <v>391</v>
      </c>
      <c r="CX65" t="s">
        <v>916</v>
      </c>
      <c r="CY65" t="s">
        <v>921</v>
      </c>
      <c r="CZ65">
        <v>260</v>
      </c>
      <c r="DA65">
        <v>25</v>
      </c>
      <c r="DB65">
        <v>70.815384615400006</v>
      </c>
      <c r="DC65">
        <v>639</v>
      </c>
      <c r="DD65">
        <v>13</v>
      </c>
      <c r="DE65">
        <v>151.61032863849999</v>
      </c>
      <c r="DF65">
        <v>153.1538461538</v>
      </c>
      <c r="DH65" t="s">
        <v>391</v>
      </c>
      <c r="DI65" t="s">
        <v>900</v>
      </c>
      <c r="DJ65" t="s">
        <v>905</v>
      </c>
      <c r="DK65">
        <v>248</v>
      </c>
      <c r="DL65">
        <v>33</v>
      </c>
      <c r="DM65">
        <v>70.149193548400007</v>
      </c>
      <c r="DN65">
        <v>533</v>
      </c>
      <c r="DO65">
        <v>28</v>
      </c>
      <c r="DP65">
        <v>141.4727954972</v>
      </c>
      <c r="DQ65">
        <v>153.25</v>
      </c>
    </row>
    <row r="66" spans="62:121" x14ac:dyDescent="0.2">
      <c r="BJ66" t="s">
        <v>388</v>
      </c>
      <c r="BK66" t="s">
        <v>388</v>
      </c>
      <c r="BL66">
        <v>74179</v>
      </c>
      <c r="BM66">
        <v>18509</v>
      </c>
      <c r="BN66">
        <v>104.25973658309999</v>
      </c>
      <c r="BO66">
        <v>247644</v>
      </c>
      <c r="BP66">
        <v>10779</v>
      </c>
      <c r="BQ66">
        <v>195.5491431248</v>
      </c>
      <c r="BR66">
        <v>176.443083774</v>
      </c>
      <c r="BS66">
        <v>73197</v>
      </c>
      <c r="BT66">
        <v>17365</v>
      </c>
      <c r="BU66">
        <v>101.5703785674</v>
      </c>
      <c r="BV66">
        <v>230187</v>
      </c>
      <c r="BW66">
        <v>10305</v>
      </c>
      <c r="BX66">
        <v>194.0059386499</v>
      </c>
      <c r="BY66">
        <v>173.7752547307</v>
      </c>
      <c r="CA66" t="s">
        <v>392</v>
      </c>
      <c r="CB66" t="s">
        <v>923</v>
      </c>
      <c r="CC66" t="s">
        <v>1038</v>
      </c>
      <c r="CD66">
        <v>9629</v>
      </c>
      <c r="CE66">
        <v>2062</v>
      </c>
      <c r="CF66">
        <v>92.970090352100001</v>
      </c>
      <c r="CG66">
        <v>31941</v>
      </c>
      <c r="CH66">
        <v>1478</v>
      </c>
      <c r="CI66">
        <v>150.3947590871</v>
      </c>
      <c r="CJ66">
        <v>144.90257104189999</v>
      </c>
      <c r="CL66" t="s">
        <v>392</v>
      </c>
      <c r="CM66" t="s">
        <v>908</v>
      </c>
      <c r="CN66" t="s">
        <v>914</v>
      </c>
      <c r="CO66">
        <v>556</v>
      </c>
      <c r="CP66">
        <v>47</v>
      </c>
      <c r="CQ66">
        <v>55.339928057599998</v>
      </c>
      <c r="CR66">
        <v>4380</v>
      </c>
      <c r="CS66">
        <v>186</v>
      </c>
      <c r="CT66">
        <v>51.774885844700002</v>
      </c>
      <c r="CU66">
        <v>62.354838709699997</v>
      </c>
      <c r="CW66" t="s">
        <v>392</v>
      </c>
      <c r="CX66" t="s">
        <v>916</v>
      </c>
      <c r="CY66" t="s">
        <v>922</v>
      </c>
      <c r="CZ66">
        <v>208</v>
      </c>
      <c r="DA66">
        <v>24</v>
      </c>
      <c r="DB66">
        <v>72.471153846199996</v>
      </c>
      <c r="DC66">
        <v>515</v>
      </c>
      <c r="DD66">
        <v>21</v>
      </c>
      <c r="DE66">
        <v>147.97669902909999</v>
      </c>
      <c r="DF66">
        <v>156.04761904759999</v>
      </c>
      <c r="DH66" t="s">
        <v>392</v>
      </c>
      <c r="DI66" t="s">
        <v>900</v>
      </c>
      <c r="DJ66" t="s">
        <v>906</v>
      </c>
      <c r="DK66">
        <v>372</v>
      </c>
      <c r="DL66">
        <v>44</v>
      </c>
      <c r="DM66">
        <v>74.220430107499993</v>
      </c>
      <c r="DN66">
        <v>737</v>
      </c>
      <c r="DO66">
        <v>30</v>
      </c>
      <c r="DP66">
        <v>133.61872455899999</v>
      </c>
      <c r="DQ66">
        <v>141.9333333333</v>
      </c>
    </row>
    <row r="67" spans="62:121" x14ac:dyDescent="0.2">
      <c r="BJ67" t="s">
        <v>549</v>
      </c>
      <c r="BK67" t="s">
        <v>388</v>
      </c>
      <c r="BL67">
        <v>21546</v>
      </c>
      <c r="BM67">
        <v>6280</v>
      </c>
      <c r="BN67">
        <v>114.1672236146</v>
      </c>
      <c r="BO67">
        <v>79323</v>
      </c>
      <c r="BP67">
        <v>3824</v>
      </c>
      <c r="BQ67">
        <v>207.85270350339999</v>
      </c>
      <c r="BR67">
        <v>172.83498953969999</v>
      </c>
      <c r="BS67">
        <v>20408</v>
      </c>
      <c r="BT67">
        <v>5054</v>
      </c>
      <c r="BU67">
        <v>102.6318600549</v>
      </c>
      <c r="BV67">
        <v>64457</v>
      </c>
      <c r="BW67">
        <v>3288</v>
      </c>
      <c r="BX67">
        <v>203.6428937121</v>
      </c>
      <c r="BY67">
        <v>160.1164841849</v>
      </c>
      <c r="CA67" t="s">
        <v>388</v>
      </c>
      <c r="CB67" t="s">
        <v>923</v>
      </c>
      <c r="CD67">
        <v>75265</v>
      </c>
      <c r="CE67">
        <v>17925</v>
      </c>
      <c r="CF67">
        <v>101.2385039527</v>
      </c>
      <c r="CG67">
        <v>260907</v>
      </c>
      <c r="CH67">
        <v>11471</v>
      </c>
      <c r="CI67">
        <v>186.25092849180001</v>
      </c>
      <c r="CJ67">
        <v>166.6762270072</v>
      </c>
      <c r="CL67" t="s">
        <v>388</v>
      </c>
      <c r="CM67" t="s">
        <v>908</v>
      </c>
      <c r="CO67">
        <v>4314</v>
      </c>
      <c r="CP67">
        <v>433</v>
      </c>
      <c r="CQ67">
        <v>63.617987946200003</v>
      </c>
      <c r="CR67">
        <v>33558</v>
      </c>
      <c r="CS67">
        <v>1664</v>
      </c>
      <c r="CT67">
        <v>67.235979498199995</v>
      </c>
      <c r="CU67">
        <v>73.7734375</v>
      </c>
      <c r="CW67" t="s">
        <v>388</v>
      </c>
      <c r="CX67" t="s">
        <v>916</v>
      </c>
      <c r="CZ67">
        <v>1890</v>
      </c>
      <c r="DA67">
        <v>250</v>
      </c>
      <c r="DB67">
        <v>73.995238095199994</v>
      </c>
      <c r="DC67">
        <v>4898</v>
      </c>
      <c r="DD67">
        <v>195</v>
      </c>
      <c r="DE67">
        <v>145.66496529200001</v>
      </c>
      <c r="DF67">
        <v>146.5282051282</v>
      </c>
      <c r="DH67" t="s">
        <v>388</v>
      </c>
      <c r="DI67" t="s">
        <v>900</v>
      </c>
      <c r="DK67">
        <v>2457</v>
      </c>
      <c r="DL67">
        <v>292</v>
      </c>
      <c r="DM67">
        <v>72.549450549499994</v>
      </c>
      <c r="DN67">
        <v>5166</v>
      </c>
      <c r="DO67">
        <v>194</v>
      </c>
      <c r="DP67">
        <v>141.74254742549999</v>
      </c>
      <c r="DQ67">
        <v>146.60309278349999</v>
      </c>
    </row>
    <row r="68" spans="62:121" x14ac:dyDescent="0.2">
      <c r="BJ68" t="s">
        <v>315</v>
      </c>
      <c r="BK68" t="s">
        <v>703</v>
      </c>
      <c r="BL68">
        <v>2271</v>
      </c>
      <c r="BM68">
        <v>203</v>
      </c>
      <c r="BN68">
        <v>61.959489211799998</v>
      </c>
      <c r="BO68">
        <v>2536</v>
      </c>
      <c r="BP68">
        <v>144</v>
      </c>
      <c r="BQ68">
        <v>143.2440851735</v>
      </c>
      <c r="BR68">
        <v>135.6041666667</v>
      </c>
      <c r="BS68">
        <v>653</v>
      </c>
      <c r="BT68">
        <v>80</v>
      </c>
      <c r="BU68">
        <v>70.370597243500001</v>
      </c>
      <c r="BV68">
        <v>1974</v>
      </c>
      <c r="BW68">
        <v>68</v>
      </c>
      <c r="BX68">
        <v>144.13019250249999</v>
      </c>
      <c r="BY68">
        <v>125.7794117647</v>
      </c>
      <c r="CA68" t="s">
        <v>706</v>
      </c>
      <c r="CD68">
        <v>369352</v>
      </c>
      <c r="CE68">
        <v>81881</v>
      </c>
      <c r="CF68">
        <v>96.589749074099998</v>
      </c>
      <c r="CG68">
        <v>1343332</v>
      </c>
      <c r="CH68">
        <v>62538</v>
      </c>
      <c r="CI68">
        <v>170.3015620859</v>
      </c>
      <c r="CJ68">
        <v>148.83354120690001</v>
      </c>
      <c r="CL68" t="s">
        <v>706</v>
      </c>
      <c r="CO68">
        <v>369352</v>
      </c>
      <c r="CP68">
        <v>81881</v>
      </c>
      <c r="CQ68">
        <v>96.589749074099998</v>
      </c>
      <c r="CR68">
        <v>1343332</v>
      </c>
      <c r="CS68">
        <v>62538</v>
      </c>
      <c r="CT68">
        <v>170.3015620859</v>
      </c>
      <c r="CU68">
        <v>148.83354120690001</v>
      </c>
      <c r="CW68" t="s">
        <v>706</v>
      </c>
      <c r="CZ68">
        <v>369352</v>
      </c>
      <c r="DA68">
        <v>81881</v>
      </c>
      <c r="DB68">
        <v>96.589749074099998</v>
      </c>
      <c r="DC68">
        <v>1343332</v>
      </c>
      <c r="DD68">
        <v>62538</v>
      </c>
      <c r="DE68">
        <v>170.3015620859</v>
      </c>
      <c r="DF68">
        <v>148.83354120690001</v>
      </c>
      <c r="DH68" t="s">
        <v>706</v>
      </c>
      <c r="DK68">
        <v>369352</v>
      </c>
      <c r="DL68">
        <v>81881</v>
      </c>
      <c r="DM68">
        <v>96.589749074099998</v>
      </c>
      <c r="DN68">
        <v>1343332</v>
      </c>
      <c r="DO68">
        <v>62538</v>
      </c>
      <c r="DP68">
        <v>170.3015620859</v>
      </c>
      <c r="DQ68">
        <v>148.83354120690001</v>
      </c>
    </row>
    <row r="69" spans="62:121" x14ac:dyDescent="0.2">
      <c r="BJ69" t="s">
        <v>217</v>
      </c>
      <c r="BK69" t="s">
        <v>703</v>
      </c>
      <c r="BL69">
        <v>3468</v>
      </c>
      <c r="BM69">
        <v>245</v>
      </c>
      <c r="BN69">
        <v>63.944348327599997</v>
      </c>
      <c r="BO69">
        <v>12616</v>
      </c>
      <c r="BP69">
        <v>403</v>
      </c>
      <c r="BQ69">
        <v>165.6857165504</v>
      </c>
      <c r="BR69">
        <v>122.26302729530001</v>
      </c>
      <c r="BS69">
        <v>3871</v>
      </c>
      <c r="BT69">
        <v>251</v>
      </c>
      <c r="BU69">
        <v>62.250322914000002</v>
      </c>
      <c r="BV69">
        <v>12627</v>
      </c>
      <c r="BW69">
        <v>407</v>
      </c>
      <c r="BX69">
        <v>165.8383622396</v>
      </c>
      <c r="BY69">
        <v>121.9041769042</v>
      </c>
    </row>
    <row r="70" spans="62:121" x14ac:dyDescent="0.2">
      <c r="BJ70" t="s">
        <v>703</v>
      </c>
      <c r="BK70" t="s">
        <v>703</v>
      </c>
      <c r="BL70">
        <v>10381</v>
      </c>
      <c r="BM70">
        <v>1009</v>
      </c>
      <c r="BN70">
        <v>67.965513919700001</v>
      </c>
      <c r="BO70">
        <v>24509</v>
      </c>
      <c r="BP70">
        <v>893</v>
      </c>
      <c r="BQ70">
        <v>150.25794606060001</v>
      </c>
      <c r="BR70">
        <v>134.490481523</v>
      </c>
      <c r="BS70">
        <v>10381</v>
      </c>
      <c r="BT70">
        <v>1009</v>
      </c>
      <c r="BU70">
        <v>67.965513919700001</v>
      </c>
      <c r="BV70">
        <v>24509</v>
      </c>
      <c r="BW70">
        <v>893</v>
      </c>
      <c r="BX70">
        <v>150.25794606060001</v>
      </c>
      <c r="BY70">
        <v>134.490481523</v>
      </c>
    </row>
    <row r="71" spans="62:121" x14ac:dyDescent="0.2">
      <c r="BJ71" t="s">
        <v>219</v>
      </c>
      <c r="BK71" t="s">
        <v>703</v>
      </c>
      <c r="BL71">
        <v>4642</v>
      </c>
      <c r="BM71">
        <v>561</v>
      </c>
      <c r="BN71">
        <v>73.908013787200005</v>
      </c>
      <c r="BO71">
        <v>9357</v>
      </c>
      <c r="BP71">
        <v>346</v>
      </c>
      <c r="BQ71">
        <v>131.35770011759999</v>
      </c>
      <c r="BR71">
        <v>148.2687861272</v>
      </c>
      <c r="BS71">
        <v>5857</v>
      </c>
      <c r="BT71">
        <v>678</v>
      </c>
      <c r="BU71">
        <v>71.474645723099997</v>
      </c>
      <c r="BV71">
        <v>9908</v>
      </c>
      <c r="BW71">
        <v>418</v>
      </c>
      <c r="BX71">
        <v>131.62272910780001</v>
      </c>
      <c r="BY71">
        <v>148.16267942580001</v>
      </c>
    </row>
    <row r="72" spans="62:121" x14ac:dyDescent="0.2">
      <c r="BJ72" t="s">
        <v>215</v>
      </c>
      <c r="BK72" t="s">
        <v>704</v>
      </c>
      <c r="BL72">
        <v>5502</v>
      </c>
      <c r="BM72">
        <v>432</v>
      </c>
      <c r="BN72">
        <v>55.190657942599998</v>
      </c>
      <c r="BO72">
        <v>41517</v>
      </c>
      <c r="BP72">
        <v>1990</v>
      </c>
      <c r="BQ72">
        <v>55.195582532499998</v>
      </c>
      <c r="BR72">
        <v>63.722613065300003</v>
      </c>
      <c r="BS72">
        <v>5517</v>
      </c>
      <c r="BT72">
        <v>435</v>
      </c>
      <c r="BU72">
        <v>55.294181620400003</v>
      </c>
      <c r="BV72">
        <v>41615</v>
      </c>
      <c r="BW72">
        <v>1996</v>
      </c>
      <c r="BX72">
        <v>55.509575874100001</v>
      </c>
      <c r="BY72">
        <v>64.134268537099999</v>
      </c>
    </row>
    <row r="73" spans="62:121" x14ac:dyDescent="0.2">
      <c r="BJ73" t="s">
        <v>230</v>
      </c>
      <c r="BK73" t="s">
        <v>704</v>
      </c>
      <c r="BL73">
        <v>540</v>
      </c>
      <c r="BM73">
        <v>222</v>
      </c>
      <c r="BN73">
        <v>156.49444444439999</v>
      </c>
      <c r="BO73">
        <v>5463</v>
      </c>
      <c r="BP73">
        <v>262</v>
      </c>
      <c r="BQ73">
        <v>68.210690096999997</v>
      </c>
      <c r="BR73">
        <v>79.274809160299995</v>
      </c>
      <c r="BS73">
        <v>481</v>
      </c>
      <c r="BT73">
        <v>212</v>
      </c>
      <c r="BU73">
        <v>164.04158004160001</v>
      </c>
      <c r="BV73">
        <v>5089</v>
      </c>
      <c r="BW73">
        <v>233</v>
      </c>
      <c r="BX73">
        <v>60.3507565337</v>
      </c>
      <c r="BY73">
        <v>70.381974248899994</v>
      </c>
    </row>
    <row r="74" spans="62:121" x14ac:dyDescent="0.2">
      <c r="BJ74" t="s">
        <v>216</v>
      </c>
      <c r="BK74" t="s">
        <v>704</v>
      </c>
      <c r="BL74">
        <v>6695</v>
      </c>
      <c r="BM74">
        <v>617</v>
      </c>
      <c r="BN74">
        <v>64.178939507099997</v>
      </c>
      <c r="BO74">
        <v>47319</v>
      </c>
      <c r="BP74">
        <v>2687</v>
      </c>
      <c r="BQ74">
        <v>72.543227878899998</v>
      </c>
      <c r="BR74">
        <v>73.718645329400005</v>
      </c>
      <c r="BS74">
        <v>6722</v>
      </c>
      <c r="BT74">
        <v>624</v>
      </c>
      <c r="BU74">
        <v>64.386789645899995</v>
      </c>
      <c r="BV74">
        <v>47447</v>
      </c>
      <c r="BW74">
        <v>2701</v>
      </c>
      <c r="BX74">
        <v>72.852825257700005</v>
      </c>
      <c r="BY74">
        <v>74.197704553899996</v>
      </c>
    </row>
    <row r="75" spans="62:121" x14ac:dyDescent="0.2">
      <c r="BJ75" t="s">
        <v>218</v>
      </c>
      <c r="BK75" t="s">
        <v>704</v>
      </c>
      <c r="BL75">
        <v>7923</v>
      </c>
      <c r="BM75">
        <v>447</v>
      </c>
      <c r="BN75">
        <v>51.125457528699997</v>
      </c>
      <c r="BO75">
        <v>54420</v>
      </c>
      <c r="BP75">
        <v>3111</v>
      </c>
      <c r="BQ75">
        <v>64.603325983100007</v>
      </c>
      <c r="BR75">
        <v>62.229508196700003</v>
      </c>
      <c r="BS75">
        <v>7940</v>
      </c>
      <c r="BT75">
        <v>447</v>
      </c>
      <c r="BU75">
        <v>51.151259445800001</v>
      </c>
      <c r="BV75">
        <v>54569</v>
      </c>
      <c r="BW75">
        <v>3120</v>
      </c>
      <c r="BX75">
        <v>64.857391559299998</v>
      </c>
      <c r="BY75">
        <v>62.319551282100001</v>
      </c>
    </row>
    <row r="76" spans="62:121" x14ac:dyDescent="0.2">
      <c r="BJ76" t="s">
        <v>704</v>
      </c>
      <c r="BK76" t="s">
        <v>704</v>
      </c>
      <c r="BL76">
        <v>20660</v>
      </c>
      <c r="BM76">
        <v>1718</v>
      </c>
      <c r="BN76">
        <v>59.192207163600003</v>
      </c>
      <c r="BO76">
        <v>148719</v>
      </c>
      <c r="BP76">
        <v>8050</v>
      </c>
      <c r="BQ76">
        <v>64.635829988099999</v>
      </c>
      <c r="BR76">
        <v>66.988322981400003</v>
      </c>
      <c r="BS76">
        <v>20660</v>
      </c>
      <c r="BT76">
        <v>1718</v>
      </c>
      <c r="BU76">
        <v>59.192207163600003</v>
      </c>
      <c r="BV76">
        <v>148720</v>
      </c>
      <c r="BW76">
        <v>8050</v>
      </c>
      <c r="BX76">
        <v>64.638293437300007</v>
      </c>
      <c r="BY76">
        <v>66.988322981400003</v>
      </c>
    </row>
    <row r="77" spans="62:121" x14ac:dyDescent="0.2">
      <c r="BJ77" t="s">
        <v>314</v>
      </c>
      <c r="BK77" t="s">
        <v>705</v>
      </c>
      <c r="BL77">
        <v>2913</v>
      </c>
      <c r="BM77">
        <v>331</v>
      </c>
      <c r="BN77">
        <v>66.988671472700005</v>
      </c>
      <c r="BO77">
        <v>4056</v>
      </c>
      <c r="BP77">
        <v>284</v>
      </c>
      <c r="BQ77">
        <v>123.508382643</v>
      </c>
      <c r="BR77">
        <v>126.2676056338</v>
      </c>
      <c r="BS77">
        <v>550</v>
      </c>
      <c r="BT77">
        <v>45</v>
      </c>
      <c r="BU77">
        <v>56.814545454499999</v>
      </c>
      <c r="BV77">
        <v>643</v>
      </c>
      <c r="BW77">
        <v>27</v>
      </c>
      <c r="BX77">
        <v>188.0233281493</v>
      </c>
      <c r="BY77">
        <v>159.962962963</v>
      </c>
    </row>
    <row r="78" spans="62:121" x14ac:dyDescent="0.2">
      <c r="BJ78" t="s">
        <v>964</v>
      </c>
      <c r="BK78" t="s">
        <v>705</v>
      </c>
      <c r="BL78">
        <v>2972</v>
      </c>
      <c r="BM78">
        <v>286</v>
      </c>
      <c r="BN78">
        <v>62.010430686399999</v>
      </c>
      <c r="BO78">
        <v>10298</v>
      </c>
      <c r="BP78">
        <v>411</v>
      </c>
      <c r="BQ78">
        <v>117.87249951450001</v>
      </c>
      <c r="BR78">
        <v>108.2433090024</v>
      </c>
      <c r="BS78">
        <v>3950</v>
      </c>
      <c r="BT78">
        <v>392</v>
      </c>
      <c r="BU78">
        <v>62.066835443000002</v>
      </c>
      <c r="BV78">
        <v>12899</v>
      </c>
      <c r="BW78">
        <v>558</v>
      </c>
      <c r="BX78">
        <v>115.02969222420001</v>
      </c>
      <c r="BY78">
        <v>107.7616487455</v>
      </c>
    </row>
    <row r="79" spans="62:121" x14ac:dyDescent="0.2">
      <c r="BJ79" t="s">
        <v>705</v>
      </c>
      <c r="BK79" t="s">
        <v>705</v>
      </c>
      <c r="BL79">
        <v>8986</v>
      </c>
      <c r="BM79">
        <v>1055</v>
      </c>
      <c r="BN79">
        <v>68.709325617600001</v>
      </c>
      <c r="BO79">
        <v>24692</v>
      </c>
      <c r="BP79">
        <v>956</v>
      </c>
      <c r="BQ79">
        <v>132.8043495869</v>
      </c>
      <c r="BR79">
        <v>127.3953974895</v>
      </c>
      <c r="BS79">
        <v>8986</v>
      </c>
      <c r="BT79">
        <v>1055</v>
      </c>
      <c r="BU79">
        <v>68.709325617600001</v>
      </c>
      <c r="BV79">
        <v>24692</v>
      </c>
      <c r="BW79">
        <v>956</v>
      </c>
      <c r="BX79">
        <v>132.8043495869</v>
      </c>
      <c r="BY79">
        <v>127.3953974895</v>
      </c>
    </row>
    <row r="80" spans="62:121" x14ac:dyDescent="0.2">
      <c r="BJ80" t="s">
        <v>965</v>
      </c>
      <c r="BK80" t="s">
        <v>705</v>
      </c>
      <c r="BL80">
        <v>3101</v>
      </c>
      <c r="BM80">
        <v>438</v>
      </c>
      <c r="BN80">
        <v>76.745888423099998</v>
      </c>
      <c r="BO80">
        <v>10338</v>
      </c>
      <c r="BP80">
        <v>261</v>
      </c>
      <c r="BQ80">
        <v>151.32559489260001</v>
      </c>
      <c r="BR80">
        <v>158.78160919539999</v>
      </c>
      <c r="BS80">
        <v>4486</v>
      </c>
      <c r="BT80">
        <v>618</v>
      </c>
      <c r="BU80">
        <v>76.016495764599995</v>
      </c>
      <c r="BV80">
        <v>11150</v>
      </c>
      <c r="BW80">
        <v>371</v>
      </c>
      <c r="BX80">
        <v>150.18278026909999</v>
      </c>
      <c r="BY80">
        <v>154.55525606469999</v>
      </c>
    </row>
    <row r="81" spans="62:77" x14ac:dyDescent="0.2">
      <c r="BJ81" t="s">
        <v>706</v>
      </c>
      <c r="BL81">
        <v>369352</v>
      </c>
      <c r="BM81">
        <v>81881</v>
      </c>
      <c r="BN81" s="154">
        <v>96.589749074099998</v>
      </c>
      <c r="BO81">
        <v>1343332</v>
      </c>
      <c r="BP81">
        <v>62538</v>
      </c>
      <c r="BQ81">
        <v>170.3015620859</v>
      </c>
      <c r="BR81">
        <v>148.83354120690001</v>
      </c>
      <c r="BS81">
        <v>369352</v>
      </c>
      <c r="BT81">
        <v>81881</v>
      </c>
      <c r="BU81">
        <v>96.589749074099998</v>
      </c>
      <c r="BV81">
        <v>1343332</v>
      </c>
      <c r="BW81">
        <v>62538</v>
      </c>
      <c r="BX81">
        <v>170.3015620859</v>
      </c>
      <c r="BY81">
        <v>148.83354120690001</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369352</CP_Inventory>
    <Fiscal_Year xmlns="c9744be7-b815-40bc-84fa-afc9c406d9bc">2015</Fiscal_Year>
    <CP_Backlog xmlns="c9744be7-b815-40bc-84fa-afc9c406d9bc">81881</CP_Backlog>
    <Creation_date xmlns="c9744be7-b815-40bc-84fa-afc9c406d9bc">2015-09-21T00:00:00</Creation_date>
    <Data_date xmlns="c9744be7-b815-40bc-84fa-afc9c406d9bc">2015-09-19T00:00:00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fef9c9dc-374b-4157-9e06-089f148416e5"/>
    <ds:schemaRef ds:uri="c9744be7-b815-40bc-84fa-afc9c406d9bc"/>
    <ds:schemaRef ds:uri="http://schemas.microsoft.com/office/2006/metadata/propertie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21,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Neal, James  VBACO</cp:lastModifiedBy>
  <cp:lastPrinted>2015-06-19T18:10:05Z</cp:lastPrinted>
  <dcterms:created xsi:type="dcterms:W3CDTF">2009-08-25T18:46:26Z</dcterms:created>
  <dcterms:modified xsi:type="dcterms:W3CDTF">2015-09-21T14:11:04Z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