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DATA'!$CW$2:$DF$66</definedName>
    <definedName name="MMWR_CONNECTOR_13" localSheetId="8" hidden="1">'CP DATA'!$DH$2:$DQ$66</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description="MMWR ACCURACY BY RO (NO ROLLUP)"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ACCURACY_RO&quot;"/>
  </connection>
  <connection id="2" name="MMWR_APP_NATIONAL" description="MMWR APPEALS NATIONAL NUMBERS"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APP_NATIONAL&quot;"/>
  </connection>
  <connection id="3" name="MMWR_APP_RO" description="MMWR APPEALS BY REGIONAL OFFICE"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APP_RO&quot;"/>
  </connection>
  <connection id="4" name="MMWR_APP_STATE_COMP" description="MMWR COMPENSATION APPEALS BY STATE"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APP_STATE_COMP&quot;"/>
  </connection>
  <connection id="5" name="MMWR_APP_STATE_PEN" description="MMWR PENSION APPEALS BY STATE"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APP_STATE_PEN&quot;"/>
  </connection>
  <connection id="6" name="MMWR_DATES1" description="MMWR DATA AND FILE DATES"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DATES&quot;"/>
  </connection>
  <connection id="7" name="MMWR_RATING_RO_ROLLUP" description="MMWR RATING BUNDLE REGIONAL OFFICE SOO &amp; SOJ ROLLUP"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RATING_RO_ROLLUP&quot;"/>
  </connection>
  <connection id="8" name="MMWR_RATING_STATE_ROLLUP_BDD" description="MMWR RATING ROLLUP BY STATE BDD"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RATING_STATE_ROLLUP_BDD&quot;"/>
  </connection>
  <connection id="9" name="MMWR_RATING_STATE_ROLLUP_PMC" description="MMWR RATING ROLLUP BY STATE PMC"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RATING_STATE_ROLLUP_PMC&quot;"/>
  </connection>
  <connection id="10" name="MMWR_RATING_STATE_ROLLUP_QST" description="MMWR RATING ROLLUP BY STATE QST"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RATING_STATE_ROLLUP_QST&quot;"/>
  </connection>
  <connection id="11" name="MMWR_RATING_STATE_ROLLUP_VSC" description="MMWR RATING ROLLUP BY STATE VSC"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RATING_STATE_ROLLUP_VSC&quot;"/>
  </connection>
  <connection id="12" name="MMWR_TRAD_AGG_DISTRICT_COMP" description="MMWR TRADITIONAL AGGREGATE BY DISTRICT - COMPENSAT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DISTRICT_COMP&quot;"/>
  </connection>
  <connection id="13" name="MMWR_TRAD_AGG_NATIONAL" description="MMWR TRADITIONAL AGGREGATE NATIONAL BY END PRODUCT"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NATIONAL&quot;"/>
  </connection>
  <connection id="14" name="MMWR_TRAD_AGG_RO_COMP" description="MMWR_TRADITIONAL AGGREGATE BY REGIONAL OFFICE - COMPENSAT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RO_COMP&quot;"/>
  </connection>
  <connection id="15" name="MMWR_TRAD_AGG_RO_PEN" description="MMWR TRADITIONAL AGGREGATE BY REGIONAL OFFICE - PENS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RO_PEN&quot;"/>
  </connection>
  <connection id="16" name="MMWR_TRAD_AGG_ST_DISTRICT_COMP" description="MMWR TRADITIONAL AGGREGATE BY STATE DISTRICT - COMPENSAT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ST_DISTRICT_COMP&quot;"/>
  </connection>
  <connection id="17" name="MMWR_TRAD_AGG_ST_DISTRICT_PEN" description="MMWR TRADITIONAL AGGREGATE BY STATE DISTRICT - PENS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ST_DISTRICT_PEN&quot;"/>
  </connection>
  <connection id="18" name="MMWR_TRAD_AGG_STATE_COMP" description="MMWR TRADITIONAL AGGREGATE BY STATE - COMPENSAT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STATE_COMP&quot;"/>
  </connection>
  <connection id="19" name="MMWR_TRAD_AGG_STATE_PEN" description="MMWR TRADITIONAL AGGREGATE BY STATE - PENSION CLAIMS ONLY"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MMWR_TRAD_AGG_STATE_PEN&quot;"/>
  </connection>
  <connection id="20" name="Z_GEO_SPCMSN_V2" description="GEOGRAPHY DIMENSION TABLE SPECIAL FOR MMWR" type="1" refreshedVersion="4" savePassword="1" background="1" saveData="1">
    <dbPr connection="DSN=EDWReports;UID=ADHOC_PA_REPORTS;PWD=adhocpa#rpt1;DBQ=VBAEDW1;DBA=W;APA=T;EXC=F;FEN=T;QTO=T;FRC=10;FDL=10;LOB=T;RST=T;BTD=F;BNF=F;BAM=IfAllSuccessful;NUM=NLS;DPM=F;MTS=T;MDI=F;CSR=F;FWC=F;FBS=64000;TLO=O;MLD=0;ODA=F;" command="SELECT * FROM _x000d__x000a_&quot;DATA_REPO&quot;.&quot;Z_GEO_SPCMSN_V2&quot;"/>
  </connection>
  <connection id="21" name="Z_ST_DIM" description="STATE DIMENSION TABLE" type="1" refreshedVersion="4" savePassword="1" background="1" saveData="1">
    <dbPr connection="DSN=EDWReports;UID=ADHOC_PA_REPORTS;PWD=adhocpa#rpt1;DBQ=VBAEDW1;DBA=W;APA=T;EXC=F;FEN=T;QTO=T;FRC=10;FDL=10;LOB=T;RST=T;BTD=F;BNF=F;BAM=IfAllSuccessful;NUM=NLS;DPM=F;MTS=T;MDI=F;CSR=F;FWC=F;FBS=64000;TLO=O;MLD=0;ODA=F;" command="SELECT * FROM &quot;ADHOC_PA_REPORTS&quot;.&quot;Z_ST_DIM&quot;"/>
  </connection>
</connections>
</file>

<file path=xl/sharedStrings.xml><?xml version="1.0" encoding="utf-8"?>
<sst xmlns="http://schemas.openxmlformats.org/spreadsheetml/2006/main" count="4078" uniqueCount="1066">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</sst>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8" fillId="38" borderId="53" xfId="0" applyNumberFormat="1" applyFont="1" applyFill="1" applyBorder="1" applyProtection="1">
      <protection hidden="1"/>
    </xf>
    <xf numFmtId="4" fontId="8" fillId="38" borderId="50" xfId="0" applyNumberFormat="1" applyFont="1" applyFill="1" applyBorder="1" applyProtection="1">
      <protection hidden="1"/>
    </xf>
    <xf numFmtId="4" fontId="8" fillId="38" borderId="51" xfId="0" applyNumberFormat="1" applyFont="1" applyFill="1" applyBorder="1" applyProtection="1">
      <protection hidden="1"/>
    </xf>
    <xf numFmtId="0" fontId="8" fillId="38" borderId="8" xfId="0" applyFont="1" applyFill="1" applyBorder="1" applyProtection="1">
      <protection hidden="1"/>
    </xf>
    <xf numFmtId="0" fontId="8" fillId="38" borderId="0" xfId="0" applyFont="1" applyFill="1" applyBorder="1" applyProtection="1">
      <protection hidden="1"/>
    </xf>
    <xf numFmtId="0" fontId="8" fillId="38" borderId="4" xfId="0" applyFont="1" applyFill="1" applyBorder="1" applyProtection="1">
      <protection hidden="1"/>
    </xf>
    <xf numFmtId="4" fontId="8" fillId="38" borderId="8" xfId="0" applyNumberFormat="1" applyFont="1" applyFill="1" applyBorder="1" applyProtection="1">
      <protection hidden="1"/>
    </xf>
    <xf numFmtId="4" fontId="8" fillId="38" borderId="0" xfId="0" applyNumberFormat="1" applyFont="1" applyFill="1" applyBorder="1" applyProtection="1">
      <protection hidden="1"/>
    </xf>
    <xf numFmtId="4" fontId="8" fillId="38" borderId="4" xfId="0" applyNumberFormat="1" applyFont="1" applyFill="1" applyBorder="1" applyProtection="1">
      <protection hidden="1"/>
    </xf>
    <xf numFmtId="4" fontId="8" fillId="38" borderId="25" xfId="0" applyNumberFormat="1" applyFont="1" applyFill="1" applyBorder="1" applyProtection="1">
      <protection hidden="1"/>
    </xf>
    <xf numFmtId="4" fontId="8" fillId="38" borderId="43" xfId="0" applyNumberFormat="1" applyFont="1" applyFill="1" applyBorder="1" applyProtection="1">
      <protection hidden="1"/>
    </xf>
    <xf numFmtId="4" fontId="8"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8" fillId="38" borderId="15" xfId="0" applyNumberFormat="1" applyFont="1" applyFill="1" applyBorder="1" applyProtection="1">
      <protection hidden="1"/>
    </xf>
    <xf numFmtId="4" fontId="8" fillId="38" borderId="16" xfId="0" applyNumberFormat="1" applyFont="1" applyFill="1" applyBorder="1" applyProtection="1">
      <protection hidden="1"/>
    </xf>
    <xf numFmtId="4" fontId="8"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0"/>
      <queryTableField id="2" name="CNT" tableColumnId="11"/>
      <queryTableField id="3" name="CNT_BL" tableColumnId="12"/>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31"/>
      <queryTableField id="2" name="STATE_DISTRICT_SM" tableColumnId="32"/>
      <queryTableField id="3" name="STATE_SM" tableColumnId="33"/>
      <queryTableField id="4" name="STATE_INVENTORY" tableColumnId="34"/>
      <queryTableField id="5" name="STATE_BL_INVENTORY" tableColumnId="35"/>
      <queryTableField id="6" name="STATE_ADP" tableColumnId="36"/>
      <queryTableField id="7" name="STATE_PRODUCTION_FYTD" tableColumnId="37"/>
      <queryTableField id="8" name="STATE_PRODUCTION_MTD" tableColumnId="38"/>
      <queryTableField id="9" name="STATE_ADC_FYTD" tableColumnId="39"/>
      <queryTableField id="10" name="STATE_ADC_MTD" tableColumnId="4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31"/>
      <queryTableField id="2" name="STATE_DISTRICT_SM" tableColumnId="32"/>
      <queryTableField id="3" name="STATE_SM" tableColumnId="33"/>
      <queryTableField id="4" name="STATE_INVENTORY" tableColumnId="34"/>
      <queryTableField id="5" name="STATE_BL_INVENTORY" tableColumnId="35"/>
      <queryTableField id="6" name="STATE_ADP" tableColumnId="36"/>
      <queryTableField id="7" name="STATE_PRODUCTION_FYTD" tableColumnId="37"/>
      <queryTableField id="8" name="STATE_PRODUCTION_MTD" tableColumnId="38"/>
      <queryTableField id="9" name="STATE_ADC_FYTD" tableColumnId="39"/>
      <queryTableField id="10" name="STATE_ADC_MTD" tableColumnId="4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31"/>
      <queryTableField id="2" name="STATE_DISTRICT_SM" tableColumnId="32"/>
      <queryTableField id="3" name="STATE_SM" tableColumnId="33"/>
      <queryTableField id="4" name="STATE_INVENTORY" tableColumnId="34"/>
      <queryTableField id="5" name="STATE_BL_INVENTORY" tableColumnId="35"/>
      <queryTableField id="6" name="STATE_ADP" tableColumnId="36"/>
      <queryTableField id="7" name="STATE_PRODUCTION_FYTD" tableColumnId="37"/>
      <queryTableField id="8" name="STATE_PRODUCTION_MTD" tableColumnId="38"/>
      <queryTableField id="9" name="STATE_ADC_FYTD" tableColumnId="39"/>
      <queryTableField id="10" name="STATE_ADC_MTD" tableColumnId="4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31"/>
      <queryTableField id="2" name="STATE_DISTRICT_SM" tableColumnId="32"/>
      <queryTableField id="3" name="STATE_SM" tableColumnId="33"/>
      <queryTableField id="4" name="STATE_INVENTORY" tableColumnId="34"/>
      <queryTableField id="5" name="STATE_BL_INVENTORY" tableColumnId="35"/>
      <queryTableField id="6" name="STATE_ADP" tableColumnId="36"/>
      <queryTableField id="7" name="STATE_PRODUCTION_FYTD" tableColumnId="37"/>
      <queryTableField id="8" name="STATE_PRODUCTION_MTD" tableColumnId="38"/>
      <queryTableField id="9" name="STATE_ADC_FYTD" tableColumnId="39"/>
      <queryTableField id="10" name="STATE_ADC_MTD" tableColumnId="4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46"/>
      <queryTableField id="2" name="DEF_DIST" tableColumnId="47"/>
      <queryTableField id="3" name="RELEASE_DATE" tableColumnId="48"/>
      <queryTableField id="4" name="RO" tableColumnId="49"/>
      <queryTableField id="5" name="COMP3_ISSUES_WGHTED_ACC" tableColumnId="50"/>
      <queryTableField id="6" name="COMP3_RTNG_CLM_WGHTED_ACC" tableColumnId="51"/>
      <queryTableField id="7" name="COMP12_RTNG_CLM_WGHTED_ACC" tableColumnId="52"/>
      <queryTableField id="8" name="COMP12_RTNG_CLM_MOE" tableColumnId="53"/>
      <queryTableField id="9" name="COMP12_AUTH_CLM_WGHTED_ACC" tableColumnId="54"/>
      <queryTableField id="10" name="COMP12_AUTH_CLM_MOE" tableColumnId="55"/>
      <queryTableField id="11" name="PMC3_RTNG_CLM_WGHTED_ACC" tableColumnId="56"/>
      <queryTableField id="12" name="PMC12_RTNG_CLM_WGHTED_ACC" tableColumnId="57"/>
      <queryTableField id="13" name="PMC12_RTNG_CLM_MOE" tableColumnId="58"/>
      <queryTableField id="14" name="PMC12_AUTH_CLM_WGHTED_ACC" tableColumnId="59"/>
      <queryTableField id="15" name="PMC12_AUTH_CLM_MOE" tableColumnId="6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43"/>
      <queryTableField id="2" name="APPEALS_INVENTORY" tableColumnId="44"/>
      <queryTableField id="3" name="NOD_INVENTORY" tableColumnId="45"/>
      <queryTableField id="4" name="NOD_ADP" tableColumnId="46"/>
      <queryTableField id="5" name="SOC_INVENTORY" tableColumnId="47"/>
      <queryTableField id="6" name="SOC_ADP" tableColumnId="48"/>
      <queryTableField id="7" name="FORM9_INVENTORY" tableColumnId="49"/>
      <queryTableField id="8" name="FORM9_ADP" tableColumnId="50"/>
      <queryTableField id="9" name="RMND_AT_RO_INVENTORY" tableColumnId="51"/>
      <queryTableField id="10" name="RMND_AT_RO_ADP" tableColumnId="52"/>
      <queryTableField id="11" name="RMND_AT_AMC_INVENTORY" tableColumnId="53"/>
      <queryTableField id="12" name="RMND_AT_AMC_ADP" tableColumnId="54"/>
      <queryTableField id="13" name="RMND_TB_READY_INVENTORY" tableColumnId="55"/>
      <queryTableField id="14" name="RMND_TB_READY_ADP" tableColumnId="56"/>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43"/>
      <queryTableField id="2" name="APPEALS_INVENTORY" tableColumnId="44"/>
      <queryTableField id="3" name="NOD_INVENTORY" tableColumnId="45"/>
      <queryTableField id="4" name="NOD_ADP" tableColumnId="46"/>
      <queryTableField id="5" name="SOC_INVENTORY" tableColumnId="47"/>
      <queryTableField id="6" name="SOC_ADP" tableColumnId="48"/>
      <queryTableField id="7" name="FORM9_INVENTORY" tableColumnId="49"/>
      <queryTableField id="8" name="FORM9_ADP" tableColumnId="50"/>
      <queryTableField id="9" name="RMND_AT_RO_INVENTORY" tableColumnId="51"/>
      <queryTableField id="10" name="RMND_AT_RO_ADP" tableColumnId="52"/>
      <queryTableField id="11" name="RMND_AT_AMC_INVENTORY" tableColumnId="53"/>
      <queryTableField id="12" name="RMND_AT_AMC_ADP" tableColumnId="54"/>
      <queryTableField id="13" name="RMND_TB_READY_INVENTORY" tableColumnId="55"/>
      <queryTableField id="14" name="RMND_TB_READY_ADP" tableColumnId="56"/>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43"/>
      <queryTableField id="2" name="APPEALS_INVENTORY" tableColumnId="44"/>
      <queryTableField id="3" name="NOD_INVENTORY" tableColumnId="45"/>
      <queryTableField id="4" name="NOD_ADP" tableColumnId="46"/>
      <queryTableField id="5" name="SOC_INVENTORY" tableColumnId="47"/>
      <queryTableField id="6" name="SOC_ADP" tableColumnId="48"/>
      <queryTableField id="7" name="FORM9_INVENTORY" tableColumnId="49"/>
      <queryTableField id="8" name="FORM9_ADP" tableColumnId="50"/>
      <queryTableField id="9" name="RMND_AT_RO_INVENTORY" tableColumnId="51"/>
      <queryTableField id="10" name="RMND_AT_RO_ADP" tableColumnId="52"/>
      <queryTableField id="11" name="RMND_AT_AMC_INVENTORY" tableColumnId="53"/>
      <queryTableField id="12" name="RMND_AT_AMC_ADP" tableColumnId="54"/>
      <queryTableField id="13" name="RMND_TB_READY_INVENTORY" tableColumnId="55"/>
      <queryTableField id="14" name="RMND_TB_READY_ADP" tableColumnId="56"/>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0"/>
      <queryTableField id="2" name="INVENTORY" tableColumnId="11"/>
      <queryTableField id="3" name="ADP" tableColumnId="12"/>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55"/>
      <queryTableField id="2" name="GEOGRAPHY_DIM_SID" tableColumnId="56"/>
      <queryTableField id="3" name="ID_RO" tableColumnId="57"/>
      <queryTableField id="4" name="DEF_RO" tableColumnId="58"/>
      <queryTableField id="5" name="ID_SPM" tableColumnId="59"/>
      <queryTableField id="6" name="DEF_SPM" tableColumnId="60"/>
      <queryTableField id="7" name="ID_AREA" tableColumnId="61"/>
      <queryTableField id="8" name="DEF_AREA" tableColumnId="62"/>
      <queryTableField id="9" name="AREA_NBR" tableColumnId="63"/>
      <queryTableField id="10" name="ID_DIST" tableColumnId="64"/>
      <queryTableField id="11" name="DEF_DIST" tableColumnId="65"/>
      <queryTableField id="12" name="LCTN_ID" tableColumnId="66"/>
      <queryTableField id="13" name="ID_STATE" tableColumnId="67"/>
      <queryTableField id="14" name="DEF_STATE" tableColumnId="68"/>
      <queryTableField id="15" name="KEY_RO" tableColumnId="69"/>
      <queryTableField id="16" name="KEY_SPM" tableColumnId="70"/>
      <queryTableField id="17" name="KEY_HL" tableColumnId="71"/>
      <queryTableField id="18" name="TYP_SPM" tableColumnId="72"/>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40"/>
      <queryTableField id="2" name="NBRINV" tableColumnId="41"/>
      <queryTableField id="3" name="ADP" tableColumnId="42"/>
      <queryTableField id="4" name="ENTIT" tableColumnId="43"/>
      <queryTableField id="5" name="ENTIT125" tableColumnId="44"/>
      <queryTableField id="6" name="AWD" tableColumnId="45"/>
      <queryTableField id="7" name="AWD125" tableColumnId="46"/>
      <queryTableField id="8" name="PROGRVW" tableColumnId="47"/>
      <queryTableField id="9" name="PROGRVW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6"/>
      <queryTableField id="2" name="STATE" tableColumnId="17"/>
      <queryTableField id="3" name="STATE_OTHER" tableColumnId="18"/>
      <queryTableField id="4" name="AREA" tableColumnId="19"/>
      <queryTableField id="5" name="STATE_DIST" tableColumnId="2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40"/>
      <queryTableField id="2" name="NBRINV" tableColumnId="41"/>
      <queryTableField id="3" name="ADP" tableColumnId="42"/>
      <queryTableField id="4" name="ENTIT" tableColumnId="43"/>
      <queryTableField id="5" name="ENT125" tableColumnId="44"/>
      <queryTableField id="6" name="AWD" tableColumnId="45"/>
      <queryTableField id="7" name="AWD125" tableColumnId="46"/>
      <queryTableField id="8" name="PROGRVW" tableColumnId="47"/>
      <queryTableField id="9" name="PROG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40"/>
      <queryTableField id="2" name="NBRINV" tableColumnId="41"/>
      <queryTableField id="3" name="ADP" tableColumnId="42"/>
      <queryTableField id="4" name="ENTIT" tableColumnId="43"/>
      <queryTableField id="5" name="ENTIT125" tableColumnId="44"/>
      <queryTableField id="6" name="AWD" tableColumnId="45"/>
      <queryTableField id="7" name="AWD125" tableColumnId="46"/>
      <queryTableField id="8" name="PROGRVW" tableColumnId="47"/>
      <queryTableField id="9" name="PROGRVW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40"/>
      <queryTableField id="2" name="NBRINV" tableColumnId="41"/>
      <queryTableField id="3" name="ADP" tableColumnId="42"/>
      <queryTableField id="4" name="ENTIT" tableColumnId="43"/>
      <queryTableField id="5" name="ENT125" tableColumnId="44"/>
      <queryTableField id="6" name="AWD" tableColumnId="45"/>
      <queryTableField id="7" name="AWD125" tableColumnId="46"/>
      <queryTableField id="8" name="PROGRVW" tableColumnId="47"/>
      <queryTableField id="9" name="PROG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40"/>
      <queryTableField id="2" name="NBRINV" tableColumnId="41"/>
      <queryTableField id="3" name="ADP" tableColumnId="42"/>
      <queryTableField id="4" name="ENTIT" tableColumnId="43"/>
      <queryTableField id="5" name="ENTIT125" tableColumnId="44"/>
      <queryTableField id="6" name="AWD" tableColumnId="45"/>
      <queryTableField id="7" name="AWD125" tableColumnId="46"/>
      <queryTableField id="8" name="PROGRVW" tableColumnId="47"/>
      <queryTableField id="9" name="PROGRVW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40"/>
      <queryTableField id="2" name="NBRINV" tableColumnId="41"/>
      <queryTableField id="3" name="ADP" tableColumnId="42"/>
      <queryTableField id="4" name="ENTIT" tableColumnId="43"/>
      <queryTableField id="5" name="ENTIT125" tableColumnId="44"/>
      <queryTableField id="6" name="AWD" tableColumnId="45"/>
      <queryTableField id="7" name="AWD125" tableColumnId="46"/>
      <queryTableField id="8" name="PROGRVW" tableColumnId="47"/>
      <queryTableField id="9" name="PROGRVW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40"/>
      <queryTableField id="2" name="NBRINV" tableColumnId="41"/>
      <queryTableField id="3" name="ADP" tableColumnId="42"/>
      <queryTableField id="4" name="ENTIT" tableColumnId="43"/>
      <queryTableField id="5" name="ENT125" tableColumnId="44"/>
      <queryTableField id="6" name="AWD" tableColumnId="45"/>
      <queryTableField id="7" name="AWD125" tableColumnId="46"/>
      <queryTableField id="8" name="PROGRVW" tableColumnId="47"/>
      <queryTableField id="9" name="PROG125" tableColumnId="48"/>
      <queryTableField id="10" name="OTH" tableColumnId="49"/>
      <queryTableField id="11" name="OTH125" tableColumnId="50"/>
      <queryTableField id="12" name="BUR" tableColumnId="51"/>
      <queryTableField id="13" name="ACC" tableColumnId="52"/>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49"/>
      <queryTableField id="2" name="DIST_TYP" tableColumnId="50"/>
      <queryTableField id="3" name="SOO_INVENTORY" tableColumnId="51"/>
      <queryTableField id="4" name="SOO_BL_INVENTORY" tableColumnId="52"/>
      <queryTableField id="5" name="SOO_ADP" tableColumnId="53"/>
      <queryTableField id="6" name="SOO_PRODUCTION_FYTD" tableColumnId="54"/>
      <queryTableField id="7" name="SOO_PRODUCTION_MTD" tableColumnId="55"/>
      <queryTableField id="8" name="SOO_ADC_FYTD" tableColumnId="56"/>
      <queryTableField id="9" name="SOO_ADC_MTD" tableColumnId="57"/>
      <queryTableField id="10" name="SOJ_INVENTORY" tableColumnId="58"/>
      <queryTableField id="11" name="SOJ_BL_INVENTORY" tableColumnId="59"/>
      <queryTableField id="12" name="SOJ_ADP" tableColumnId="60"/>
      <queryTableField id="13" name="SOJ_PRODUCTION_FYTD" tableColumnId="61"/>
      <queryTableField id="14" name="SOJ_PRODUCTION_MTD" tableColumnId="62"/>
      <queryTableField id="15" name="SOJ_ADC_FYTD" tableColumnId="63"/>
      <queryTableField id="16" name="SOJ_ADC_MTD" tableColumnId="6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0" uniqueName="10" name="MMWR_TRAD_AGG_NATIONAL" queryTableFieldId="1"/>
    <tableColumn id="11" uniqueName="11" name="CNT" queryTableFieldId="2"/>
    <tableColumn id="12" uniqueName="12"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31" uniqueName="31" name="MMWR_RATING_STATE_ROLLUP_VSC" queryTableFieldId="1"/>
    <tableColumn id="32" uniqueName="32" name="STATE_DISTRICT_SM" queryTableFieldId="2"/>
    <tableColumn id="33" uniqueName="33" name="STATE_SM" queryTableFieldId="3"/>
    <tableColumn id="34" uniqueName="34" name="STATE_INVENTORY" queryTableFieldId="4"/>
    <tableColumn id="35" uniqueName="35" name="STATE_BL_INVENTORY" queryTableFieldId="5"/>
    <tableColumn id="36" uniqueName="36" name="STATE_ADP" queryTableFieldId="6"/>
    <tableColumn id="37" uniqueName="37" name="STATE_PRODUCTION_FYTD" queryTableFieldId="7"/>
    <tableColumn id="38" uniqueName="38" name="STATE_PRODUCTION_MTD" queryTableFieldId="8"/>
    <tableColumn id="39" uniqueName="39" name="STATE_ADC_FYTD" queryTableFieldId="9"/>
    <tableColumn id="40" uniqueName="4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31" uniqueName="31" name="MMWR_RATING_STATE_ROLLUP_PMC" queryTableFieldId="1"/>
    <tableColumn id="32" uniqueName="32" name="STATE_DISTRICT_SM" queryTableFieldId="2"/>
    <tableColumn id="33" uniqueName="33" name="STATE_SM" queryTableFieldId="3"/>
    <tableColumn id="34" uniqueName="34" name="STATE_INVENTORY" queryTableFieldId="4"/>
    <tableColumn id="35" uniqueName="35" name="STATE_BL_INVENTORY" queryTableFieldId="5"/>
    <tableColumn id="36" uniqueName="36" name="STATE_ADP" queryTableFieldId="6"/>
    <tableColumn id="37" uniqueName="37" name="STATE_PRODUCTION_FYTD" queryTableFieldId="7"/>
    <tableColumn id="38" uniqueName="38" name="STATE_PRODUCTION_MTD" queryTableFieldId="8"/>
    <tableColumn id="39" uniqueName="39" name="STATE_ADC_FYTD" queryTableFieldId="9"/>
    <tableColumn id="40" uniqueName="4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6" tableType="queryTable" totalsRowShown="0">
  <autoFilter ref="CW2:DF66"/>
  <tableColumns count="10">
    <tableColumn id="31" uniqueName="31" name="MMWR_RATING_STATE_ROLLUP_QST" queryTableFieldId="1"/>
    <tableColumn id="32" uniqueName="32" name="STATE_DISTRICT_SM" queryTableFieldId="2"/>
    <tableColumn id="33" uniqueName="33" name="STATE_SM" queryTableFieldId="3"/>
    <tableColumn id="34" uniqueName="34" name="STATE_INVENTORY" queryTableFieldId="4"/>
    <tableColumn id="35" uniqueName="35" name="STATE_BL_INVENTORY" queryTableFieldId="5"/>
    <tableColumn id="36" uniqueName="36" name="STATE_ADP" queryTableFieldId="6"/>
    <tableColumn id="37" uniqueName="37" name="STATE_PRODUCTION_FYTD" queryTableFieldId="7"/>
    <tableColumn id="38" uniqueName="38" name="STATE_PRODUCTION_MTD" queryTableFieldId="8"/>
    <tableColumn id="39" uniqueName="39" name="STATE_ADC_FYTD" queryTableFieldId="9"/>
    <tableColumn id="40" uniqueName="4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6" tableType="queryTable" totalsRowShown="0">
  <autoFilter ref="DH2:DQ66"/>
  <tableColumns count="10">
    <tableColumn id="31" uniqueName="31" name="MMWR_RATING_STATE_ROLLUP_BDD" queryTableFieldId="1"/>
    <tableColumn id="32" uniqueName="32" name="STATE_DISTRICT_SM" queryTableFieldId="2"/>
    <tableColumn id="33" uniqueName="33" name="STATE_SM" queryTableFieldId="3"/>
    <tableColumn id="34" uniqueName="34" name="STATE_INVENTORY" queryTableFieldId="4"/>
    <tableColumn id="35" uniqueName="35" name="STATE_BL_INVENTORY" queryTableFieldId="5"/>
    <tableColumn id="36" uniqueName="36" name="STATE_ADP" queryTableFieldId="6"/>
    <tableColumn id="37" uniqueName="37" name="STATE_PRODUCTION_FYTD" queryTableFieldId="7"/>
    <tableColumn id="38" uniqueName="38" name="STATE_PRODUCTION_MTD" queryTableFieldId="8"/>
    <tableColumn id="39" uniqueName="39" name="STATE_ADC_FYTD" queryTableFieldId="9"/>
    <tableColumn id="40" uniqueName="4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46" uniqueName="46" name="MMWR_ACCURACY_RO" queryTableFieldId="1"/>
    <tableColumn id="47" uniqueName="47" name="DEF_DIST" queryTableFieldId="2"/>
    <tableColumn id="48" uniqueName="48" name="RELEASE_DATE" queryTableFieldId="3" dataDxfId="15"/>
    <tableColumn id="49" uniqueName="49" name="RO" queryTableFieldId="4"/>
    <tableColumn id="50" uniqueName="50" name="COMP3_ISSUES_WGHTED_ACC" queryTableFieldId="5" dataDxfId="14"/>
    <tableColumn id="51" uniqueName="51" name="COMP3_RTNG_CLM_WGHTED_ACC" queryTableFieldId="6" dataDxfId="13"/>
    <tableColumn id="52" uniqueName="52" name="COMP12_RTNG_CLM_WGHTED_ACC" queryTableFieldId="7" dataDxfId="12"/>
    <tableColumn id="53" uniqueName="53" name="COMP12_RTNG_CLM_MOE" queryTableFieldId="8" dataDxfId="11"/>
    <tableColumn id="54" uniqueName="54" name="COMP12_AUTH_CLM_WGHTED_ACC" queryTableFieldId="9" dataDxfId="10"/>
    <tableColumn id="55" uniqueName="55" name="COMP12_AUTH_CLM_MOE" queryTableFieldId="10" dataDxfId="9"/>
    <tableColumn id="56" uniqueName="56" name="PMC3_RTNG_CLM_WGHTED_ACC" queryTableFieldId="11" dataDxfId="8"/>
    <tableColumn id="57" uniqueName="57" name="PMC12_RTNG_CLM_WGHTED_ACC" queryTableFieldId="12" dataDxfId="7"/>
    <tableColumn id="58" uniqueName="58" name="PMC12_RTNG_CLM_MOE" queryTableFieldId="13" dataDxfId="6"/>
    <tableColumn id="59" uniqueName="59" name="PMC12_AUTH_CLM_WGHTED_ACC" queryTableFieldId="14" dataDxfId="5"/>
    <tableColumn id="60" uniqueName="60"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43" uniqueName="43" name="MMWR_APP_STATE_COMP" queryTableFieldId="1"/>
    <tableColumn id="44" uniqueName="44" name="APPEALS_INVENTORY" queryTableFieldId="2"/>
    <tableColumn id="45" uniqueName="45" name="NOD_INVENTORY" queryTableFieldId="3"/>
    <tableColumn id="46" uniqueName="46" name="NOD_ADP" queryTableFieldId="4"/>
    <tableColumn id="47" uniqueName="47" name="SOC_INVENTORY" queryTableFieldId="5"/>
    <tableColumn id="48" uniqueName="48" name="SOC_ADP" queryTableFieldId="6"/>
    <tableColumn id="49" uniqueName="49" name="FORM9_INVENTORY" queryTableFieldId="7"/>
    <tableColumn id="50" uniqueName="50" name="FORM9_ADP" queryTableFieldId="8"/>
    <tableColumn id="51" uniqueName="51" name="RMND_AT_RO_INVENTORY" queryTableFieldId="9"/>
    <tableColumn id="52" uniqueName="52" name="RMND_AT_RO_ADP" queryTableFieldId="10"/>
    <tableColumn id="53" uniqueName="53" name="RMND_AT_AMC_INVENTORY" queryTableFieldId="11"/>
    <tableColumn id="54" uniqueName="54" name="RMND_AT_AMC_ADP" queryTableFieldId="12"/>
    <tableColumn id="55" uniqueName="55" name="RMND_TB_READY_INVENTORY" queryTableFieldId="13"/>
    <tableColumn id="56" uniqueName="56"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43" uniqueName="43" name="MMWR_APP_STATE_PEN" queryTableFieldId="1"/>
    <tableColumn id="44" uniqueName="44" name="APPEALS_INVENTORY" queryTableFieldId="2"/>
    <tableColumn id="45" uniqueName="45" name="NOD_INVENTORY" queryTableFieldId="3"/>
    <tableColumn id="46" uniqueName="46" name="NOD_ADP" queryTableFieldId="4"/>
    <tableColumn id="47" uniqueName="47" name="SOC_INVENTORY" queryTableFieldId="5"/>
    <tableColumn id="48" uniqueName="48" name="SOC_ADP" queryTableFieldId="6"/>
    <tableColumn id="49" uniqueName="49" name="FORM9_INVENTORY" queryTableFieldId="7"/>
    <tableColumn id="50" uniqueName="50" name="FORM9_ADP" queryTableFieldId="8"/>
    <tableColumn id="51" uniqueName="51" name="RMND_AT_RO_INVENTORY" queryTableFieldId="9"/>
    <tableColumn id="52" uniqueName="52" name="RMND_AT_RO_ADP" queryTableFieldId="10"/>
    <tableColumn id="53" uniqueName="53" name="RMND_AT_AMC_INVENTORY" queryTableFieldId="11"/>
    <tableColumn id="54" uniqueName="54" name="RMND_AT_AMC_ADP" queryTableFieldId="12"/>
    <tableColumn id="55" uniqueName="55" name="RMND_TB_READY_INVENTORY" queryTableFieldId="13"/>
    <tableColumn id="56" uniqueName="56"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43" uniqueName="43" name="MMWR_APP_RO" queryTableFieldId="1"/>
    <tableColumn id="44" uniqueName="44" name="APPEALS_INVENTORY" queryTableFieldId="2"/>
    <tableColumn id="45" uniqueName="45" name="NOD_INVENTORY" queryTableFieldId="3"/>
    <tableColumn id="46" uniqueName="46" name="NOD_ADP" queryTableFieldId="4"/>
    <tableColumn id="47" uniqueName="47" name="SOC_INVENTORY" queryTableFieldId="5"/>
    <tableColumn id="48" uniqueName="48" name="SOC_ADP" queryTableFieldId="6"/>
    <tableColumn id="49" uniqueName="49" name="FORM9_INVENTORY" queryTableFieldId="7"/>
    <tableColumn id="50" uniqueName="50" name="FORM9_ADP" queryTableFieldId="8"/>
    <tableColumn id="51" uniqueName="51" name="RMND_AT_RO_INVENTORY" queryTableFieldId="9"/>
    <tableColumn id="52" uniqueName="52" name="RMND_AT_RO_ADP" queryTableFieldId="10"/>
    <tableColumn id="53" uniqueName="53" name="RMND_AT_AMC_INVENTORY" queryTableFieldId="11"/>
    <tableColumn id="54" uniqueName="54" name="RMND_AT_AMC_ADP" queryTableFieldId="12"/>
    <tableColumn id="55" uniqueName="55" name="RMND_TB_READY_INVENTORY" queryTableFieldId="13"/>
    <tableColumn id="56" uniqueName="56"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0" uniqueName="10" name="TITLE" queryTableFieldId="1"/>
    <tableColumn id="11" uniqueName="11" name="INVENTORY" queryTableFieldId="2"/>
    <tableColumn id="12" uniqueName="12"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55" uniqueName="55" name="ID_ORD" queryTableFieldId="1"/>
    <tableColumn id="56" uniqueName="56" name="GEOGRAPHY_DIM_SID" queryTableFieldId="2"/>
    <tableColumn id="57" uniqueName="57" name="ID_RO" queryTableFieldId="3"/>
    <tableColumn id="58" uniqueName="58" name="DEF_RO" queryTableFieldId="4"/>
    <tableColumn id="59" uniqueName="59" name="ID_SPM" queryTableFieldId="5"/>
    <tableColumn id="60" uniqueName="60" name="DEF_SPM" queryTableFieldId="6"/>
    <tableColumn id="61" uniqueName="61" name="ID_AREA" queryTableFieldId="7"/>
    <tableColumn id="62" uniqueName="62" name="DEF_AREA" queryTableFieldId="8"/>
    <tableColumn id="63" uniqueName="63" name="AREA_NBR" queryTableFieldId="9"/>
    <tableColumn id="64" uniqueName="64" name="ID_DIST" queryTableFieldId="10"/>
    <tableColumn id="65" uniqueName="65" name="DEF_DIST" queryTableFieldId="11"/>
    <tableColumn id="66" uniqueName="66" name="LCTN_ID" queryTableFieldId="12"/>
    <tableColumn id="67" uniqueName="67" name="ID_STATE" queryTableFieldId="13"/>
    <tableColumn id="68" uniqueName="68" name="DEF_STATE" queryTableFieldId="14"/>
    <tableColumn id="69" uniqueName="69" name="KEY_RO" queryTableFieldId="15"/>
    <tableColumn id="70" uniqueName="70" name="KEY_SPM" queryTableFieldId="16"/>
    <tableColumn id="71" uniqueName="71" name="KEY_HL" queryTableFieldId="17"/>
    <tableColumn id="72" uniqueName="72"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40" uniqueName="40" name="MMWR_TRAD_AGG_RO_COMP" queryTableFieldId="1"/>
    <tableColumn id="41" uniqueName="41" name="NBRINV" queryTableFieldId="2"/>
    <tableColumn id="42" uniqueName="42" name="ADP" queryTableFieldId="3"/>
    <tableColumn id="43" uniqueName="43" name="ENTIT" queryTableFieldId="4"/>
    <tableColumn id="44" uniqueName="44" name="ENTIT125" queryTableFieldId="5"/>
    <tableColumn id="45" uniqueName="45" name="AWD" queryTableFieldId="6"/>
    <tableColumn id="46" uniqueName="46" name="AWD125" queryTableFieldId="7"/>
    <tableColumn id="47" uniqueName="47" name="PROGRVW" queryTableFieldId="8"/>
    <tableColumn id="48" uniqueName="48" name="PROGRVW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6" uniqueName="16" name="ST" queryTableFieldId="1"/>
    <tableColumn id="17" uniqueName="17" name="STATE" queryTableFieldId="2"/>
    <tableColumn id="18" uniqueName="18" name="STATE_OTHER" queryTableFieldId="3"/>
    <tableColumn id="19" uniqueName="19" name="AREA" queryTableFieldId="4"/>
    <tableColumn id="20" uniqueName="2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40" uniqueName="40" name="MMWR_TRAD_AGG_RO_PEN" queryTableFieldId="1"/>
    <tableColumn id="41" uniqueName="41" name="NBRINV" queryTableFieldId="2"/>
    <tableColumn id="42" uniqueName="42" name="ADP" queryTableFieldId="3"/>
    <tableColumn id="43" uniqueName="43" name="ENTIT" queryTableFieldId="4"/>
    <tableColumn id="44" uniqueName="44" name="ENT125" queryTableFieldId="5"/>
    <tableColumn id="45" uniqueName="45" name="AWD" queryTableFieldId="6"/>
    <tableColumn id="46" uniqueName="46" name="AWD125" queryTableFieldId="7"/>
    <tableColumn id="47" uniqueName="47" name="PROGRVW" queryTableFieldId="8"/>
    <tableColumn id="48" uniqueName="48" name="PROG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40" uniqueName="40" name="MMWR_TRAD_AGG_STATE_COMP" queryTableFieldId="1"/>
    <tableColumn id="41" uniqueName="41" name="NBRINV" queryTableFieldId="2"/>
    <tableColumn id="42" uniqueName="42" name="ADP" queryTableFieldId="3"/>
    <tableColumn id="43" uniqueName="43" name="ENTIT" queryTableFieldId="4"/>
    <tableColumn id="44" uniqueName="44" name="ENTIT125" queryTableFieldId="5"/>
    <tableColumn id="45" uniqueName="45" name="AWD" queryTableFieldId="6"/>
    <tableColumn id="46" uniqueName="46" name="AWD125" queryTableFieldId="7"/>
    <tableColumn id="47" uniqueName="47" name="PROGRVW" queryTableFieldId="8"/>
    <tableColumn id="48" uniqueName="48" name="PROGRVW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40" uniqueName="40" name="MMWR_TRAD_AGG_STATE_PEN" queryTableFieldId="1"/>
    <tableColumn id="41" uniqueName="41" name="NBRINV" queryTableFieldId="2"/>
    <tableColumn id="42" uniqueName="42" name="ADP" queryTableFieldId="3"/>
    <tableColumn id="43" uniqueName="43" name="ENTIT" queryTableFieldId="4"/>
    <tableColumn id="44" uniqueName="44" name="ENT125" queryTableFieldId="5"/>
    <tableColumn id="45" uniqueName="45" name="AWD" queryTableFieldId="6"/>
    <tableColumn id="46" uniqueName="46" name="AWD125" queryTableFieldId="7"/>
    <tableColumn id="47" uniqueName="47" name="PROGRVW" queryTableFieldId="8"/>
    <tableColumn id="48" uniqueName="48" name="PROG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40" uniqueName="40" name="MMWR_TRAD_AGG_DISTRICT_COMP" queryTableFieldId="1"/>
    <tableColumn id="41" uniqueName="41" name="NBRINV" queryTableFieldId="2"/>
    <tableColumn id="42" uniqueName="42" name="ADP" queryTableFieldId="3"/>
    <tableColumn id="43" uniqueName="43" name="ENTIT" queryTableFieldId="4"/>
    <tableColumn id="44" uniqueName="44" name="ENTIT125" queryTableFieldId="5"/>
    <tableColumn id="45" uniqueName="45" name="AWD" queryTableFieldId="6"/>
    <tableColumn id="46" uniqueName="46" name="AWD125" queryTableFieldId="7"/>
    <tableColumn id="47" uniqueName="47" name="PROGRVW" queryTableFieldId="8"/>
    <tableColumn id="48" uniqueName="48" name="PROGRVW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40" uniqueName="40" name="MMWR_TRAD_AGG_ST_DISTRICT_COMP" queryTableFieldId="1"/>
    <tableColumn id="41" uniqueName="41" name="NBRINV" queryTableFieldId="2"/>
    <tableColumn id="42" uniqueName="42" name="ADP" queryTableFieldId="3"/>
    <tableColumn id="43" uniqueName="43" name="ENTIT" queryTableFieldId="4"/>
    <tableColumn id="44" uniqueName="44" name="ENTIT125" queryTableFieldId="5"/>
    <tableColumn id="45" uniqueName="45" name="AWD" queryTableFieldId="6"/>
    <tableColumn id="46" uniqueName="46" name="AWD125" queryTableFieldId="7"/>
    <tableColumn id="47" uniqueName="47" name="PROGRVW" queryTableFieldId="8"/>
    <tableColumn id="48" uniqueName="48" name="PROGRVW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40" uniqueName="40" name="MMWR_TRAD_AGG_ST_DISTRICT_PEN" queryTableFieldId="1"/>
    <tableColumn id="41" uniqueName="41" name="NBRINV" queryTableFieldId="2"/>
    <tableColumn id="42" uniqueName="42" name="ADP" queryTableFieldId="3"/>
    <tableColumn id="43" uniqueName="43" name="ENTIT" queryTableFieldId="4"/>
    <tableColumn id="44" uniqueName="44" name="ENT125" queryTableFieldId="5"/>
    <tableColumn id="45" uniqueName="45" name="AWD" queryTableFieldId="6"/>
    <tableColumn id="46" uniqueName="46" name="AWD125" queryTableFieldId="7"/>
    <tableColumn id="47" uniqueName="47" name="PROGRVW" queryTableFieldId="8"/>
    <tableColumn id="48" uniqueName="48" name="PROG125" queryTableFieldId="9"/>
    <tableColumn id="49" uniqueName="49" name="OTH" queryTableFieldId="10"/>
    <tableColumn id="50" uniqueName="50" name="OTH125" queryTableFieldId="11"/>
    <tableColumn id="51" uniqueName="51" name="BUR" queryTableFieldId="12"/>
    <tableColumn id="52" uniqueName="52"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49" uniqueName="49" name="MMWR_RATING_RO_ROLLUP" queryTableFieldId="1"/>
    <tableColumn id="50" uniqueName="50" name="DIST_TYP" queryTableFieldId="2"/>
    <tableColumn id="51" uniqueName="51" name="SOO_INVENTORY" queryTableFieldId="3"/>
    <tableColumn id="52" uniqueName="52" name="SOO_BL_INVENTORY" queryTableFieldId="4"/>
    <tableColumn id="53" uniqueName="53" name="SOO_ADP" queryTableFieldId="5"/>
    <tableColumn id="54" uniqueName="54" name="SOO_PRODUCTION_FYTD" queryTableFieldId="6"/>
    <tableColumn id="55" uniqueName="55" name="SOO_PRODUCTION_MTD" queryTableFieldId="7"/>
    <tableColumn id="56" uniqueName="56" name="SOO_ADC_FYTD" queryTableFieldId="8"/>
    <tableColumn id="57" uniqueName="57" name="SOO_ADC_MTD" queryTableFieldId="9"/>
    <tableColumn id="58" uniqueName="58" name="SOJ_INVENTORY" queryTableFieldId="10"/>
    <tableColumn id="59" uniqueName="59" name="SOJ_BL_INVENTORY" queryTableFieldId="11"/>
    <tableColumn id="60" uniqueName="60" name="SOJ_ADP" queryTableFieldId="12"/>
    <tableColumn id="61" uniqueName="61" name="SOJ_PRODUCTION_FYTD" queryTableFieldId="13"/>
    <tableColumn id="62" uniqueName="62" name="SOJ_PRODUCTION_MTD" queryTableFieldId="14"/>
    <tableColumn id="63" uniqueName="63" name="SOJ_ADC_FYTD" queryTableFieldId="15"/>
    <tableColumn id="64" uniqueName="64"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309</v>
      </c>
      <c r="B1" s="275"/>
      <c r="C1" s="275"/>
      <c r="D1" s="275"/>
      <c r="E1" s="275"/>
      <c r="F1" s="275"/>
      <c r="G1" s="275"/>
      <c r="H1" s="275"/>
      <c r="I1" s="275"/>
      <c r="J1" s="275"/>
      <c r="K1" s="275"/>
      <c r="L1" s="275"/>
      <c r="M1" s="275"/>
      <c r="N1" s="275"/>
      <c r="O1" s="275"/>
      <c r="P1" s="276"/>
    </row>
    <row r="2" spans="1:16" ht="29.25" customHeight="1" x14ac:dyDescent="0.2">
      <c r="A2" s="268" t="s">
        <v>311</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307</v>
      </c>
      <c r="B8" s="266"/>
      <c r="C8" s="266"/>
      <c r="D8" s="266"/>
      <c r="E8" s="266"/>
      <c r="F8" s="266"/>
      <c r="G8" s="267"/>
      <c r="H8" s="265" t="s">
        <v>308</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1056</v>
      </c>
      <c r="C2" t="s">
        <v>509</v>
      </c>
      <c r="D2" t="s">
        <v>925</v>
      </c>
      <c r="E2" t="s">
        <v>926</v>
      </c>
      <c r="F2" t="s">
        <v>927</v>
      </c>
      <c r="G2" t="s">
        <v>928</v>
      </c>
      <c r="H2" t="s">
        <v>930</v>
      </c>
      <c r="I2" t="s">
        <v>1050</v>
      </c>
      <c r="J2" t="s">
        <v>931</v>
      </c>
      <c r="K2" t="s">
        <v>932</v>
      </c>
      <c r="L2" t="s">
        <v>929</v>
      </c>
      <c r="M2" t="s">
        <v>934</v>
      </c>
      <c r="N2" t="s">
        <v>935</v>
      </c>
      <c r="O2" t="s">
        <v>936</v>
      </c>
      <c r="P2" t="s">
        <v>937</v>
      </c>
    </row>
    <row r="3" spans="2:16" x14ac:dyDescent="0.2">
      <c r="B3" t="s">
        <v>593</v>
      </c>
      <c r="C3" t="s">
        <v>411</v>
      </c>
      <c r="D3" s="18">
        <v>42264.529374999998</v>
      </c>
      <c r="E3" t="s">
        <v>169</v>
      </c>
      <c r="F3" s="19">
        <v>0.97451259407044455</v>
      </c>
      <c r="G3" s="19">
        <v>0.89350251317886475</v>
      </c>
      <c r="H3" s="19">
        <v>0.90170531267695597</v>
      </c>
      <c r="I3" s="19">
        <v>4.7308012989205964E-2</v>
      </c>
      <c r="J3" s="19">
        <v>0.93942775103295273</v>
      </c>
      <c r="K3" s="19">
        <v>3.5451532024109868E-2</v>
      </c>
      <c r="L3" s="19"/>
      <c r="M3" s="19"/>
      <c r="N3" s="19"/>
      <c r="O3" s="19"/>
      <c r="P3" s="19"/>
    </row>
    <row r="4" spans="2:16" x14ac:dyDescent="0.2">
      <c r="B4" t="s">
        <v>652</v>
      </c>
      <c r="C4" t="s">
        <v>411</v>
      </c>
      <c r="D4" s="18">
        <v>42264.529374999998</v>
      </c>
      <c r="E4" t="s">
        <v>194</v>
      </c>
      <c r="F4" s="19">
        <v>0.86421433928996716</v>
      </c>
      <c r="G4" s="19">
        <v>0.85311229496705454</v>
      </c>
      <c r="H4" s="19">
        <v>0.86918776578723145</v>
      </c>
      <c r="I4" s="19">
        <v>4.7630981322871052E-2</v>
      </c>
      <c r="J4" s="19">
        <v>0.94321759272761663</v>
      </c>
      <c r="K4" s="19">
        <v>3.4927279991864353E-2</v>
      </c>
      <c r="L4" s="19"/>
      <c r="M4" s="19"/>
      <c r="N4" s="19"/>
      <c r="O4" s="19"/>
      <c r="P4" s="19"/>
    </row>
    <row r="5" spans="2:16" x14ac:dyDescent="0.2">
      <c r="B5" t="s">
        <v>546</v>
      </c>
      <c r="C5" t="s">
        <v>387</v>
      </c>
      <c r="D5" s="18">
        <v>42264.529374999998</v>
      </c>
      <c r="E5" t="s">
        <v>151</v>
      </c>
      <c r="F5" s="19">
        <v>0.96131538970761654</v>
      </c>
      <c r="G5" s="19">
        <v>0.86017056810867576</v>
      </c>
      <c r="H5" s="19">
        <v>0.89921632132111506</v>
      </c>
      <c r="I5" s="19">
        <v>4.3657751396860289E-2</v>
      </c>
      <c r="J5" s="19">
        <v>0.83797821599828648</v>
      </c>
      <c r="K5" s="19">
        <v>5.2172084507133863E-2</v>
      </c>
      <c r="L5" s="19"/>
      <c r="M5" s="19"/>
      <c r="N5" s="19"/>
      <c r="O5" s="19"/>
      <c r="P5" s="19"/>
    </row>
    <row r="6" spans="2:16" x14ac:dyDescent="0.2">
      <c r="B6" t="s">
        <v>540</v>
      </c>
      <c r="C6" t="s">
        <v>376</v>
      </c>
      <c r="D6" s="18">
        <v>42264.529374999998</v>
      </c>
      <c r="E6" t="s">
        <v>149</v>
      </c>
      <c r="F6" s="19">
        <v>0.94848971413170813</v>
      </c>
      <c r="G6" s="19">
        <v>0.81051553268534404</v>
      </c>
      <c r="H6" s="19">
        <v>0.83324962708019168</v>
      </c>
      <c r="I6" s="19">
        <v>4.8290081345219706E-2</v>
      </c>
      <c r="J6" s="19">
        <v>0.84338225152880331</v>
      </c>
      <c r="K6" s="19">
        <v>5.365842347724744E-2</v>
      </c>
      <c r="L6" s="19"/>
      <c r="M6" s="19"/>
      <c r="N6" s="19"/>
      <c r="O6" s="19"/>
      <c r="P6" s="19"/>
    </row>
    <row r="7" spans="2:16" x14ac:dyDescent="0.2">
      <c r="B7" t="s">
        <v>608</v>
      </c>
      <c r="C7" t="s">
        <v>411</v>
      </c>
      <c r="D7" s="18">
        <v>42264.529374999998</v>
      </c>
      <c r="E7" t="s">
        <v>175</v>
      </c>
      <c r="F7" s="19">
        <v>0.98286472051283624</v>
      </c>
      <c r="G7" s="19">
        <v>0.9248257372654155</v>
      </c>
      <c r="H7" s="19">
        <v>0.92016678551620312</v>
      </c>
      <c r="I7" s="19">
        <v>4.6545719975794736E-2</v>
      </c>
      <c r="J7" s="19">
        <v>0.97068777486168256</v>
      </c>
      <c r="K7" s="19">
        <v>2.635344026174323E-2</v>
      </c>
      <c r="L7" s="19"/>
      <c r="M7" s="19"/>
      <c r="N7" s="19"/>
      <c r="O7" s="19"/>
      <c r="P7" s="19"/>
    </row>
    <row r="8" spans="2:16" x14ac:dyDescent="0.2">
      <c r="B8" t="s">
        <v>519</v>
      </c>
      <c r="C8" t="s">
        <v>376</v>
      </c>
      <c r="D8" s="18">
        <v>42264.529374999998</v>
      </c>
      <c r="E8" t="s">
        <v>142</v>
      </c>
      <c r="F8" s="19">
        <v>0.86809564584887078</v>
      </c>
      <c r="G8" s="19">
        <v>0.75807019603239822</v>
      </c>
      <c r="H8" s="19">
        <v>0.83051908217150094</v>
      </c>
      <c r="I8" s="19">
        <v>5.7853653568502139E-2</v>
      </c>
      <c r="J8" s="19">
        <v>0.9009942095054968</v>
      </c>
      <c r="K8" s="19">
        <v>5.588256051773989E-2</v>
      </c>
      <c r="L8" s="19"/>
      <c r="M8" s="19"/>
      <c r="N8" s="19"/>
      <c r="O8" s="19"/>
      <c r="P8" s="19"/>
    </row>
    <row r="9" spans="2:16" x14ac:dyDescent="0.2">
      <c r="B9" t="s">
        <v>527</v>
      </c>
      <c r="C9" t="s">
        <v>376</v>
      </c>
      <c r="D9" s="18">
        <v>42264.529374999998</v>
      </c>
      <c r="E9" t="s">
        <v>145</v>
      </c>
      <c r="F9" s="19">
        <v>0.95347640889941976</v>
      </c>
      <c r="G9" s="19">
        <v>0.85593254528583529</v>
      </c>
      <c r="H9" s="19">
        <v>0.88603611226754297</v>
      </c>
      <c r="I9" s="19">
        <v>4.7189400750131651E-2</v>
      </c>
      <c r="J9" s="19">
        <v>0.88386871550414847</v>
      </c>
      <c r="K9" s="19">
        <v>4.4963005748574363E-2</v>
      </c>
      <c r="L9" s="19"/>
      <c r="M9" s="19"/>
      <c r="N9" s="19"/>
      <c r="O9" s="19"/>
      <c r="P9" s="19"/>
    </row>
    <row r="10" spans="2:16" x14ac:dyDescent="0.2">
      <c r="B10" t="s">
        <v>644</v>
      </c>
      <c r="C10" t="s">
        <v>392</v>
      </c>
      <c r="D10" s="18">
        <v>42264.529374999998</v>
      </c>
      <c r="E10" t="s">
        <v>680</v>
      </c>
      <c r="F10" s="19">
        <v>0.96640129220643611</v>
      </c>
      <c r="G10" s="19">
        <v>0.85064799642484734</v>
      </c>
      <c r="H10" s="19">
        <v>0.86689712650362694</v>
      </c>
      <c r="I10" s="19">
        <v>5.3474236049866446E-2</v>
      </c>
      <c r="J10" s="19">
        <v>0.94528352618305855</v>
      </c>
      <c r="K10" s="19">
        <v>3.1542854696820014E-2</v>
      </c>
      <c r="L10" s="19"/>
      <c r="M10" s="19"/>
      <c r="N10" s="19"/>
      <c r="O10" s="19"/>
      <c r="P10" s="19"/>
    </row>
    <row r="11" spans="2:16" x14ac:dyDescent="0.2">
      <c r="B11" t="s">
        <v>574</v>
      </c>
      <c r="C11" t="s">
        <v>397</v>
      </c>
      <c r="D11" s="18">
        <v>42264.529374999998</v>
      </c>
      <c r="E11" t="s">
        <v>161</v>
      </c>
      <c r="F11" s="19">
        <v>0.93537310586687183</v>
      </c>
      <c r="G11" s="19">
        <v>0.86998835570264144</v>
      </c>
      <c r="H11" s="19">
        <v>0.8834651037175747</v>
      </c>
      <c r="I11" s="19">
        <v>4.4663540865191254E-2</v>
      </c>
      <c r="J11" s="19">
        <v>0.84913991045118808</v>
      </c>
      <c r="K11" s="19">
        <v>5.2372043630710866E-2</v>
      </c>
      <c r="L11" s="254"/>
      <c r="M11" s="254"/>
      <c r="N11" s="254"/>
      <c r="O11" s="254"/>
      <c r="P11" s="254"/>
    </row>
    <row r="12" spans="2:16" x14ac:dyDescent="0.2">
      <c r="B12" t="s">
        <v>566</v>
      </c>
      <c r="C12" t="s">
        <v>397</v>
      </c>
      <c r="D12" s="18">
        <v>42264.529374999998</v>
      </c>
      <c r="E12" t="s">
        <v>158</v>
      </c>
      <c r="F12" s="19">
        <v>0.97330503436079119</v>
      </c>
      <c r="G12" s="19">
        <v>0.90064456721915287</v>
      </c>
      <c r="H12" s="19">
        <v>0.93612561284032936</v>
      </c>
      <c r="I12" s="19">
        <v>3.6830070131558867E-2</v>
      </c>
      <c r="J12" s="19">
        <v>0.88711911645075792</v>
      </c>
      <c r="K12" s="19">
        <v>5.3966556826567355E-2</v>
      </c>
      <c r="L12" s="19"/>
      <c r="M12" s="19"/>
      <c r="N12" s="19"/>
      <c r="O12" s="19"/>
      <c r="P12" s="19"/>
    </row>
    <row r="13" spans="2:16" x14ac:dyDescent="0.2">
      <c r="B13" t="s">
        <v>554</v>
      </c>
      <c r="C13" t="s">
        <v>387</v>
      </c>
      <c r="D13" s="18">
        <v>42264.529374999998</v>
      </c>
      <c r="E13" t="s">
        <v>154</v>
      </c>
      <c r="F13" s="19">
        <v>0.99349869751994058</v>
      </c>
      <c r="G13" s="19">
        <v>0.96544030891343979</v>
      </c>
      <c r="H13" s="19">
        <v>0.9465631416900453</v>
      </c>
      <c r="I13" s="19">
        <v>4.2122343347994758E-2</v>
      </c>
      <c r="J13" s="19">
        <v>0.94523538376757454</v>
      </c>
      <c r="K13" s="19">
        <v>3.8398443962053296E-2</v>
      </c>
      <c r="L13" s="19"/>
      <c r="M13" s="19"/>
      <c r="N13" s="19"/>
      <c r="O13" s="19"/>
      <c r="P13" s="19"/>
    </row>
    <row r="14" spans="2:16" x14ac:dyDescent="0.2">
      <c r="B14" t="s">
        <v>392</v>
      </c>
      <c r="C14" t="s">
        <v>392</v>
      </c>
      <c r="D14" s="18">
        <v>42264.529374999998</v>
      </c>
      <c r="E14" t="s">
        <v>671</v>
      </c>
      <c r="F14" s="19">
        <v>0.96080521958205112</v>
      </c>
      <c r="G14" s="19">
        <v>0.88181373048102363</v>
      </c>
      <c r="H14" s="19">
        <v>0.91278815689131454</v>
      </c>
      <c r="I14" s="19">
        <v>1.5710370856840045E-2</v>
      </c>
      <c r="J14" s="19">
        <v>0.93373324239788258</v>
      </c>
      <c r="K14" s="19">
        <v>1.5990206009962406E-2</v>
      </c>
      <c r="L14" s="19"/>
      <c r="M14" s="19"/>
      <c r="N14" s="19"/>
      <c r="O14" s="19"/>
      <c r="P14" s="19"/>
    </row>
    <row r="15" spans="2:16" x14ac:dyDescent="0.2">
      <c r="B15" t="s">
        <v>591</v>
      </c>
      <c r="C15" t="s">
        <v>392</v>
      </c>
      <c r="D15" s="18">
        <v>42264.529374999998</v>
      </c>
      <c r="E15" t="s">
        <v>168</v>
      </c>
      <c r="F15" s="19">
        <v>0.97007642777294778</v>
      </c>
      <c r="G15" s="19">
        <v>0.87972545953561854</v>
      </c>
      <c r="H15" s="19">
        <v>0.92889710123122438</v>
      </c>
      <c r="I15" s="19">
        <v>4.0095950494880551E-2</v>
      </c>
      <c r="J15" s="19">
        <v>0.92517424854270902</v>
      </c>
      <c r="K15" s="19">
        <v>4.0318865815105055E-2</v>
      </c>
      <c r="L15" s="19"/>
      <c r="M15" s="19"/>
      <c r="N15" s="19"/>
      <c r="O15" s="19"/>
      <c r="P15" s="19"/>
    </row>
    <row r="16" spans="2:16" x14ac:dyDescent="0.2">
      <c r="B16" t="s">
        <v>583</v>
      </c>
      <c r="C16" t="s">
        <v>397</v>
      </c>
      <c r="D16" s="18">
        <v>42264.529374999998</v>
      </c>
      <c r="E16" t="s">
        <v>165</v>
      </c>
      <c r="F16" s="19">
        <v>0.99263432542889463</v>
      </c>
      <c r="G16" s="19">
        <v>1</v>
      </c>
      <c r="H16" s="19">
        <v>0.98200741847976536</v>
      </c>
      <c r="I16" s="19">
        <v>1.6027546802010236E-2</v>
      </c>
      <c r="J16" s="19">
        <v>0.97627150045460775</v>
      </c>
      <c r="K16" s="19">
        <v>2.0918914650465369E-2</v>
      </c>
      <c r="L16" s="254"/>
      <c r="M16" s="254"/>
      <c r="N16" s="254"/>
      <c r="O16" s="254"/>
      <c r="P16" s="254"/>
    </row>
    <row r="17" spans="2:16" x14ac:dyDescent="0.2">
      <c r="B17" t="s">
        <v>576</v>
      </c>
      <c r="C17" t="s">
        <v>397</v>
      </c>
      <c r="D17" s="18">
        <v>42264.529374999998</v>
      </c>
      <c r="E17" t="s">
        <v>162</v>
      </c>
      <c r="F17" s="19">
        <v>0.96187451418936876</v>
      </c>
      <c r="G17" s="19">
        <v>0.89387536268449608</v>
      </c>
      <c r="H17" s="19">
        <v>0.89124772434735344</v>
      </c>
      <c r="I17" s="19">
        <v>4.3973792053137471E-2</v>
      </c>
      <c r="J17" s="19">
        <v>0.8976361590082057</v>
      </c>
      <c r="K17" s="19">
        <v>4.7808604626766282E-2</v>
      </c>
      <c r="L17" s="19"/>
      <c r="M17" s="19"/>
      <c r="N17" s="19"/>
      <c r="O17" s="19"/>
      <c r="P17" s="19"/>
    </row>
    <row r="18" spans="2:16" x14ac:dyDescent="0.2">
      <c r="B18" t="s">
        <v>640</v>
      </c>
      <c r="C18" t="s">
        <v>397</v>
      </c>
      <c r="D18" s="18">
        <v>42264.529374999998</v>
      </c>
      <c r="E18" t="s">
        <v>189</v>
      </c>
      <c r="F18" s="19">
        <v>0.97586877953850437</v>
      </c>
      <c r="G18" s="19">
        <v>0.90131878126421094</v>
      </c>
      <c r="H18" s="19">
        <v>0.95496835476479058</v>
      </c>
      <c r="I18" s="19">
        <v>3.3470114767565985E-2</v>
      </c>
      <c r="J18" s="19">
        <v>0.96568194306979005</v>
      </c>
      <c r="K18" s="19">
        <v>2.8173336967409101E-2</v>
      </c>
      <c r="L18" s="19"/>
      <c r="M18" s="19"/>
      <c r="N18" s="19"/>
      <c r="O18" s="19"/>
      <c r="P18" s="19"/>
    </row>
    <row r="19" spans="2:16" x14ac:dyDescent="0.2">
      <c r="B19" t="s">
        <v>638</v>
      </c>
      <c r="C19" t="s">
        <v>392</v>
      </c>
      <c r="D19" s="18">
        <v>42264.529374999998</v>
      </c>
      <c r="E19" t="s">
        <v>188</v>
      </c>
      <c r="F19" s="19">
        <v>0.96405070305465113</v>
      </c>
      <c r="G19" s="19">
        <v>0.8710299340436326</v>
      </c>
      <c r="H19" s="19">
        <v>0.91799109654196731</v>
      </c>
      <c r="I19" s="19">
        <v>4.7038502124687583E-2</v>
      </c>
      <c r="J19" s="19">
        <v>0.96379004215441777</v>
      </c>
      <c r="K19" s="19">
        <v>2.6012727888333986E-2</v>
      </c>
      <c r="L19" s="19"/>
      <c r="M19" s="19"/>
      <c r="N19" s="19"/>
      <c r="O19" s="19"/>
      <c r="P19" s="19"/>
    </row>
    <row r="20" spans="2:16" x14ac:dyDescent="0.2">
      <c r="B20" t="s">
        <v>529</v>
      </c>
      <c r="C20" t="s">
        <v>376</v>
      </c>
      <c r="D20" s="18">
        <v>42264.529374999998</v>
      </c>
      <c r="E20" t="s">
        <v>146</v>
      </c>
      <c r="F20" s="19">
        <v>0.94957430903608731</v>
      </c>
      <c r="G20" s="19">
        <v>0.84864864864864875</v>
      </c>
      <c r="H20" s="19">
        <v>0.91445426890472381</v>
      </c>
      <c r="I20" s="19">
        <v>4.4264182063287263E-2</v>
      </c>
      <c r="J20" s="19">
        <v>0.98450809545484108</v>
      </c>
      <c r="K20" s="19">
        <v>1.9352567533817505E-2</v>
      </c>
      <c r="L20" s="19"/>
      <c r="M20" s="19"/>
      <c r="N20" s="19"/>
      <c r="O20" s="19"/>
      <c r="P20" s="19"/>
    </row>
    <row r="21" spans="2:16" x14ac:dyDescent="0.2">
      <c r="B21" t="s">
        <v>648</v>
      </c>
      <c r="C21" t="s">
        <v>411</v>
      </c>
      <c r="D21" s="18">
        <v>42264.529374999998</v>
      </c>
      <c r="E21" t="s">
        <v>192</v>
      </c>
      <c r="F21" s="19">
        <v>0.96206480334832956</v>
      </c>
      <c r="G21" s="19">
        <v>0.84994192799070878</v>
      </c>
      <c r="H21" s="19">
        <v>0.88682491576153455</v>
      </c>
      <c r="I21" s="19">
        <v>4.5912442378926527E-2</v>
      </c>
      <c r="J21" s="19">
        <v>0.94962282780410734</v>
      </c>
      <c r="K21" s="19">
        <v>3.9406993727264424E-2</v>
      </c>
      <c r="L21" s="19"/>
      <c r="M21" s="19"/>
      <c r="N21" s="19"/>
      <c r="O21" s="19"/>
      <c r="P21" s="19"/>
    </row>
    <row r="22" spans="2:16" x14ac:dyDescent="0.2">
      <c r="B22" t="s">
        <v>626</v>
      </c>
      <c r="C22" t="s">
        <v>392</v>
      </c>
      <c r="D22" s="18">
        <v>42264.529374999998</v>
      </c>
      <c r="E22" t="s">
        <v>183</v>
      </c>
      <c r="F22" s="19">
        <v>0.95146057533943751</v>
      </c>
      <c r="G22" s="19">
        <v>0.85842549601255347</v>
      </c>
      <c r="H22" s="19">
        <v>0.89294998998814445</v>
      </c>
      <c r="I22" s="19">
        <v>4.0436616752015479E-2</v>
      </c>
      <c r="J22" s="19">
        <v>0.90915960667305251</v>
      </c>
      <c r="K22" s="19">
        <v>4.6216261200958043E-2</v>
      </c>
      <c r="L22" s="19"/>
      <c r="M22" s="19"/>
      <c r="N22" s="19"/>
      <c r="O22" s="19"/>
      <c r="P22" s="19"/>
    </row>
    <row r="23" spans="2:16" x14ac:dyDescent="0.2">
      <c r="B23" t="s">
        <v>544</v>
      </c>
      <c r="C23" t="s">
        <v>376</v>
      </c>
      <c r="D23" s="18">
        <v>42264.529374999998</v>
      </c>
      <c r="E23" t="s">
        <v>150</v>
      </c>
      <c r="F23" s="19">
        <v>0.92705238972070947</v>
      </c>
      <c r="G23" s="19">
        <v>0.83964880952380971</v>
      </c>
      <c r="H23" s="19">
        <v>0.897261413005362</v>
      </c>
      <c r="I23" s="19">
        <v>4.3730700715829872E-2</v>
      </c>
      <c r="J23" s="19">
        <v>0.90983668876273982</v>
      </c>
      <c r="K23" s="19">
        <v>4.6903178248512416E-2</v>
      </c>
      <c r="L23" s="19"/>
      <c r="M23" s="19"/>
      <c r="N23" s="19"/>
      <c r="O23" s="19"/>
      <c r="P23" s="19"/>
    </row>
    <row r="24" spans="2:16" x14ac:dyDescent="0.2">
      <c r="B24" t="s">
        <v>568</v>
      </c>
      <c r="C24" t="s">
        <v>397</v>
      </c>
      <c r="D24" s="18">
        <v>42264.529374999998</v>
      </c>
      <c r="E24" t="s">
        <v>159</v>
      </c>
      <c r="F24" s="19">
        <v>0.98313467497440099</v>
      </c>
      <c r="G24" s="19">
        <v>0.92587363219202257</v>
      </c>
      <c r="H24" s="19">
        <v>0.92424211099624776</v>
      </c>
      <c r="I24" s="19">
        <v>3.8415889766509108E-2</v>
      </c>
      <c r="J24" s="19">
        <v>0.95028355197538661</v>
      </c>
      <c r="K24" s="19">
        <v>2.8199956701695186E-2</v>
      </c>
      <c r="L24" s="19"/>
      <c r="M24" s="19"/>
      <c r="N24" s="19"/>
      <c r="O24" s="19"/>
      <c r="P24" s="19"/>
    </row>
    <row r="25" spans="2:16" x14ac:dyDescent="0.2">
      <c r="B25" t="s">
        <v>562</v>
      </c>
      <c r="C25" t="s">
        <v>392</v>
      </c>
      <c r="D25" s="18">
        <v>42264.529374999998</v>
      </c>
      <c r="E25" t="s">
        <v>157</v>
      </c>
      <c r="F25" s="19">
        <v>0.94686292864388044</v>
      </c>
      <c r="G25" s="19">
        <v>0.79475476345721963</v>
      </c>
      <c r="H25" s="19">
        <v>0.90070957507868887</v>
      </c>
      <c r="I25" s="19">
        <v>4.0400553976484094E-2</v>
      </c>
      <c r="J25" s="19">
        <v>0.88448345838448883</v>
      </c>
      <c r="K25" s="19">
        <v>5.0673013777452029E-2</v>
      </c>
      <c r="L25" s="19"/>
      <c r="M25" s="19"/>
      <c r="N25" s="19"/>
      <c r="O25" s="19"/>
      <c r="P25" s="19"/>
    </row>
    <row r="26" spans="2:16" x14ac:dyDescent="0.2">
      <c r="B26" t="s">
        <v>585</v>
      </c>
      <c r="C26" t="s">
        <v>397</v>
      </c>
      <c r="D26" s="18">
        <v>42264.529374999998</v>
      </c>
      <c r="E26" t="s">
        <v>166</v>
      </c>
      <c r="F26" s="19">
        <v>1</v>
      </c>
      <c r="G26" s="19">
        <v>1</v>
      </c>
      <c r="H26" s="19">
        <v>0.97681859694054818</v>
      </c>
      <c r="I26" s="19">
        <v>2.5446899112169276E-2</v>
      </c>
      <c r="J26" s="19">
        <v>0.96793856554967661</v>
      </c>
      <c r="K26" s="19">
        <v>3.1349259725104585E-2</v>
      </c>
      <c r="L26" s="19"/>
      <c r="M26" s="19"/>
      <c r="N26" s="19"/>
      <c r="O26" s="19"/>
      <c r="P26" s="19"/>
    </row>
    <row r="27" spans="2:16" x14ac:dyDescent="0.2">
      <c r="B27" t="s">
        <v>614</v>
      </c>
      <c r="C27" t="s">
        <v>392</v>
      </c>
      <c r="D27" s="18">
        <v>42264.529374999998</v>
      </c>
      <c r="E27" t="s">
        <v>178</v>
      </c>
      <c r="F27" s="19">
        <v>0.96441910971037825</v>
      </c>
      <c r="G27" s="19">
        <v>0.89642567018683994</v>
      </c>
      <c r="H27" s="19">
        <v>0.90070110651095137</v>
      </c>
      <c r="I27" s="19">
        <v>4.7237748915268017E-2</v>
      </c>
      <c r="J27" s="19">
        <v>0.92764510529968514</v>
      </c>
      <c r="K27" s="19">
        <v>4.7583030593253355E-2</v>
      </c>
      <c r="L27" s="19"/>
      <c r="M27" s="19"/>
      <c r="N27" s="19"/>
      <c r="O27" s="19"/>
      <c r="P27" s="19"/>
    </row>
    <row r="28" spans="2:16" x14ac:dyDescent="0.2">
      <c r="B28" t="s">
        <v>600</v>
      </c>
      <c r="C28" t="s">
        <v>411</v>
      </c>
      <c r="D28" s="18">
        <v>42264.529374999998</v>
      </c>
      <c r="E28" t="s">
        <v>172</v>
      </c>
      <c r="F28" s="19">
        <v>0.90202187443631099</v>
      </c>
      <c r="G28" s="19">
        <v>0.84888502399827426</v>
      </c>
      <c r="H28" s="19">
        <v>0.87019553744679401</v>
      </c>
      <c r="I28" s="19">
        <v>4.7954328128424352E-2</v>
      </c>
      <c r="J28" s="19">
        <v>0.89992837007114246</v>
      </c>
      <c r="K28" s="19">
        <v>4.6105903120077729E-2</v>
      </c>
      <c r="L28" s="19"/>
      <c r="M28" s="19"/>
      <c r="N28" s="19"/>
      <c r="O28" s="19"/>
      <c r="P28" s="19"/>
    </row>
    <row r="29" spans="2:16" x14ac:dyDescent="0.2">
      <c r="B29" t="s">
        <v>570</v>
      </c>
      <c r="C29" t="s">
        <v>387</v>
      </c>
      <c r="D29" s="18">
        <v>42264.529374999998</v>
      </c>
      <c r="E29" t="s">
        <v>160</v>
      </c>
      <c r="F29" s="19">
        <v>0.97233856816598607</v>
      </c>
      <c r="G29" s="19">
        <v>0.91334809084065616</v>
      </c>
      <c r="H29" s="19">
        <v>0.91921735557428708</v>
      </c>
      <c r="I29" s="19">
        <v>4.2134766283520551E-2</v>
      </c>
      <c r="J29" s="19">
        <v>0.92383688277149401</v>
      </c>
      <c r="K29" s="19">
        <v>3.4880429189098831E-2</v>
      </c>
      <c r="L29" s="19"/>
      <c r="M29" s="19"/>
      <c r="N29" s="19"/>
      <c r="O29" s="19"/>
      <c r="P29" s="19"/>
    </row>
    <row r="30" spans="2:16" x14ac:dyDescent="0.2">
      <c r="B30" t="s">
        <v>629</v>
      </c>
      <c r="C30" t="s">
        <v>376</v>
      </c>
      <c r="D30" s="18">
        <v>42264.529374999998</v>
      </c>
      <c r="E30" t="s">
        <v>184</v>
      </c>
      <c r="F30" s="19">
        <v>0.97817487015258753</v>
      </c>
      <c r="G30" s="19">
        <v>0.96179998216515061</v>
      </c>
      <c r="H30" s="19">
        <v>0.91674856993204445</v>
      </c>
      <c r="I30" s="19">
        <v>3.9221948038425866E-2</v>
      </c>
      <c r="J30" s="19">
        <v>0.94409539311296276</v>
      </c>
      <c r="K30" s="19">
        <v>2.9968566142803254E-2</v>
      </c>
      <c r="L30" s="19"/>
      <c r="M30" s="19"/>
      <c r="N30" s="19"/>
      <c r="O30" s="19"/>
      <c r="P30" s="19"/>
    </row>
    <row r="31" spans="2:16" x14ac:dyDescent="0.2">
      <c r="B31" t="s">
        <v>622</v>
      </c>
      <c r="C31" t="s">
        <v>411</v>
      </c>
      <c r="D31" s="18">
        <v>42264.529374999998</v>
      </c>
      <c r="E31" t="s">
        <v>182</v>
      </c>
      <c r="F31" s="19">
        <v>0.95827892718479746</v>
      </c>
      <c r="G31" s="19">
        <v>0.94554484370435299</v>
      </c>
      <c r="H31" s="19">
        <v>0.9497466135316307</v>
      </c>
      <c r="I31" s="19">
        <v>3.6812859786819557E-2</v>
      </c>
      <c r="J31" s="19">
        <v>0.96484906717911756</v>
      </c>
      <c r="K31" s="19">
        <v>2.7493306722278989E-2</v>
      </c>
      <c r="L31" s="19"/>
      <c r="M31" s="19"/>
      <c r="N31" s="19"/>
      <c r="O31" s="19"/>
      <c r="P31" s="19"/>
    </row>
    <row r="32" spans="2:16" x14ac:dyDescent="0.2">
      <c r="B32" t="s">
        <v>397</v>
      </c>
      <c r="C32" t="s">
        <v>397</v>
      </c>
      <c r="D32" s="18">
        <v>42264.529374999998</v>
      </c>
      <c r="E32" t="s">
        <v>670</v>
      </c>
      <c r="F32" s="19">
        <v>0.97150630000541283</v>
      </c>
      <c r="G32" s="19">
        <v>0.92303353364941698</v>
      </c>
      <c r="H32" s="19">
        <v>0.93031880076561324</v>
      </c>
      <c r="I32" s="19">
        <v>1.2545540769932514E-2</v>
      </c>
      <c r="J32" s="19">
        <v>0.90525075622669737</v>
      </c>
      <c r="K32" s="19">
        <v>2.0875320791274205E-2</v>
      </c>
      <c r="L32" s="19"/>
      <c r="M32" s="19"/>
      <c r="N32" s="19"/>
      <c r="O32" s="19"/>
      <c r="P32" s="19"/>
    </row>
    <row r="33" spans="2:16" x14ac:dyDescent="0.2">
      <c r="B33" t="s">
        <v>215</v>
      </c>
      <c r="C33" t="s">
        <v>397</v>
      </c>
      <c r="D33" s="18">
        <v>42264.529374999998</v>
      </c>
      <c r="E33" t="s">
        <v>163</v>
      </c>
      <c r="F33" s="19">
        <v>0.99318727138587526</v>
      </c>
      <c r="G33" s="19">
        <v>1</v>
      </c>
      <c r="H33" s="19">
        <v>0.96697611825656937</v>
      </c>
      <c r="I33" s="19">
        <v>3.1818960466582953E-2</v>
      </c>
      <c r="J33" s="19">
        <v>0.92490059085776588</v>
      </c>
      <c r="K33" s="19">
        <v>4.90567615709184E-2</v>
      </c>
      <c r="L33" s="19">
        <v>0.91427933013453755</v>
      </c>
      <c r="M33" s="19">
        <v>0.94397517283711296</v>
      </c>
      <c r="N33" s="19">
        <v>3.5545985256554079E-2</v>
      </c>
      <c r="O33" s="19">
        <v>0.98944157871517291</v>
      </c>
      <c r="P33" s="19">
        <v>1.3096480252679754E-2</v>
      </c>
    </row>
    <row r="34" spans="2:16" x14ac:dyDescent="0.2">
      <c r="B34" t="s">
        <v>578</v>
      </c>
      <c r="C34" t="s">
        <v>397</v>
      </c>
      <c r="D34" s="18">
        <v>42264.529374999998</v>
      </c>
      <c r="E34" t="s">
        <v>163</v>
      </c>
      <c r="F34" s="19">
        <v>0.99318727138587526</v>
      </c>
      <c r="G34" s="19">
        <v>1</v>
      </c>
      <c r="H34" s="19">
        <v>0.96697611825656937</v>
      </c>
      <c r="I34" s="19">
        <v>3.1818960466582953E-2</v>
      </c>
      <c r="J34" s="19">
        <v>0.92490059085776588</v>
      </c>
      <c r="K34" s="19">
        <v>4.90567615709184E-2</v>
      </c>
      <c r="L34" s="19">
        <v>0.91427933013453755</v>
      </c>
      <c r="M34" s="19">
        <v>0.94397517283711296</v>
      </c>
      <c r="N34" s="19">
        <v>3.5545985256554079E-2</v>
      </c>
      <c r="O34" s="19">
        <v>0.98944157871517291</v>
      </c>
      <c r="P34" s="19">
        <v>1.3096480252679754E-2</v>
      </c>
    </row>
    <row r="35" spans="2:16" x14ac:dyDescent="0.2">
      <c r="B35" t="s">
        <v>560</v>
      </c>
      <c r="C35" t="s">
        <v>387</v>
      </c>
      <c r="D35" s="18">
        <v>42264.529374999998</v>
      </c>
      <c r="E35" t="s">
        <v>156</v>
      </c>
      <c r="F35" s="19">
        <v>0.9453300335911522</v>
      </c>
      <c r="G35" s="19">
        <v>0.86335771289443686</v>
      </c>
      <c r="H35" s="19">
        <v>0.90767504861570625</v>
      </c>
      <c r="I35" s="19">
        <v>4.0436617693905816E-2</v>
      </c>
      <c r="J35" s="19">
        <v>0.92120886115320588</v>
      </c>
      <c r="K35" s="19">
        <v>3.6361256935794943E-2</v>
      </c>
      <c r="L35" s="19"/>
      <c r="M35" s="19"/>
      <c r="N35" s="19"/>
      <c r="O35" s="19"/>
      <c r="P35" s="19"/>
    </row>
    <row r="36" spans="2:16" x14ac:dyDescent="0.2">
      <c r="B36" t="s">
        <v>616</v>
      </c>
      <c r="C36" t="s">
        <v>392</v>
      </c>
      <c r="D36" s="18">
        <v>42264.529374999998</v>
      </c>
      <c r="E36" t="s">
        <v>179</v>
      </c>
      <c r="F36" s="19">
        <v>0.95999357406043928</v>
      </c>
      <c r="G36" s="19">
        <v>0.89823345259391774</v>
      </c>
      <c r="H36" s="19">
        <v>0.92736183050893817</v>
      </c>
      <c r="I36" s="19">
        <v>4.741840153844365E-2</v>
      </c>
      <c r="J36" s="19">
        <v>0.96641782055708025</v>
      </c>
      <c r="K36" s="19">
        <v>3.4873659816392927E-2</v>
      </c>
      <c r="L36" s="19"/>
      <c r="M36" s="19"/>
      <c r="N36" s="19"/>
      <c r="O36" s="19"/>
      <c r="P36" s="19"/>
    </row>
    <row r="37" spans="2:16" x14ac:dyDescent="0.2">
      <c r="B37" t="s">
        <v>556</v>
      </c>
      <c r="C37" t="s">
        <v>387</v>
      </c>
      <c r="D37" s="18">
        <v>42264.529374999998</v>
      </c>
      <c r="E37" t="s">
        <v>94</v>
      </c>
      <c r="F37" s="19">
        <v>0.97892132189362313</v>
      </c>
      <c r="G37" s="19">
        <v>0.95067527891955383</v>
      </c>
      <c r="H37" s="19">
        <v>0.92880116645536759</v>
      </c>
      <c r="I37" s="19">
        <v>3.6693968406235913E-2</v>
      </c>
      <c r="J37" s="19">
        <v>0.93706662408113028</v>
      </c>
      <c r="K37" s="19">
        <v>3.7202450443988865E-2</v>
      </c>
      <c r="L37" s="19"/>
      <c r="M37" s="19"/>
      <c r="N37" s="19"/>
      <c r="O37" s="19"/>
      <c r="P37" s="19"/>
    </row>
    <row r="38" spans="2:16" x14ac:dyDescent="0.2">
      <c r="B38" t="s">
        <v>558</v>
      </c>
      <c r="C38" t="s">
        <v>392</v>
      </c>
      <c r="D38" s="18">
        <v>42264.529374999998</v>
      </c>
      <c r="E38" t="s">
        <v>155</v>
      </c>
      <c r="F38" s="19">
        <v>0.92566174440835758</v>
      </c>
      <c r="G38" s="19">
        <v>0.92500406702456484</v>
      </c>
      <c r="H38" s="19">
        <v>0.9208266682291818</v>
      </c>
      <c r="I38" s="19">
        <v>4.1836532020163943E-2</v>
      </c>
      <c r="J38" s="19">
        <v>0.94551750528378775</v>
      </c>
      <c r="K38" s="19">
        <v>3.3297171545615498E-2</v>
      </c>
      <c r="L38" s="19"/>
      <c r="M38" s="19"/>
      <c r="N38" s="19"/>
      <c r="O38" s="19"/>
      <c r="P38" s="19"/>
    </row>
    <row r="39" spans="2:16" x14ac:dyDescent="0.2">
      <c r="B39" t="s">
        <v>525</v>
      </c>
      <c r="C39" t="s">
        <v>376</v>
      </c>
      <c r="D39" s="18">
        <v>42264.529374999998</v>
      </c>
      <c r="E39" t="s">
        <v>144</v>
      </c>
      <c r="F39" s="19">
        <v>0.94720431172667174</v>
      </c>
      <c r="G39" s="19">
        <v>0.93088561589510344</v>
      </c>
      <c r="H39" s="19">
        <v>0.92043271045637287</v>
      </c>
      <c r="I39" s="19">
        <v>4.2089169272360533E-2</v>
      </c>
      <c r="J39" s="19">
        <v>0.90720876302990494</v>
      </c>
      <c r="K39" s="19">
        <v>4.5337460631108467E-2</v>
      </c>
      <c r="L39" s="19"/>
      <c r="M39" s="19"/>
      <c r="N39" s="19"/>
      <c r="O39" s="19"/>
      <c r="P39" s="19"/>
    </row>
    <row r="40" spans="2:16" x14ac:dyDescent="0.2">
      <c r="B40" t="s">
        <v>531</v>
      </c>
      <c r="C40" t="s">
        <v>376</v>
      </c>
      <c r="D40" s="18">
        <v>42264.529374999998</v>
      </c>
      <c r="E40" t="s">
        <v>147</v>
      </c>
      <c r="F40" s="19">
        <v>0.9686831972356329</v>
      </c>
      <c r="G40" s="19">
        <v>0.92343857422391462</v>
      </c>
      <c r="H40" s="19">
        <v>0.88745641472847447</v>
      </c>
      <c r="I40" s="19">
        <v>4.2277160648820103E-2</v>
      </c>
      <c r="J40" s="19">
        <v>0.88563274354596055</v>
      </c>
      <c r="K40" s="19">
        <v>3.8629279170776909E-2</v>
      </c>
      <c r="L40" s="19"/>
      <c r="M40" s="19"/>
      <c r="N40" s="19"/>
      <c r="O40" s="19"/>
      <c r="P40" s="19"/>
    </row>
    <row r="41" spans="2:16" x14ac:dyDescent="0.2">
      <c r="B41" t="s">
        <v>376</v>
      </c>
      <c r="C41" t="s">
        <v>376</v>
      </c>
      <c r="D41" s="18">
        <v>42264.529374999998</v>
      </c>
      <c r="E41" t="s">
        <v>669</v>
      </c>
      <c r="F41" s="19">
        <v>0.95566149543916568</v>
      </c>
      <c r="G41" s="19">
        <v>0.87261636065690129</v>
      </c>
      <c r="H41" s="19">
        <v>0.87970467698610177</v>
      </c>
      <c r="I41" s="19">
        <v>1.5909832645357155E-2</v>
      </c>
      <c r="J41" s="19">
        <v>0.90187379843879556</v>
      </c>
      <c r="K41" s="19">
        <v>1.4862588137023919E-2</v>
      </c>
      <c r="L41" s="19"/>
      <c r="M41" s="19"/>
      <c r="N41" s="19"/>
      <c r="O41" s="19"/>
      <c r="P41" s="19"/>
    </row>
    <row r="42" spans="2:16" x14ac:dyDescent="0.2">
      <c r="B42" t="s">
        <v>598</v>
      </c>
      <c r="C42" t="s">
        <v>411</v>
      </c>
      <c r="D42" s="18">
        <v>42264.529374999998</v>
      </c>
      <c r="E42" t="s">
        <v>171</v>
      </c>
      <c r="F42" s="19">
        <v>0.94537390385378539</v>
      </c>
      <c r="G42" s="19">
        <v>0.8842907590309308</v>
      </c>
      <c r="H42" s="19">
        <v>0.93213363389021098</v>
      </c>
      <c r="I42" s="19">
        <v>3.5092762052327232E-2</v>
      </c>
      <c r="J42" s="19">
        <v>0.88950572689601759</v>
      </c>
      <c r="K42" s="19">
        <v>5.4590154743603986E-2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411</v>
      </c>
      <c r="C44" t="s">
        <v>411</v>
      </c>
      <c r="D44" s="18">
        <v>42264.529374999998</v>
      </c>
      <c r="E44" t="s">
        <v>672</v>
      </c>
      <c r="F44" s="19">
        <v>0.95596725745311673</v>
      </c>
      <c r="G44" s="19">
        <v>0.87668422686286651</v>
      </c>
      <c r="H44" s="19">
        <v>0.90885356752194013</v>
      </c>
      <c r="I44" s="19">
        <v>1.5562038179903511E-2</v>
      </c>
      <c r="J44" s="19">
        <v>0.93326211655371916</v>
      </c>
      <c r="K44" s="19">
        <v>1.5237938750872289E-2</v>
      </c>
      <c r="L44" s="19"/>
      <c r="M44" s="19"/>
      <c r="N44" s="19"/>
      <c r="O44" s="19"/>
      <c r="P44" s="19"/>
    </row>
    <row r="45" spans="2:16" x14ac:dyDescent="0.2">
      <c r="B45" t="s">
        <v>216</v>
      </c>
      <c r="C45" t="s">
        <v>376</v>
      </c>
      <c r="D45" s="18">
        <v>42264.529374999998</v>
      </c>
      <c r="E45" t="s">
        <v>102</v>
      </c>
      <c r="F45" s="19">
        <v>0.94152928425324545</v>
      </c>
      <c r="G45" s="19">
        <v>0.86798344947735184</v>
      </c>
      <c r="H45" s="19">
        <v>0.86358372645198767</v>
      </c>
      <c r="I45" s="19">
        <v>4.9358215277094504E-2</v>
      </c>
      <c r="J45" s="19">
        <v>0.89958478313619794</v>
      </c>
      <c r="K45" s="19">
        <v>4.9315787865483143E-2</v>
      </c>
      <c r="L45" s="19">
        <v>0.88511880843312152</v>
      </c>
      <c r="M45" s="19">
        <v>0.95065478863082864</v>
      </c>
      <c r="N45" s="19">
        <v>3.6478520423184835E-2</v>
      </c>
      <c r="O45" s="19">
        <v>0.92815943607499451</v>
      </c>
      <c r="P45" s="19">
        <v>4.6405181586036973E-2</v>
      </c>
    </row>
    <row r="46" spans="2:16" x14ac:dyDescent="0.2">
      <c r="B46" t="s">
        <v>533</v>
      </c>
      <c r="C46" t="s">
        <v>376</v>
      </c>
      <c r="D46" s="18">
        <v>42264.529374999998</v>
      </c>
      <c r="E46" t="s">
        <v>102</v>
      </c>
      <c r="F46" s="19">
        <v>0.94152928425324545</v>
      </c>
      <c r="G46" s="19">
        <v>0.86798344947735184</v>
      </c>
      <c r="H46" s="19">
        <v>0.86358372645198767</v>
      </c>
      <c r="I46" s="19">
        <v>4.9358215277094504E-2</v>
      </c>
      <c r="J46" s="19">
        <v>0.89958478313619794</v>
      </c>
      <c r="K46" s="19">
        <v>4.9315787865483143E-2</v>
      </c>
      <c r="L46" s="19">
        <v>0.88511880843312152</v>
      </c>
      <c r="M46" s="19">
        <v>0.95065478863082864</v>
      </c>
      <c r="N46" s="19">
        <v>3.6478520423184835E-2</v>
      </c>
      <c r="O46" s="19">
        <v>0.92815943607499451</v>
      </c>
      <c r="P46" s="19">
        <v>4.6405181586036973E-2</v>
      </c>
    </row>
    <row r="47" spans="2:16" x14ac:dyDescent="0.2">
      <c r="B47" t="s">
        <v>602</v>
      </c>
      <c r="C47" t="s">
        <v>411</v>
      </c>
      <c r="D47" s="18">
        <v>42264.529374999998</v>
      </c>
      <c r="E47" t="s">
        <v>173</v>
      </c>
      <c r="F47" s="19">
        <v>0.89353762168271322</v>
      </c>
      <c r="G47" s="19">
        <v>0.82907810082254263</v>
      </c>
      <c r="H47" s="19">
        <v>0.91218210846311776</v>
      </c>
      <c r="I47" s="19">
        <v>4.5818613713029491E-2</v>
      </c>
      <c r="J47" s="19">
        <v>0.93924902201162308</v>
      </c>
      <c r="K47" s="19">
        <v>3.6742928777630864E-2</v>
      </c>
      <c r="L47" s="19"/>
      <c r="M47" s="19"/>
      <c r="N47" s="19"/>
      <c r="O47" s="19"/>
      <c r="P47" s="19"/>
    </row>
    <row r="48" spans="2:16" x14ac:dyDescent="0.2">
      <c r="B48" t="s">
        <v>536</v>
      </c>
      <c r="C48" t="s">
        <v>376</v>
      </c>
      <c r="D48" s="18">
        <v>42264.529374999998</v>
      </c>
      <c r="E48" t="s">
        <v>148</v>
      </c>
      <c r="F48" s="19">
        <v>0.9751261715933669</v>
      </c>
      <c r="G48" s="19">
        <v>0.89840078477893881</v>
      </c>
      <c r="H48" s="19">
        <v>0.90400027862764498</v>
      </c>
      <c r="I48" s="19">
        <v>4.5121010978512642E-2</v>
      </c>
      <c r="J48" s="19">
        <v>0.93871099098682609</v>
      </c>
      <c r="K48" s="19">
        <v>3.8666913302825921E-2</v>
      </c>
      <c r="L48" s="19"/>
      <c r="M48" s="19"/>
      <c r="N48" s="19"/>
      <c r="O48" s="19"/>
      <c r="P48" s="19"/>
    </row>
    <row r="49" spans="2:16" x14ac:dyDescent="0.2">
      <c r="B49" t="s">
        <v>610</v>
      </c>
      <c r="C49" t="s">
        <v>411</v>
      </c>
      <c r="D49" s="18">
        <v>42264.529374999998</v>
      </c>
      <c r="E49" t="s">
        <v>176</v>
      </c>
      <c r="F49" s="19">
        <v>0.9270626733064129</v>
      </c>
      <c r="G49" s="19">
        <v>0.87530931257166988</v>
      </c>
      <c r="H49" s="19">
        <v>0.93620561624874499</v>
      </c>
      <c r="I49" s="19">
        <v>3.8887479954024258E-2</v>
      </c>
      <c r="J49" s="19">
        <v>0.95411781608064006</v>
      </c>
      <c r="K49" s="19">
        <v>3.4344654307347469E-2</v>
      </c>
      <c r="L49" s="19"/>
      <c r="M49" s="19"/>
      <c r="N49" s="19"/>
      <c r="O49" s="19"/>
      <c r="P49" s="19"/>
    </row>
    <row r="50" spans="2:16" x14ac:dyDescent="0.2">
      <c r="B50" t="s">
        <v>521</v>
      </c>
      <c r="C50" t="s">
        <v>376</v>
      </c>
      <c r="D50" s="18">
        <v>42264.529374999998</v>
      </c>
      <c r="E50" t="s">
        <v>143</v>
      </c>
      <c r="F50" s="19">
        <v>0.98294063067450343</v>
      </c>
      <c r="G50" s="19">
        <v>0.90013659505774246</v>
      </c>
      <c r="H50" s="19">
        <v>0.87172499949266591</v>
      </c>
      <c r="I50" s="19">
        <v>5.660738120402186E-2</v>
      </c>
      <c r="J50" s="19">
        <v>0.96295738056515856</v>
      </c>
      <c r="K50" s="19">
        <v>3.0092477871072134E-2</v>
      </c>
      <c r="L50" s="19"/>
      <c r="M50" s="19"/>
      <c r="N50" s="19"/>
      <c r="O50" s="19"/>
      <c r="P50" s="19"/>
    </row>
    <row r="51" spans="2:16" x14ac:dyDescent="0.2">
      <c r="B51" t="s">
        <v>618</v>
      </c>
      <c r="C51" t="s">
        <v>411</v>
      </c>
      <c r="D51" s="18">
        <v>42264.529374999998</v>
      </c>
      <c r="E51" t="s">
        <v>180</v>
      </c>
      <c r="F51" s="19">
        <v>0.95993471897372151</v>
      </c>
      <c r="G51" s="19">
        <v>0.92656481025135529</v>
      </c>
      <c r="H51" s="19">
        <v>0.91695168791843495</v>
      </c>
      <c r="I51" s="19">
        <v>4.3660315099704194E-2</v>
      </c>
      <c r="J51" s="19">
        <v>0.94998995663394259</v>
      </c>
      <c r="K51" s="19">
        <v>3.0538630108327212E-2</v>
      </c>
      <c r="L51" s="19"/>
      <c r="M51" s="19"/>
      <c r="N51" s="19"/>
      <c r="O51" s="19"/>
      <c r="P51" s="19"/>
    </row>
    <row r="52" spans="2:16" x14ac:dyDescent="0.2">
      <c r="B52" t="s">
        <v>542</v>
      </c>
      <c r="C52" t="s">
        <v>376</v>
      </c>
      <c r="D52" s="18">
        <v>42264.529374999998</v>
      </c>
      <c r="E52" t="s">
        <v>108</v>
      </c>
      <c r="F52" s="19">
        <v>0.9881386775279567</v>
      </c>
      <c r="G52" s="19">
        <v>0.97290374764087351</v>
      </c>
      <c r="H52" s="19">
        <v>0.93109257343487339</v>
      </c>
      <c r="I52" s="19">
        <v>4.1570018073601958E-2</v>
      </c>
      <c r="J52" s="19">
        <v>0.94451749280406772</v>
      </c>
      <c r="K52" s="19">
        <v>3.6971007636318873E-2</v>
      </c>
      <c r="L52" s="19"/>
      <c r="M52" s="19"/>
      <c r="N52" s="19"/>
      <c r="O52" s="19"/>
      <c r="P52" s="19"/>
    </row>
    <row r="53" spans="2:16" x14ac:dyDescent="0.2">
      <c r="B53" t="s">
        <v>595</v>
      </c>
      <c r="C53" t="s">
        <v>392</v>
      </c>
      <c r="D53" s="18">
        <v>42264.529374999998</v>
      </c>
      <c r="E53" t="s">
        <v>170</v>
      </c>
      <c r="F53" s="19">
        <v>0.95045947476155246</v>
      </c>
      <c r="G53" s="19">
        <v>0.8273037666630344</v>
      </c>
      <c r="H53" s="19">
        <v>0.8849225427229741</v>
      </c>
      <c r="I53" s="19">
        <v>4.4866546808419866E-2</v>
      </c>
      <c r="J53" s="19">
        <v>0.94680464460292357</v>
      </c>
      <c r="K53" s="19">
        <v>3.5629328878068661E-2</v>
      </c>
      <c r="L53" s="254"/>
      <c r="M53" s="254"/>
      <c r="N53" s="254"/>
      <c r="O53" s="254"/>
      <c r="P53" s="254"/>
    </row>
    <row r="54" spans="2:16" x14ac:dyDescent="0.2">
      <c r="B54" t="s">
        <v>631</v>
      </c>
      <c r="C54" t="s">
        <v>411</v>
      </c>
      <c r="D54" s="18">
        <v>42264.529374999998</v>
      </c>
      <c r="E54" t="s">
        <v>185</v>
      </c>
      <c r="F54" s="19">
        <v>0.98134364613564162</v>
      </c>
      <c r="G54" s="19">
        <v>0.8644367122341583</v>
      </c>
      <c r="H54" s="19">
        <v>0.88800678402223776</v>
      </c>
      <c r="I54" s="19">
        <v>4.2001633188807334E-2</v>
      </c>
      <c r="J54" s="19">
        <v>0.93465212475191151</v>
      </c>
      <c r="K54" s="19">
        <v>4.2816238681588743E-2</v>
      </c>
      <c r="L54" s="19"/>
      <c r="M54" s="19"/>
      <c r="N54" s="19"/>
      <c r="O54" s="19"/>
      <c r="P54" s="19"/>
    </row>
    <row r="55" spans="2:16" x14ac:dyDescent="0.2">
      <c r="B55" t="s">
        <v>620</v>
      </c>
      <c r="C55" t="s">
        <v>387</v>
      </c>
      <c r="D55" s="18">
        <v>42264.529374999998</v>
      </c>
      <c r="E55" t="s">
        <v>181</v>
      </c>
      <c r="F55" s="19">
        <v>0.92942645238883759</v>
      </c>
      <c r="G55" s="19">
        <v>0.78046574889468734</v>
      </c>
      <c r="H55" s="19">
        <v>0.86606173940518572</v>
      </c>
      <c r="I55" s="19">
        <v>4.9455095654523544E-2</v>
      </c>
      <c r="J55" s="19">
        <v>0.89187878012009292</v>
      </c>
      <c r="K55" s="19">
        <v>4.9938611659351866E-2</v>
      </c>
      <c r="L55" s="19"/>
      <c r="M55" s="19"/>
      <c r="N55" s="19"/>
      <c r="O55" s="19"/>
      <c r="P55" s="19"/>
    </row>
    <row r="56" spans="2:16" x14ac:dyDescent="0.2">
      <c r="B56" t="s">
        <v>604</v>
      </c>
      <c r="C56" t="s">
        <v>411</v>
      </c>
      <c r="D56" s="18">
        <v>42264.529374999998</v>
      </c>
      <c r="E56" t="s">
        <v>174</v>
      </c>
      <c r="F56" s="19">
        <v>0.97275503919356077</v>
      </c>
      <c r="G56" s="19">
        <v>0.9004308259765389</v>
      </c>
      <c r="H56" s="19">
        <v>0.92050565173773546</v>
      </c>
      <c r="I56" s="19">
        <v>3.8760975598489365E-2</v>
      </c>
      <c r="J56" s="19">
        <v>0.93757362484595874</v>
      </c>
      <c r="K56" s="19">
        <v>4.1408888108761414E-2</v>
      </c>
      <c r="L56" s="19"/>
      <c r="M56" s="19"/>
      <c r="N56" s="19"/>
      <c r="O56" s="19"/>
      <c r="P56" s="19"/>
    </row>
    <row r="57" spans="2:16" x14ac:dyDescent="0.2">
      <c r="B57" t="s">
        <v>642</v>
      </c>
      <c r="C57" t="s">
        <v>397</v>
      </c>
      <c r="D57" s="18">
        <v>42264.529374999998</v>
      </c>
      <c r="E57" t="s">
        <v>190</v>
      </c>
      <c r="F57" s="19">
        <v>0.93970811856942549</v>
      </c>
      <c r="G57" s="19">
        <v>0.84630390143737177</v>
      </c>
      <c r="H57" s="19">
        <v>0.95146402391087681</v>
      </c>
      <c r="I57" s="19">
        <v>3.3012931147248355E-2</v>
      </c>
      <c r="J57" s="19">
        <v>0.94742014725487889</v>
      </c>
      <c r="K57" s="19">
        <v>3.1366444767413244E-2</v>
      </c>
      <c r="L57" s="19"/>
      <c r="M57" s="19"/>
      <c r="N57" s="19"/>
      <c r="O57" s="19"/>
      <c r="P57" s="19"/>
    </row>
    <row r="58" spans="2:16" x14ac:dyDescent="0.2">
      <c r="B58" t="s">
        <v>387</v>
      </c>
      <c r="C58" t="s">
        <v>387</v>
      </c>
      <c r="D58" s="18">
        <v>42264.529374999998</v>
      </c>
      <c r="E58" t="s">
        <v>668</v>
      </c>
      <c r="F58" s="19">
        <v>0.95800362558178198</v>
      </c>
      <c r="G58" s="19">
        <v>0.90042726196941092</v>
      </c>
      <c r="H58" s="19">
        <v>0.90867606904593201</v>
      </c>
      <c r="I58" s="19">
        <v>1.9166700282557941E-2</v>
      </c>
      <c r="J58" s="19">
        <v>0.8951811380402952</v>
      </c>
      <c r="K58" s="19">
        <v>2.5860005685144714E-2</v>
      </c>
      <c r="L58" s="19"/>
      <c r="M58" s="19"/>
      <c r="N58" s="19"/>
      <c r="O58" s="19"/>
      <c r="P58" s="19"/>
    </row>
    <row r="59" spans="2:16" x14ac:dyDescent="0.2">
      <c r="B59" t="s">
        <v>581</v>
      </c>
      <c r="C59" t="s">
        <v>397</v>
      </c>
      <c r="D59" s="18">
        <v>42264.529374999998</v>
      </c>
      <c r="E59" t="s">
        <v>164</v>
      </c>
      <c r="F59" s="19">
        <v>0.95787774805164594</v>
      </c>
      <c r="G59" s="19">
        <v>0.88446761800219553</v>
      </c>
      <c r="H59" s="19">
        <v>0.91162084698995149</v>
      </c>
      <c r="I59" s="19">
        <v>4.2156385157443597E-2</v>
      </c>
      <c r="J59" s="19">
        <v>0.85566052104762202</v>
      </c>
      <c r="K59" s="19">
        <v>5.3389001472957248E-2</v>
      </c>
      <c r="L59" s="19"/>
      <c r="M59" s="19"/>
      <c r="N59" s="19"/>
      <c r="O59" s="19"/>
      <c r="P59" s="19"/>
    </row>
    <row r="60" spans="2:16" x14ac:dyDescent="0.2">
      <c r="B60" t="s">
        <v>218</v>
      </c>
      <c r="C60" t="s">
        <v>397</v>
      </c>
      <c r="D60" s="18">
        <v>42264.529374999998</v>
      </c>
      <c r="E60" t="s">
        <v>167</v>
      </c>
      <c r="F60" s="19">
        <v>0.96225825809233967</v>
      </c>
      <c r="G60" s="19">
        <v>0.91081906899884624</v>
      </c>
      <c r="H60" s="19">
        <v>0.9197613439453558</v>
      </c>
      <c r="I60" s="19">
        <v>4.027676719809669E-2</v>
      </c>
      <c r="J60" s="19">
        <v>0.86974124783574103</v>
      </c>
      <c r="K60" s="19">
        <v>6.4696241172075661E-2</v>
      </c>
      <c r="L60" s="19">
        <v>1</v>
      </c>
      <c r="M60" s="19">
        <v>0.99193593620838205</v>
      </c>
      <c r="N60" s="19">
        <v>9.666283474267701E-3</v>
      </c>
      <c r="O60" s="19">
        <v>0.9637157119031865</v>
      </c>
      <c r="P60" s="19">
        <v>3.6286696846211372E-2</v>
      </c>
    </row>
    <row r="61" spans="2:16" x14ac:dyDescent="0.2">
      <c r="B61" t="s">
        <v>587</v>
      </c>
      <c r="C61" t="s">
        <v>397</v>
      </c>
      <c r="D61" s="18">
        <v>42264.529374999998</v>
      </c>
      <c r="E61" t="s">
        <v>167</v>
      </c>
      <c r="F61" s="19">
        <v>0.96225825809233967</v>
      </c>
      <c r="G61" s="19">
        <v>0.91081906899884624</v>
      </c>
      <c r="H61" s="19">
        <v>0.9197613439453558</v>
      </c>
      <c r="I61" s="19">
        <v>4.027676719809669E-2</v>
      </c>
      <c r="J61" s="19">
        <v>0.86974124783574103</v>
      </c>
      <c r="K61" s="19">
        <v>6.4696241172075661E-2</v>
      </c>
      <c r="L61" s="19">
        <v>1</v>
      </c>
      <c r="M61" s="19">
        <v>0.99193593620838205</v>
      </c>
      <c r="N61" s="19">
        <v>9.666283474267701E-3</v>
      </c>
      <c r="O61" s="19">
        <v>0.9637157119031865</v>
      </c>
      <c r="P61" s="19">
        <v>3.6286696846211372E-2</v>
      </c>
    </row>
    <row r="62" spans="2:16" x14ac:dyDescent="0.2">
      <c r="B62" t="s">
        <v>548</v>
      </c>
      <c r="C62" t="s">
        <v>387</v>
      </c>
      <c r="D62" s="18">
        <v>42264.529374999998</v>
      </c>
      <c r="E62" t="s">
        <v>152</v>
      </c>
      <c r="F62" s="19">
        <v>0.92214096316286653</v>
      </c>
      <c r="G62" s="19">
        <v>0.90050701364889363</v>
      </c>
      <c r="H62" s="19">
        <v>0.89196606777208165</v>
      </c>
      <c r="I62" s="19">
        <v>5.0518987963926135E-2</v>
      </c>
      <c r="J62" s="19">
        <v>0.87805474190446464</v>
      </c>
      <c r="K62" s="19">
        <v>5.7870513135488293E-2</v>
      </c>
      <c r="L62" s="19"/>
      <c r="M62" s="19"/>
      <c r="N62" s="19"/>
      <c r="O62" s="19"/>
      <c r="P62" s="19"/>
    </row>
    <row r="63" spans="2:16" x14ac:dyDescent="0.2">
      <c r="B63" t="s">
        <v>634</v>
      </c>
      <c r="C63" t="s">
        <v>376</v>
      </c>
      <c r="D63" s="18">
        <v>42264.529374999998</v>
      </c>
      <c r="E63" t="s">
        <v>186</v>
      </c>
      <c r="F63" s="19">
        <v>0.95606780816395354</v>
      </c>
      <c r="G63" s="19">
        <v>0.80876810276919342</v>
      </c>
      <c r="H63" s="19">
        <v>0.87426757993266913</v>
      </c>
      <c r="I63" s="19">
        <v>5.6485466197503484E-2</v>
      </c>
      <c r="J63" s="19">
        <v>0.95623554117658516</v>
      </c>
      <c r="K63" s="19">
        <v>3.6820337985930818E-2</v>
      </c>
      <c r="L63" s="19"/>
      <c r="M63" s="19"/>
      <c r="N63" s="19"/>
      <c r="O63" s="19"/>
      <c r="P63" s="19"/>
    </row>
    <row r="64" spans="2:16" x14ac:dyDescent="0.2">
      <c r="B64" t="s">
        <v>703</v>
      </c>
      <c r="C64" t="s">
        <v>6</v>
      </c>
      <c r="D64" s="18">
        <v>42264.529374999998</v>
      </c>
      <c r="E64" t="s">
        <v>444</v>
      </c>
      <c r="F64" s="19"/>
      <c r="G64" s="19"/>
      <c r="H64" s="19"/>
      <c r="I64" s="19"/>
      <c r="J64" s="19"/>
      <c r="K64" s="19"/>
      <c r="L64" s="19">
        <v>0.93679372237674774</v>
      </c>
      <c r="M64" s="19">
        <v>0.96439638254665494</v>
      </c>
      <c r="N64" s="19">
        <v>1.6304564554530644E-2</v>
      </c>
      <c r="O64" s="19">
        <v>0.95994132113440533</v>
      </c>
      <c r="P64" s="19">
        <v>2.0487257977216088E-2</v>
      </c>
    </row>
    <row r="65" spans="2:16" x14ac:dyDescent="0.2">
      <c r="B65" t="s">
        <v>705</v>
      </c>
      <c r="C65" t="s">
        <v>6</v>
      </c>
      <c r="D65" s="18">
        <v>42264.529374999998</v>
      </c>
      <c r="E65" t="s">
        <v>444</v>
      </c>
      <c r="F65" s="19">
        <v>0.95953654011001632</v>
      </c>
      <c r="G65" s="19">
        <v>0.89012810386967411</v>
      </c>
      <c r="H65" s="19">
        <v>0.9069563648847605</v>
      </c>
      <c r="I65" s="19">
        <v>7.1656685642629012E-3</v>
      </c>
      <c r="J65" s="19">
        <v>0.91196585287708043</v>
      </c>
      <c r="K65" s="19">
        <v>8.6070797000832051E-3</v>
      </c>
      <c r="L65" s="19">
        <v>0.93679372237674774</v>
      </c>
      <c r="M65" s="19">
        <v>0.96439638254665494</v>
      </c>
      <c r="N65" s="19">
        <v>1.6304564554530644E-2</v>
      </c>
      <c r="O65" s="19">
        <v>0.95994132113440533</v>
      </c>
      <c r="P65" s="19">
        <v>2.0487257977216088E-2</v>
      </c>
    </row>
    <row r="66" spans="2:16" x14ac:dyDescent="0.2">
      <c r="B66" t="s">
        <v>612</v>
      </c>
      <c r="C66" t="s">
        <v>392</v>
      </c>
      <c r="D66" s="18">
        <v>42264.529374999998</v>
      </c>
      <c r="E66" t="s">
        <v>177</v>
      </c>
      <c r="F66" s="19">
        <v>0.97902433625037855</v>
      </c>
      <c r="G66" s="19">
        <v>0.92101833752210771</v>
      </c>
      <c r="H66" s="19">
        <v>0.92923445226437673</v>
      </c>
      <c r="I66" s="19">
        <v>3.7605333529150825E-2</v>
      </c>
      <c r="J66" s="19">
        <v>0.91724431399354001</v>
      </c>
      <c r="K66" s="19">
        <v>4.9159516864430229E-2</v>
      </c>
      <c r="L66" s="19"/>
      <c r="M66" s="19"/>
      <c r="N66" s="19"/>
      <c r="O66" s="19"/>
      <c r="P66" s="19"/>
    </row>
    <row r="67" spans="2:16" x14ac:dyDescent="0.2">
      <c r="B67" t="s">
        <v>677</v>
      </c>
      <c r="C67" t="s">
        <v>376</v>
      </c>
      <c r="D67" s="18">
        <v>42264.529374999998</v>
      </c>
      <c r="E67" t="s">
        <v>676</v>
      </c>
      <c r="F67" s="153">
        <v>0.94799762313216118</v>
      </c>
      <c r="G67" s="153">
        <v>0.87432213117998658</v>
      </c>
      <c r="H67" s="153">
        <v>0.90501767113095244</v>
      </c>
      <c r="I67" s="153">
        <v>0.11609597953217055</v>
      </c>
      <c r="J67" s="153">
        <v>0.84289315928163899</v>
      </c>
      <c r="K67" s="153">
        <v>3.5092575097636074E-2</v>
      </c>
      <c r="L67" s="153"/>
      <c r="M67" s="153"/>
      <c r="N67" s="153"/>
      <c r="O67" s="153"/>
      <c r="P67" s="153"/>
    </row>
    <row r="68" spans="2:16" x14ac:dyDescent="0.2">
      <c r="B68" t="s">
        <v>636</v>
      </c>
      <c r="C68" t="s">
        <v>376</v>
      </c>
      <c r="D68" s="18">
        <v>42264.529374999998</v>
      </c>
      <c r="E68" t="s">
        <v>92</v>
      </c>
      <c r="F68" s="153">
        <v>0.92625848317764381</v>
      </c>
      <c r="G68" s="153">
        <v>0.89885046178031036</v>
      </c>
      <c r="H68" s="153">
        <v>0.83526478403316196</v>
      </c>
      <c r="I68" s="153">
        <v>5.1603898032211715E-2</v>
      </c>
      <c r="J68" s="153">
        <v>0.9029282977558839</v>
      </c>
      <c r="K68" s="153">
        <v>3.6440515410656363E-2</v>
      </c>
      <c r="L68" s="153"/>
      <c r="M68" s="153"/>
      <c r="N68" s="153"/>
      <c r="O68" s="153"/>
      <c r="P68" s="153"/>
    </row>
    <row r="69" spans="2:16" x14ac:dyDescent="0.2">
      <c r="B69" t="s">
        <v>646</v>
      </c>
      <c r="C69" t="s">
        <v>397</v>
      </c>
      <c r="D69" s="18">
        <v>42264.529374999998</v>
      </c>
      <c r="E69" t="s">
        <v>191</v>
      </c>
      <c r="F69" s="153">
        <v>0.96245908126191582</v>
      </c>
      <c r="G69" s="153">
        <v>0.92601939545170975</v>
      </c>
      <c r="H69" s="153">
        <v>0.93631562708066052</v>
      </c>
      <c r="I69" s="153">
        <v>3.6442082871767312E-2</v>
      </c>
      <c r="J69" s="153">
        <v>0.92977172679199294</v>
      </c>
      <c r="K69" s="153">
        <v>4.9210213559376756E-2</v>
      </c>
      <c r="L69" s="153"/>
      <c r="M69" s="153"/>
      <c r="N69" s="153"/>
      <c r="O69" s="153"/>
      <c r="P69" s="153"/>
    </row>
    <row r="70" spans="2:16" x14ac:dyDescent="0.2">
      <c r="B70" t="s">
        <v>650</v>
      </c>
      <c r="C70" t="s">
        <v>376</v>
      </c>
      <c r="D70" s="18">
        <v>42264.529374999998</v>
      </c>
      <c r="E70" t="s">
        <v>193</v>
      </c>
      <c r="F70" s="153">
        <v>0.92664165876581883</v>
      </c>
      <c r="G70" s="153">
        <v>0.80830903790087461</v>
      </c>
      <c r="H70" s="153">
        <v>0.85113303357123427</v>
      </c>
      <c r="I70" s="153">
        <v>4.6607166054369882E-2</v>
      </c>
      <c r="J70" s="153">
        <v>0.88590662664663133</v>
      </c>
      <c r="K70" s="153">
        <v>5.2622901965985208E-2</v>
      </c>
      <c r="L70" s="153"/>
      <c r="M70" s="153"/>
      <c r="N70" s="153"/>
      <c r="O70" s="153"/>
      <c r="P70" s="153"/>
    </row>
    <row r="71" spans="2:16" x14ac:dyDescent="0.2">
      <c r="B71" t="s">
        <v>550</v>
      </c>
      <c r="C71" t="s">
        <v>376</v>
      </c>
      <c r="D71" s="18">
        <v>42264.529374999998</v>
      </c>
      <c r="E71" t="s">
        <v>153</v>
      </c>
      <c r="F71" s="153">
        <v>0.947957143229468</v>
      </c>
      <c r="G71" s="153">
        <v>0.83390133317319237</v>
      </c>
      <c r="H71" s="153">
        <v>0.8463285961585405</v>
      </c>
      <c r="I71" s="153">
        <v>5.0618932350916662E-2</v>
      </c>
      <c r="J71" s="153">
        <v>0.9382900421307242</v>
      </c>
      <c r="K71" s="153">
        <v>3.7965518974789066E-2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957</v>
      </c>
      <c r="C2" t="s">
        <v>958</v>
      </c>
      <c r="D2" t="s">
        <v>139</v>
      </c>
      <c r="F2" t="s">
        <v>952</v>
      </c>
      <c r="G2" t="s">
        <v>939</v>
      </c>
      <c r="H2" t="s">
        <v>940</v>
      </c>
      <c r="I2" t="s">
        <v>941</v>
      </c>
      <c r="J2" t="s">
        <v>942</v>
      </c>
      <c r="K2" t="s">
        <v>943</v>
      </c>
      <c r="L2" t="s">
        <v>944</v>
      </c>
      <c r="M2" t="s">
        <v>945</v>
      </c>
      <c r="N2" t="s">
        <v>946</v>
      </c>
      <c r="O2" t="s">
        <v>947</v>
      </c>
      <c r="P2" t="s">
        <v>948</v>
      </c>
      <c r="Q2" t="s">
        <v>949</v>
      </c>
      <c r="R2" t="s">
        <v>950</v>
      </c>
      <c r="S2" t="s">
        <v>951</v>
      </c>
      <c r="V2" t="s">
        <v>953</v>
      </c>
      <c r="W2" t="s">
        <v>939</v>
      </c>
      <c r="X2" t="s">
        <v>940</v>
      </c>
      <c r="Y2" t="s">
        <v>941</v>
      </c>
      <c r="Z2" t="s">
        <v>942</v>
      </c>
      <c r="AA2" t="s">
        <v>943</v>
      </c>
      <c r="AB2" t="s">
        <v>944</v>
      </c>
      <c r="AC2" t="s">
        <v>945</v>
      </c>
      <c r="AD2" t="s">
        <v>946</v>
      </c>
      <c r="AE2" t="s">
        <v>947</v>
      </c>
      <c r="AF2" t="s">
        <v>948</v>
      </c>
      <c r="AG2" t="s">
        <v>949</v>
      </c>
      <c r="AH2" t="s">
        <v>950</v>
      </c>
      <c r="AI2" t="s">
        <v>951</v>
      </c>
      <c r="AL2" t="s">
        <v>954</v>
      </c>
      <c r="AM2" t="s">
        <v>939</v>
      </c>
      <c r="AN2" t="s">
        <v>940</v>
      </c>
      <c r="AO2" t="s">
        <v>941</v>
      </c>
      <c r="AP2" t="s">
        <v>942</v>
      </c>
      <c r="AQ2" t="s">
        <v>943</v>
      </c>
      <c r="AR2" t="s">
        <v>944</v>
      </c>
      <c r="AS2" t="s">
        <v>945</v>
      </c>
      <c r="AT2" t="s">
        <v>946</v>
      </c>
      <c r="AU2" t="s">
        <v>947</v>
      </c>
      <c r="AV2" t="s">
        <v>948</v>
      </c>
      <c r="AW2" t="s">
        <v>949</v>
      </c>
      <c r="AX2" t="s">
        <v>950</v>
      </c>
      <c r="AY2" t="s">
        <v>951</v>
      </c>
    </row>
    <row r="3" spans="2:51" x14ac:dyDescent="0.2">
      <c r="B3" t="s">
        <v>960</v>
      </c>
      <c r="C3">
        <v>381460</v>
      </c>
      <c r="D3">
        <v>406.5735361669</v>
      </c>
      <c r="F3" t="s">
        <v>8</v>
      </c>
      <c r="G3">
        <v>12417</v>
      </c>
      <c r="P3">
        <v>12417</v>
      </c>
      <c r="Q3">
        <v>187.48546347749999</v>
      </c>
      <c r="V3" t="s">
        <v>315</v>
      </c>
      <c r="W3">
        <v>397</v>
      </c>
      <c r="X3">
        <v>258</v>
      </c>
      <c r="Y3">
        <v>373.49224806199999</v>
      </c>
      <c r="Z3">
        <v>24</v>
      </c>
      <c r="AA3">
        <v>565.20833333329995</v>
      </c>
      <c r="AB3">
        <v>76</v>
      </c>
      <c r="AC3">
        <v>549.48684210529996</v>
      </c>
      <c r="AD3">
        <v>35</v>
      </c>
      <c r="AE3">
        <v>687.65714285709998</v>
      </c>
      <c r="AF3">
        <v>27</v>
      </c>
      <c r="AG3">
        <v>223.3703703704</v>
      </c>
      <c r="AH3">
        <v>1</v>
      </c>
      <c r="AI3">
        <v>82</v>
      </c>
      <c r="AL3" t="s">
        <v>315</v>
      </c>
      <c r="AM3">
        <v>4</v>
      </c>
      <c r="AN3">
        <v>2</v>
      </c>
      <c r="AO3">
        <v>95.5</v>
      </c>
      <c r="AP3">
        <v>1</v>
      </c>
      <c r="AQ3">
        <v>177</v>
      </c>
      <c r="AT3">
        <v>1</v>
      </c>
      <c r="AU3">
        <v>120</v>
      </c>
      <c r="AV3">
        <v>1</v>
      </c>
      <c r="AW3">
        <v>45</v>
      </c>
    </row>
    <row r="4" spans="2:51" x14ac:dyDescent="0.2">
      <c r="B4" t="s">
        <v>959</v>
      </c>
      <c r="C4">
        <v>37009</v>
      </c>
      <c r="D4">
        <v>406.5735361669</v>
      </c>
      <c r="F4" t="s">
        <v>8</v>
      </c>
      <c r="G4">
        <v>12417</v>
      </c>
      <c r="P4">
        <v>12417</v>
      </c>
      <c r="Q4">
        <v>187.48546347749999</v>
      </c>
      <c r="V4" t="s">
        <v>8</v>
      </c>
      <c r="W4">
        <v>5028</v>
      </c>
      <c r="X4">
        <v>3731</v>
      </c>
      <c r="Y4">
        <v>410.09354060570001</v>
      </c>
      <c r="Z4">
        <v>364</v>
      </c>
      <c r="AA4">
        <v>415.59065934069997</v>
      </c>
      <c r="AB4">
        <v>540</v>
      </c>
      <c r="AC4">
        <v>526.34074074069997</v>
      </c>
      <c r="AD4">
        <v>699</v>
      </c>
      <c r="AE4">
        <v>824.36337625179999</v>
      </c>
      <c r="AF4">
        <v>56</v>
      </c>
      <c r="AG4">
        <v>215.80357142860001</v>
      </c>
      <c r="AH4">
        <v>2</v>
      </c>
      <c r="AI4">
        <v>724</v>
      </c>
      <c r="AL4" t="s">
        <v>8</v>
      </c>
      <c r="AM4">
        <v>44</v>
      </c>
      <c r="AN4">
        <v>34</v>
      </c>
      <c r="AO4">
        <v>220.4117647059</v>
      </c>
      <c r="AP4">
        <v>4</v>
      </c>
      <c r="AQ4">
        <v>276</v>
      </c>
      <c r="AR4">
        <v>10</v>
      </c>
      <c r="AS4">
        <v>165.3</v>
      </c>
    </row>
    <row r="5" spans="2:51" x14ac:dyDescent="0.2">
      <c r="B5" t="s">
        <v>971</v>
      </c>
      <c r="C5">
        <v>18651</v>
      </c>
      <c r="D5">
        <v>529.67181384380001</v>
      </c>
      <c r="F5" t="s">
        <v>46</v>
      </c>
      <c r="G5">
        <v>555</v>
      </c>
      <c r="H5">
        <v>439</v>
      </c>
      <c r="I5">
        <v>224.20728929379999</v>
      </c>
      <c r="J5">
        <v>11</v>
      </c>
      <c r="K5">
        <v>443</v>
      </c>
      <c r="L5">
        <v>92</v>
      </c>
      <c r="M5">
        <v>159.63043478259999</v>
      </c>
      <c r="N5">
        <v>24</v>
      </c>
      <c r="O5">
        <v>237.5416666667</v>
      </c>
      <c r="V5" t="s">
        <v>8</v>
      </c>
      <c r="W5">
        <v>5425</v>
      </c>
      <c r="X5">
        <v>3989</v>
      </c>
      <c r="Y5">
        <v>407.72624717970001</v>
      </c>
      <c r="Z5">
        <v>388</v>
      </c>
      <c r="AA5">
        <v>424.84536082469998</v>
      </c>
      <c r="AB5">
        <v>616</v>
      </c>
      <c r="AC5">
        <v>529.19642857140002</v>
      </c>
      <c r="AD5">
        <v>734</v>
      </c>
      <c r="AE5">
        <v>817.84468664849999</v>
      </c>
      <c r="AF5">
        <v>83</v>
      </c>
      <c r="AG5">
        <v>218.26506024099999</v>
      </c>
      <c r="AH5">
        <v>3</v>
      </c>
      <c r="AI5">
        <v>510</v>
      </c>
      <c r="AL5" t="s">
        <v>8</v>
      </c>
      <c r="AM5">
        <v>48</v>
      </c>
      <c r="AN5">
        <v>36</v>
      </c>
      <c r="AO5">
        <v>213.4722222222</v>
      </c>
      <c r="AP5">
        <v>5</v>
      </c>
      <c r="AQ5">
        <v>256.2</v>
      </c>
      <c r="AR5">
        <v>10</v>
      </c>
      <c r="AS5">
        <v>165.3</v>
      </c>
      <c r="AT5">
        <v>1</v>
      </c>
      <c r="AU5">
        <v>120</v>
      </c>
      <c r="AV5">
        <v>1</v>
      </c>
      <c r="AW5">
        <v>45</v>
      </c>
    </row>
    <row r="6" spans="2:51" x14ac:dyDescent="0.2">
      <c r="B6" t="s">
        <v>247</v>
      </c>
      <c r="C6">
        <v>55331</v>
      </c>
      <c r="D6">
        <v>617.20149644859998</v>
      </c>
      <c r="F6" t="s">
        <v>40</v>
      </c>
      <c r="G6">
        <v>7625</v>
      </c>
      <c r="H6">
        <v>5655</v>
      </c>
      <c r="I6">
        <v>455.92732095489998</v>
      </c>
      <c r="J6">
        <v>242</v>
      </c>
      <c r="K6">
        <v>953.7107438017</v>
      </c>
      <c r="L6">
        <v>1400</v>
      </c>
      <c r="M6">
        <v>562.61</v>
      </c>
      <c r="N6">
        <v>546</v>
      </c>
      <c r="O6">
        <v>646.49633699629999</v>
      </c>
      <c r="R6">
        <v>24</v>
      </c>
      <c r="S6">
        <v>545.875</v>
      </c>
      <c r="V6" t="s">
        <v>406</v>
      </c>
      <c r="W6">
        <v>1140</v>
      </c>
      <c r="X6">
        <v>564</v>
      </c>
      <c r="Y6">
        <v>169.1312056738</v>
      </c>
      <c r="Z6">
        <v>263</v>
      </c>
      <c r="AA6">
        <v>256.87832699619997</v>
      </c>
      <c r="AB6">
        <v>363</v>
      </c>
      <c r="AC6">
        <v>266.05234159780002</v>
      </c>
      <c r="AD6">
        <v>114</v>
      </c>
      <c r="AE6">
        <v>264.98245614040002</v>
      </c>
      <c r="AF6">
        <v>97</v>
      </c>
      <c r="AG6">
        <v>187.27835051549999</v>
      </c>
      <c r="AH6">
        <v>2</v>
      </c>
      <c r="AI6">
        <v>189.5</v>
      </c>
      <c r="AL6" t="s">
        <v>406</v>
      </c>
      <c r="AM6">
        <v>20</v>
      </c>
      <c r="AN6">
        <v>11</v>
      </c>
      <c r="AO6">
        <v>69.181818181799997</v>
      </c>
      <c r="AP6">
        <v>16</v>
      </c>
      <c r="AQ6">
        <v>213.625</v>
      </c>
      <c r="AR6">
        <v>5</v>
      </c>
      <c r="AS6">
        <v>116.2</v>
      </c>
      <c r="AT6">
        <v>4</v>
      </c>
      <c r="AU6">
        <v>67.5</v>
      </c>
    </row>
    <row r="7" spans="2:51" x14ac:dyDescent="0.2">
      <c r="B7" t="s">
        <v>246</v>
      </c>
      <c r="C7">
        <v>226676</v>
      </c>
      <c r="D7">
        <v>394.04016746370002</v>
      </c>
      <c r="F7" t="s">
        <v>45</v>
      </c>
      <c r="G7">
        <v>6220</v>
      </c>
      <c r="H7">
        <v>4427</v>
      </c>
      <c r="I7">
        <v>389.08267449739998</v>
      </c>
      <c r="J7">
        <v>418</v>
      </c>
      <c r="K7">
        <v>456.36842105260001</v>
      </c>
      <c r="L7">
        <v>1208</v>
      </c>
      <c r="M7">
        <v>590.12748344370004</v>
      </c>
      <c r="N7">
        <v>582</v>
      </c>
      <c r="O7">
        <v>438.14604810999998</v>
      </c>
      <c r="R7">
        <v>3</v>
      </c>
      <c r="S7">
        <v>549</v>
      </c>
      <c r="V7" t="s">
        <v>398</v>
      </c>
      <c r="W7">
        <v>14105</v>
      </c>
      <c r="X7">
        <v>10261</v>
      </c>
      <c r="Y7">
        <v>636.53912873989998</v>
      </c>
      <c r="Z7">
        <v>208</v>
      </c>
      <c r="AA7">
        <v>1016.6346153846</v>
      </c>
      <c r="AB7">
        <v>2720</v>
      </c>
      <c r="AC7">
        <v>1313.1875</v>
      </c>
      <c r="AD7">
        <v>857</v>
      </c>
      <c r="AE7">
        <v>819.33488914819998</v>
      </c>
      <c r="AF7">
        <v>244</v>
      </c>
      <c r="AG7">
        <v>248.85245901639999</v>
      </c>
      <c r="AH7">
        <v>23</v>
      </c>
      <c r="AI7">
        <v>667.91304347829998</v>
      </c>
      <c r="AL7" t="s">
        <v>398</v>
      </c>
      <c r="AM7">
        <v>206</v>
      </c>
      <c r="AN7">
        <v>172</v>
      </c>
      <c r="AO7">
        <v>291.24418604649998</v>
      </c>
      <c r="AP7">
        <v>22</v>
      </c>
      <c r="AQ7">
        <v>593.40909090909997</v>
      </c>
      <c r="AR7">
        <v>32</v>
      </c>
      <c r="AS7">
        <v>121.25</v>
      </c>
      <c r="AT7">
        <v>2</v>
      </c>
      <c r="AU7">
        <v>138.5</v>
      </c>
    </row>
    <row r="8" spans="2:51" x14ac:dyDescent="0.2">
      <c r="B8" t="s">
        <v>248</v>
      </c>
      <c r="C8">
        <v>24171</v>
      </c>
      <c r="D8">
        <v>518.69980555209997</v>
      </c>
      <c r="F8" t="s">
        <v>53</v>
      </c>
      <c r="G8">
        <v>1351</v>
      </c>
      <c r="H8">
        <v>420</v>
      </c>
      <c r="I8">
        <v>93.930952380999997</v>
      </c>
      <c r="J8">
        <v>336</v>
      </c>
      <c r="K8">
        <v>175.67261904759999</v>
      </c>
      <c r="L8">
        <v>680</v>
      </c>
      <c r="M8">
        <v>259.52647058820003</v>
      </c>
      <c r="N8">
        <v>245</v>
      </c>
      <c r="O8">
        <v>223.91428571430001</v>
      </c>
      <c r="R8">
        <v>6</v>
      </c>
      <c r="S8">
        <v>204.1666666667</v>
      </c>
      <c r="V8" t="s">
        <v>429</v>
      </c>
      <c r="W8">
        <v>1377</v>
      </c>
      <c r="X8">
        <v>944</v>
      </c>
      <c r="Y8">
        <v>223.18220338980001</v>
      </c>
      <c r="Z8">
        <v>185</v>
      </c>
      <c r="AA8">
        <v>442.3027027027</v>
      </c>
      <c r="AB8">
        <v>128</v>
      </c>
      <c r="AC8">
        <v>212.421875</v>
      </c>
      <c r="AD8">
        <v>192</v>
      </c>
      <c r="AE8">
        <v>352.421875</v>
      </c>
      <c r="AF8">
        <v>111</v>
      </c>
      <c r="AG8">
        <v>168.3333333333</v>
      </c>
      <c r="AH8">
        <v>2</v>
      </c>
      <c r="AI8">
        <v>291</v>
      </c>
      <c r="AL8" t="s">
        <v>429</v>
      </c>
      <c r="AM8">
        <v>17</v>
      </c>
      <c r="AN8">
        <v>9</v>
      </c>
      <c r="AO8">
        <v>148.1111111111</v>
      </c>
      <c r="AP8">
        <v>12</v>
      </c>
      <c r="AQ8">
        <v>199.9166666667</v>
      </c>
      <c r="AR8">
        <v>6</v>
      </c>
      <c r="AS8">
        <v>34</v>
      </c>
      <c r="AT8">
        <v>2</v>
      </c>
      <c r="AU8">
        <v>128</v>
      </c>
    </row>
    <row r="9" spans="2:51" x14ac:dyDescent="0.2">
      <c r="B9" t="s">
        <v>249</v>
      </c>
      <c r="C9">
        <v>12417</v>
      </c>
      <c r="D9">
        <v>187.48546347749999</v>
      </c>
      <c r="F9" t="s">
        <v>84</v>
      </c>
      <c r="G9">
        <v>1259</v>
      </c>
      <c r="H9">
        <v>930</v>
      </c>
      <c r="I9">
        <v>219.20967741940001</v>
      </c>
      <c r="J9">
        <v>198</v>
      </c>
      <c r="K9">
        <v>415.94949494949998</v>
      </c>
      <c r="L9">
        <v>127</v>
      </c>
      <c r="M9">
        <v>174.34645669290001</v>
      </c>
      <c r="N9">
        <v>200</v>
      </c>
      <c r="O9">
        <v>345.19499999999999</v>
      </c>
      <c r="R9">
        <v>2</v>
      </c>
      <c r="S9">
        <v>291</v>
      </c>
      <c r="V9" t="s">
        <v>399</v>
      </c>
      <c r="W9">
        <v>8187</v>
      </c>
      <c r="X9">
        <v>6249</v>
      </c>
      <c r="Y9">
        <v>491.969275084</v>
      </c>
      <c r="Z9">
        <v>115</v>
      </c>
      <c r="AA9">
        <v>719.30434782609996</v>
      </c>
      <c r="AB9">
        <v>1367</v>
      </c>
      <c r="AC9">
        <v>957.23774689100003</v>
      </c>
      <c r="AD9">
        <v>409</v>
      </c>
      <c r="AE9">
        <v>644.68948655259999</v>
      </c>
      <c r="AF9">
        <v>159</v>
      </c>
      <c r="AG9">
        <v>186.57861635219999</v>
      </c>
      <c r="AH9">
        <v>3</v>
      </c>
      <c r="AI9">
        <v>75</v>
      </c>
      <c r="AL9" t="s">
        <v>399</v>
      </c>
      <c r="AM9">
        <v>112</v>
      </c>
      <c r="AN9">
        <v>101</v>
      </c>
      <c r="AO9">
        <v>279.01980198019999</v>
      </c>
      <c r="AP9">
        <v>9</v>
      </c>
      <c r="AQ9">
        <v>479</v>
      </c>
      <c r="AR9">
        <v>9</v>
      </c>
      <c r="AS9">
        <v>308.8888888889</v>
      </c>
      <c r="AT9">
        <v>2</v>
      </c>
      <c r="AU9">
        <v>68</v>
      </c>
    </row>
    <row r="10" spans="2:51" x14ac:dyDescent="0.2">
      <c r="B10" t="s">
        <v>955</v>
      </c>
      <c r="C10">
        <v>421</v>
      </c>
      <c r="D10">
        <v>430.83135391920001</v>
      </c>
      <c r="F10" t="s">
        <v>79</v>
      </c>
      <c r="G10">
        <v>1654</v>
      </c>
      <c r="H10">
        <v>718</v>
      </c>
      <c r="I10">
        <v>122.8746518106</v>
      </c>
      <c r="J10">
        <v>530</v>
      </c>
      <c r="K10">
        <v>191.13962264150001</v>
      </c>
      <c r="L10">
        <v>857</v>
      </c>
      <c r="M10">
        <v>294.10268378059999</v>
      </c>
      <c r="N10">
        <v>79</v>
      </c>
      <c r="O10">
        <v>121.02531645569999</v>
      </c>
      <c r="V10" t="s">
        <v>401</v>
      </c>
      <c r="W10">
        <v>7830</v>
      </c>
      <c r="X10">
        <v>5571</v>
      </c>
      <c r="Y10">
        <v>451.99461497039999</v>
      </c>
      <c r="Z10">
        <v>245</v>
      </c>
      <c r="AA10">
        <v>930.02448979589997</v>
      </c>
      <c r="AB10">
        <v>1397</v>
      </c>
      <c r="AC10">
        <v>567.71939871150005</v>
      </c>
      <c r="AD10">
        <v>541</v>
      </c>
      <c r="AE10">
        <v>639.17005545289999</v>
      </c>
      <c r="AF10">
        <v>297</v>
      </c>
      <c r="AG10">
        <v>218.57912457910001</v>
      </c>
      <c r="AH10">
        <v>24</v>
      </c>
      <c r="AI10">
        <v>545.875</v>
      </c>
      <c r="AL10" t="s">
        <v>401</v>
      </c>
      <c r="AM10">
        <v>275</v>
      </c>
      <c r="AN10">
        <v>213</v>
      </c>
      <c r="AO10">
        <v>305.12206572769998</v>
      </c>
      <c r="AP10">
        <v>24</v>
      </c>
      <c r="AQ10">
        <v>497.5416666667</v>
      </c>
      <c r="AR10">
        <v>52</v>
      </c>
      <c r="AS10">
        <v>340.13461538460001</v>
      </c>
      <c r="AT10">
        <v>9</v>
      </c>
      <c r="AU10">
        <v>127.7777777778</v>
      </c>
      <c r="AV10">
        <v>1</v>
      </c>
      <c r="AW10">
        <v>240</v>
      </c>
    </row>
    <row r="11" spans="2:51" x14ac:dyDescent="0.2">
      <c r="F11" t="s">
        <v>41</v>
      </c>
      <c r="G11">
        <v>14014</v>
      </c>
      <c r="H11">
        <v>10390</v>
      </c>
      <c r="I11">
        <v>641.76082771899996</v>
      </c>
      <c r="J11">
        <v>195</v>
      </c>
      <c r="K11">
        <v>1075.8871794872</v>
      </c>
      <c r="L11">
        <v>2760</v>
      </c>
      <c r="M11">
        <v>1327.3231884058</v>
      </c>
      <c r="N11">
        <v>840</v>
      </c>
      <c r="O11">
        <v>834.95952380949996</v>
      </c>
      <c r="R11">
        <v>24</v>
      </c>
      <c r="S11">
        <v>639.66666666670005</v>
      </c>
      <c r="V11" t="s">
        <v>402</v>
      </c>
      <c r="W11">
        <v>6512</v>
      </c>
      <c r="X11">
        <v>4370</v>
      </c>
      <c r="Y11">
        <v>392.72677345540001</v>
      </c>
      <c r="Z11">
        <v>407</v>
      </c>
      <c r="AA11">
        <v>456.42260442259999</v>
      </c>
      <c r="AB11">
        <v>1220</v>
      </c>
      <c r="AC11">
        <v>599.71065573769999</v>
      </c>
      <c r="AD11">
        <v>578</v>
      </c>
      <c r="AE11">
        <v>451.8892733564</v>
      </c>
      <c r="AF11">
        <v>341</v>
      </c>
      <c r="AG11">
        <v>178.54252199410001</v>
      </c>
      <c r="AH11">
        <v>3</v>
      </c>
      <c r="AI11">
        <v>549</v>
      </c>
      <c r="AL11" t="s">
        <v>402</v>
      </c>
      <c r="AM11">
        <v>198</v>
      </c>
      <c r="AN11">
        <v>173</v>
      </c>
      <c r="AO11">
        <v>279.39884393059998</v>
      </c>
      <c r="AP11">
        <v>23</v>
      </c>
      <c r="AQ11">
        <v>485</v>
      </c>
      <c r="AR11">
        <v>20</v>
      </c>
      <c r="AS11">
        <v>236.85</v>
      </c>
      <c r="AT11">
        <v>3</v>
      </c>
      <c r="AU11">
        <v>562</v>
      </c>
      <c r="AV11">
        <v>2</v>
      </c>
      <c r="AW11">
        <v>102.5</v>
      </c>
    </row>
    <row r="12" spans="2:51" x14ac:dyDescent="0.2">
      <c r="F12" t="s">
        <v>59</v>
      </c>
      <c r="G12">
        <v>3224</v>
      </c>
      <c r="H12">
        <v>2673</v>
      </c>
      <c r="I12">
        <v>276.12457912460002</v>
      </c>
      <c r="J12">
        <v>154</v>
      </c>
      <c r="K12">
        <v>522.68831168830002</v>
      </c>
      <c r="L12">
        <v>489</v>
      </c>
      <c r="M12">
        <v>304.84253578729999</v>
      </c>
      <c r="N12">
        <v>61</v>
      </c>
      <c r="O12">
        <v>118.5737704918</v>
      </c>
      <c r="R12">
        <v>1</v>
      </c>
      <c r="S12">
        <v>12</v>
      </c>
      <c r="V12" t="s">
        <v>404</v>
      </c>
      <c r="W12">
        <v>6909</v>
      </c>
      <c r="X12">
        <v>5625</v>
      </c>
      <c r="Y12">
        <v>290.14293333329999</v>
      </c>
      <c r="Z12">
        <v>340</v>
      </c>
      <c r="AA12">
        <v>527.14705882349995</v>
      </c>
      <c r="AB12">
        <v>417</v>
      </c>
      <c r="AC12">
        <v>226.84652278179999</v>
      </c>
      <c r="AD12">
        <v>504</v>
      </c>
      <c r="AE12">
        <v>347.11309523810002</v>
      </c>
      <c r="AF12">
        <v>350</v>
      </c>
      <c r="AG12">
        <v>172.28</v>
      </c>
      <c r="AH12">
        <v>13</v>
      </c>
      <c r="AI12">
        <v>281.38461538460001</v>
      </c>
      <c r="AL12" t="s">
        <v>404</v>
      </c>
      <c r="AM12">
        <v>166</v>
      </c>
      <c r="AN12">
        <v>142</v>
      </c>
      <c r="AO12">
        <v>294.04225352110001</v>
      </c>
      <c r="AP12">
        <v>22</v>
      </c>
      <c r="AQ12">
        <v>409</v>
      </c>
      <c r="AR12">
        <v>23</v>
      </c>
      <c r="AS12">
        <v>236.86956521740001</v>
      </c>
      <c r="AT12">
        <v>1</v>
      </c>
      <c r="AU12">
        <v>157</v>
      </c>
    </row>
    <row r="13" spans="2:51" x14ac:dyDescent="0.2">
      <c r="F13" t="s">
        <v>78</v>
      </c>
      <c r="G13">
        <v>6450</v>
      </c>
      <c r="H13">
        <v>5559</v>
      </c>
      <c r="I13">
        <v>285.3970138514</v>
      </c>
      <c r="J13">
        <v>326</v>
      </c>
      <c r="K13">
        <v>523.26073619629994</v>
      </c>
      <c r="L13">
        <v>389</v>
      </c>
      <c r="M13">
        <v>197.81491002569999</v>
      </c>
      <c r="N13">
        <v>492</v>
      </c>
      <c r="O13">
        <v>345.07317073169997</v>
      </c>
      <c r="R13">
        <v>10</v>
      </c>
      <c r="S13">
        <v>315.8</v>
      </c>
      <c r="V13" t="s">
        <v>407</v>
      </c>
      <c r="W13">
        <v>1513</v>
      </c>
      <c r="X13">
        <v>446</v>
      </c>
      <c r="Y13">
        <v>115.0739910314</v>
      </c>
      <c r="Z13">
        <v>331</v>
      </c>
      <c r="AA13">
        <v>178.02114803629999</v>
      </c>
      <c r="AB13">
        <v>673</v>
      </c>
      <c r="AC13">
        <v>265.63744427929998</v>
      </c>
      <c r="AD13">
        <v>234</v>
      </c>
      <c r="AE13">
        <v>226.91452991450001</v>
      </c>
      <c r="AF13">
        <v>156</v>
      </c>
      <c r="AG13">
        <v>201.02564102560001</v>
      </c>
      <c r="AH13">
        <v>4</v>
      </c>
      <c r="AI13">
        <v>222</v>
      </c>
      <c r="AL13" t="s">
        <v>407</v>
      </c>
      <c r="AM13">
        <v>19</v>
      </c>
      <c r="AN13">
        <v>11</v>
      </c>
      <c r="AO13">
        <v>168.36363636359999</v>
      </c>
      <c r="AP13">
        <v>9</v>
      </c>
      <c r="AQ13">
        <v>184.1111111111</v>
      </c>
      <c r="AR13">
        <v>5</v>
      </c>
      <c r="AS13">
        <v>112.2</v>
      </c>
      <c r="AT13">
        <v>3</v>
      </c>
      <c r="AU13">
        <v>87.333333333300004</v>
      </c>
    </row>
    <row r="14" spans="2:51" x14ac:dyDescent="0.2">
      <c r="F14" t="s">
        <v>44</v>
      </c>
      <c r="G14">
        <v>1015</v>
      </c>
      <c r="H14">
        <v>535</v>
      </c>
      <c r="I14">
        <v>147.21682242989999</v>
      </c>
      <c r="J14">
        <v>272</v>
      </c>
      <c r="K14">
        <v>260.2830882353</v>
      </c>
      <c r="L14">
        <v>364</v>
      </c>
      <c r="M14">
        <v>262.47252747250002</v>
      </c>
      <c r="N14">
        <v>114</v>
      </c>
      <c r="O14">
        <v>269.96491228069999</v>
      </c>
      <c r="R14">
        <v>2</v>
      </c>
      <c r="S14">
        <v>189.5</v>
      </c>
      <c r="V14" t="s">
        <v>408</v>
      </c>
      <c r="W14">
        <v>2126</v>
      </c>
      <c r="X14">
        <v>912</v>
      </c>
      <c r="Y14">
        <v>162.0252192982</v>
      </c>
      <c r="Z14">
        <v>538</v>
      </c>
      <c r="AA14">
        <v>194.5446096654</v>
      </c>
      <c r="AB14">
        <v>898</v>
      </c>
      <c r="AC14">
        <v>305.5913140312</v>
      </c>
      <c r="AD14">
        <v>91</v>
      </c>
      <c r="AE14">
        <v>189.8571428571</v>
      </c>
      <c r="AF14">
        <v>225</v>
      </c>
      <c r="AG14">
        <v>166.90222222220001</v>
      </c>
      <c r="AL14" t="s">
        <v>408</v>
      </c>
      <c r="AM14">
        <v>20</v>
      </c>
      <c r="AN14">
        <v>13</v>
      </c>
      <c r="AO14">
        <v>69.307692307699995</v>
      </c>
      <c r="AP14">
        <v>23</v>
      </c>
      <c r="AQ14">
        <v>172.69565217389999</v>
      </c>
      <c r="AR14">
        <v>4</v>
      </c>
      <c r="AS14">
        <v>51.25</v>
      </c>
      <c r="AT14">
        <v>3</v>
      </c>
      <c r="AU14">
        <v>223.6666666667</v>
      </c>
    </row>
    <row r="15" spans="2:51" x14ac:dyDescent="0.2">
      <c r="F15" t="s">
        <v>77</v>
      </c>
      <c r="G15">
        <v>224</v>
      </c>
      <c r="H15">
        <v>101</v>
      </c>
      <c r="I15">
        <v>95.316831683199993</v>
      </c>
      <c r="J15">
        <v>99</v>
      </c>
      <c r="K15">
        <v>168.01010101009999</v>
      </c>
      <c r="L15">
        <v>76</v>
      </c>
      <c r="M15">
        <v>186.77631578949999</v>
      </c>
      <c r="N15">
        <v>43</v>
      </c>
      <c r="O15">
        <v>235.0465116279</v>
      </c>
      <c r="R15">
        <v>4</v>
      </c>
      <c r="S15">
        <v>172.5</v>
      </c>
      <c r="V15" t="s">
        <v>403</v>
      </c>
      <c r="W15">
        <v>3379</v>
      </c>
      <c r="X15">
        <v>2683</v>
      </c>
      <c r="Y15">
        <v>284.76630637350002</v>
      </c>
      <c r="Z15">
        <v>166</v>
      </c>
      <c r="AA15">
        <v>525.03614457829997</v>
      </c>
      <c r="AB15">
        <v>487</v>
      </c>
      <c r="AC15">
        <v>307.91991786450001</v>
      </c>
      <c r="AD15">
        <v>77</v>
      </c>
      <c r="AE15">
        <v>173.46753246750001</v>
      </c>
      <c r="AF15">
        <v>131</v>
      </c>
      <c r="AG15">
        <v>129.27480916030001</v>
      </c>
      <c r="AH15">
        <v>1</v>
      </c>
      <c r="AI15">
        <v>12</v>
      </c>
      <c r="AL15" t="s">
        <v>403</v>
      </c>
      <c r="AM15">
        <v>89</v>
      </c>
      <c r="AN15">
        <v>67</v>
      </c>
      <c r="AO15">
        <v>221.11940298510001</v>
      </c>
      <c r="AP15">
        <v>5</v>
      </c>
      <c r="AQ15">
        <v>336</v>
      </c>
      <c r="AR15">
        <v>17</v>
      </c>
      <c r="AS15">
        <v>213.9411764706</v>
      </c>
      <c r="AT15">
        <v>5</v>
      </c>
      <c r="AU15">
        <v>125.8</v>
      </c>
    </row>
    <row r="16" spans="2:51" x14ac:dyDescent="0.2">
      <c r="F16" t="s">
        <v>51</v>
      </c>
      <c r="G16">
        <v>8281</v>
      </c>
      <c r="H16">
        <v>6486</v>
      </c>
      <c r="I16">
        <v>493.56506321310002</v>
      </c>
      <c r="J16">
        <v>115</v>
      </c>
      <c r="K16">
        <v>720.71304347830005</v>
      </c>
      <c r="L16">
        <v>1396</v>
      </c>
      <c r="M16">
        <v>960.90616045850004</v>
      </c>
      <c r="N16">
        <v>396</v>
      </c>
      <c r="O16">
        <v>653.58585858590004</v>
      </c>
      <c r="R16">
        <v>3</v>
      </c>
      <c r="S16">
        <v>75</v>
      </c>
      <c r="V16" t="s">
        <v>426</v>
      </c>
      <c r="W16">
        <v>434</v>
      </c>
      <c r="X16">
        <v>319</v>
      </c>
      <c r="Y16">
        <v>236.0407523511</v>
      </c>
      <c r="Z16">
        <v>8</v>
      </c>
      <c r="AA16">
        <v>549.875</v>
      </c>
      <c r="AB16">
        <v>71</v>
      </c>
      <c r="AC16">
        <v>216.14084507039999</v>
      </c>
      <c r="AD16">
        <v>16</v>
      </c>
      <c r="AE16">
        <v>226.8125</v>
      </c>
      <c r="AF16">
        <v>28</v>
      </c>
      <c r="AG16">
        <v>136.5</v>
      </c>
      <c r="AL16" t="s">
        <v>426</v>
      </c>
      <c r="AM16">
        <v>2</v>
      </c>
      <c r="AN16">
        <v>1</v>
      </c>
      <c r="AO16">
        <v>30</v>
      </c>
      <c r="AP16">
        <v>3</v>
      </c>
      <c r="AQ16">
        <v>114</v>
      </c>
      <c r="AR16">
        <v>1</v>
      </c>
      <c r="AS16">
        <v>3</v>
      </c>
    </row>
    <row r="17" spans="6:49" x14ac:dyDescent="0.2">
      <c r="F17" t="s">
        <v>397</v>
      </c>
      <c r="G17">
        <v>51872</v>
      </c>
      <c r="H17">
        <v>38333</v>
      </c>
      <c r="I17">
        <v>443.81744189080001</v>
      </c>
      <c r="J17">
        <v>2896</v>
      </c>
      <c r="K17">
        <v>449.00138121549998</v>
      </c>
      <c r="L17">
        <v>9838</v>
      </c>
      <c r="M17">
        <v>742.67838991660005</v>
      </c>
      <c r="N17">
        <v>3622</v>
      </c>
      <c r="O17">
        <v>531.53672004420002</v>
      </c>
      <c r="R17">
        <v>79</v>
      </c>
      <c r="S17">
        <v>460.39240506329998</v>
      </c>
      <c r="V17" t="s">
        <v>427</v>
      </c>
      <c r="W17">
        <v>197</v>
      </c>
      <c r="X17">
        <v>53</v>
      </c>
      <c r="Y17">
        <v>279.0188679245</v>
      </c>
      <c r="Z17">
        <v>23</v>
      </c>
      <c r="AA17">
        <v>268.26086956519998</v>
      </c>
      <c r="AB17">
        <v>37</v>
      </c>
      <c r="AC17">
        <v>388.1081081081</v>
      </c>
      <c r="AD17">
        <v>45</v>
      </c>
      <c r="AE17">
        <v>253.9333333333</v>
      </c>
      <c r="AF17">
        <v>58</v>
      </c>
      <c r="AG17">
        <v>190.5</v>
      </c>
      <c r="AH17">
        <v>4</v>
      </c>
      <c r="AI17">
        <v>172.5</v>
      </c>
      <c r="AL17" t="s">
        <v>427</v>
      </c>
      <c r="AM17">
        <v>6</v>
      </c>
      <c r="AN17">
        <v>4</v>
      </c>
      <c r="AO17">
        <v>176.5</v>
      </c>
      <c r="AP17">
        <v>6</v>
      </c>
      <c r="AQ17">
        <v>166.5</v>
      </c>
      <c r="AR17">
        <v>2</v>
      </c>
      <c r="AS17">
        <v>129</v>
      </c>
    </row>
    <row r="18" spans="6:49" x14ac:dyDescent="0.2">
      <c r="F18" t="s">
        <v>71</v>
      </c>
      <c r="G18">
        <v>2877</v>
      </c>
      <c r="H18">
        <v>2325</v>
      </c>
      <c r="I18">
        <v>262.53075268819998</v>
      </c>
      <c r="J18">
        <v>145</v>
      </c>
      <c r="K18">
        <v>673.86896551719997</v>
      </c>
      <c r="L18">
        <v>324</v>
      </c>
      <c r="M18">
        <v>280.16358024689998</v>
      </c>
      <c r="N18">
        <v>225</v>
      </c>
      <c r="O18">
        <v>499.82222222220003</v>
      </c>
      <c r="R18">
        <v>3</v>
      </c>
      <c r="S18">
        <v>894.66666666670005</v>
      </c>
      <c r="V18" t="s">
        <v>397</v>
      </c>
      <c r="W18">
        <v>53709</v>
      </c>
      <c r="X18">
        <v>37997</v>
      </c>
      <c r="Y18">
        <v>442.96794483780002</v>
      </c>
      <c r="Z18">
        <v>2829</v>
      </c>
      <c r="AA18">
        <v>458.72393071760001</v>
      </c>
      <c r="AB18">
        <v>9778</v>
      </c>
      <c r="AC18">
        <v>742.11341787690003</v>
      </c>
      <c r="AD18">
        <v>3658</v>
      </c>
      <c r="AE18">
        <v>531.55740841989996</v>
      </c>
      <c r="AF18">
        <v>2197</v>
      </c>
      <c r="AG18">
        <v>188.4638142922</v>
      </c>
      <c r="AH18">
        <v>79</v>
      </c>
      <c r="AI18">
        <v>462.582278481</v>
      </c>
      <c r="AL18" t="s">
        <v>397</v>
      </c>
      <c r="AM18">
        <v>1130</v>
      </c>
      <c r="AN18">
        <v>917</v>
      </c>
      <c r="AO18">
        <v>276.72191930209999</v>
      </c>
      <c r="AP18">
        <v>174</v>
      </c>
      <c r="AQ18">
        <v>367.39655172409999</v>
      </c>
      <c r="AR18">
        <v>176</v>
      </c>
      <c r="AS18">
        <v>227.1647727273</v>
      </c>
      <c r="AT18">
        <v>34</v>
      </c>
      <c r="AU18">
        <v>161.5882352941</v>
      </c>
      <c r="AV18">
        <v>3</v>
      </c>
      <c r="AW18">
        <v>148.3333333333</v>
      </c>
    </row>
    <row r="19" spans="6:49" x14ac:dyDescent="0.2">
      <c r="F19" t="s">
        <v>37</v>
      </c>
      <c r="G19">
        <v>891</v>
      </c>
      <c r="H19">
        <v>573</v>
      </c>
      <c r="I19">
        <v>250.30541012219999</v>
      </c>
      <c r="J19">
        <v>60</v>
      </c>
      <c r="K19">
        <v>487.73333333329998</v>
      </c>
      <c r="L19">
        <v>140</v>
      </c>
      <c r="M19">
        <v>252.5142857143</v>
      </c>
      <c r="N19">
        <v>174</v>
      </c>
      <c r="O19">
        <v>572.06896551720001</v>
      </c>
      <c r="R19">
        <v>4</v>
      </c>
      <c r="S19">
        <v>353.25</v>
      </c>
      <c r="V19" t="s">
        <v>415</v>
      </c>
      <c r="W19">
        <v>979</v>
      </c>
      <c r="X19">
        <v>602</v>
      </c>
      <c r="Y19">
        <v>269.96511627910002</v>
      </c>
      <c r="Z19">
        <v>63</v>
      </c>
      <c r="AA19">
        <v>514.41269841270002</v>
      </c>
      <c r="AB19">
        <v>145</v>
      </c>
      <c r="AC19">
        <v>260.31034482759998</v>
      </c>
      <c r="AD19">
        <v>164</v>
      </c>
      <c r="AE19">
        <v>568.99390243899995</v>
      </c>
      <c r="AF19">
        <v>65</v>
      </c>
      <c r="AG19">
        <v>183.66153846149999</v>
      </c>
      <c r="AH19">
        <v>3</v>
      </c>
      <c r="AI19">
        <v>416.6666666667</v>
      </c>
      <c r="AL19" t="s">
        <v>415</v>
      </c>
      <c r="AM19">
        <v>6</v>
      </c>
      <c r="AN19">
        <v>5</v>
      </c>
      <c r="AO19">
        <v>76.599999999999994</v>
      </c>
      <c r="AP19">
        <v>7</v>
      </c>
      <c r="AQ19">
        <v>196.1428571429</v>
      </c>
      <c r="AR19">
        <v>1</v>
      </c>
      <c r="AS19">
        <v>32</v>
      </c>
    </row>
    <row r="20" spans="6:49" x14ac:dyDescent="0.2">
      <c r="F20" t="s">
        <v>58</v>
      </c>
      <c r="G20">
        <v>1027</v>
      </c>
      <c r="H20">
        <v>456</v>
      </c>
      <c r="I20">
        <v>176.8179824561</v>
      </c>
      <c r="J20">
        <v>135</v>
      </c>
      <c r="K20">
        <v>327.17777777779997</v>
      </c>
      <c r="L20">
        <v>214</v>
      </c>
      <c r="M20">
        <v>323.70560747659999</v>
      </c>
      <c r="N20">
        <v>354</v>
      </c>
      <c r="O20">
        <v>566.52259887009996</v>
      </c>
      <c r="R20">
        <v>3</v>
      </c>
      <c r="S20">
        <v>505</v>
      </c>
      <c r="V20" t="s">
        <v>431</v>
      </c>
      <c r="W20">
        <v>291</v>
      </c>
      <c r="X20">
        <v>128</v>
      </c>
      <c r="Y20">
        <v>209</v>
      </c>
      <c r="Z20">
        <v>132</v>
      </c>
      <c r="AA20">
        <v>208.8333333333</v>
      </c>
      <c r="AB20">
        <v>68</v>
      </c>
      <c r="AC20">
        <v>221.7794117647</v>
      </c>
      <c r="AD20">
        <v>54</v>
      </c>
      <c r="AE20">
        <v>515.0925925926</v>
      </c>
      <c r="AF20">
        <v>39</v>
      </c>
      <c r="AG20">
        <v>102.8974358974</v>
      </c>
      <c r="AH20">
        <v>2</v>
      </c>
      <c r="AI20">
        <v>432</v>
      </c>
      <c r="AL20" t="s">
        <v>431</v>
      </c>
      <c r="AM20">
        <v>4</v>
      </c>
      <c r="AN20">
        <v>4</v>
      </c>
      <c r="AO20">
        <v>224.75</v>
      </c>
      <c r="AP20">
        <v>1</v>
      </c>
      <c r="AQ20">
        <v>358</v>
      </c>
    </row>
    <row r="21" spans="6:49" x14ac:dyDescent="0.2">
      <c r="F21" t="s">
        <v>65</v>
      </c>
      <c r="G21">
        <v>8954</v>
      </c>
      <c r="H21">
        <v>7164</v>
      </c>
      <c r="I21">
        <v>385.35455053039999</v>
      </c>
      <c r="J21">
        <v>444</v>
      </c>
      <c r="K21">
        <v>696.41891891889998</v>
      </c>
      <c r="L21">
        <v>1366</v>
      </c>
      <c r="M21">
        <v>697.79062957539998</v>
      </c>
      <c r="N21">
        <v>413</v>
      </c>
      <c r="O21">
        <v>600.37046004839999</v>
      </c>
      <c r="R21">
        <v>11</v>
      </c>
      <c r="S21">
        <v>457.90909090909997</v>
      </c>
      <c r="V21" t="s">
        <v>435</v>
      </c>
      <c r="W21">
        <v>1045</v>
      </c>
      <c r="X21">
        <v>795</v>
      </c>
      <c r="Y21">
        <v>292.42893081760002</v>
      </c>
      <c r="Z21">
        <v>72</v>
      </c>
      <c r="AA21">
        <v>511.1527777778</v>
      </c>
      <c r="AB21">
        <v>147</v>
      </c>
      <c r="AC21">
        <v>379.3945578231</v>
      </c>
      <c r="AD21">
        <v>55</v>
      </c>
      <c r="AE21">
        <v>504.25454545449998</v>
      </c>
      <c r="AF21">
        <v>47</v>
      </c>
      <c r="AG21">
        <v>176.80851063829999</v>
      </c>
      <c r="AH21">
        <v>1</v>
      </c>
      <c r="AI21">
        <v>221</v>
      </c>
      <c r="AL21" t="s">
        <v>435</v>
      </c>
      <c r="AM21">
        <v>6</v>
      </c>
      <c r="AN21">
        <v>5</v>
      </c>
      <c r="AO21">
        <v>124.4</v>
      </c>
      <c r="AP21">
        <v>5</v>
      </c>
      <c r="AQ21">
        <v>156</v>
      </c>
      <c r="AT21">
        <v>1</v>
      </c>
      <c r="AU21">
        <v>151</v>
      </c>
    </row>
    <row r="22" spans="6:49" x14ac:dyDescent="0.2">
      <c r="F22" t="s">
        <v>67</v>
      </c>
      <c r="G22">
        <v>7089</v>
      </c>
      <c r="H22">
        <v>5197</v>
      </c>
      <c r="I22">
        <v>347.33480854340002</v>
      </c>
      <c r="J22">
        <v>253</v>
      </c>
      <c r="K22">
        <v>704.93675889329995</v>
      </c>
      <c r="L22">
        <v>1549</v>
      </c>
      <c r="M22">
        <v>741.65461588120002</v>
      </c>
      <c r="N22">
        <v>329</v>
      </c>
      <c r="O22">
        <v>637.62310030399999</v>
      </c>
      <c r="R22">
        <v>14</v>
      </c>
      <c r="S22">
        <v>456.78571428570001</v>
      </c>
      <c r="V22" t="s">
        <v>420</v>
      </c>
      <c r="W22">
        <v>2971</v>
      </c>
      <c r="X22">
        <v>2287</v>
      </c>
      <c r="Y22">
        <v>266.71316134670002</v>
      </c>
      <c r="Z22">
        <v>136</v>
      </c>
      <c r="AA22">
        <v>644.79411764710005</v>
      </c>
      <c r="AB22">
        <v>335</v>
      </c>
      <c r="AC22">
        <v>314.14925373130001</v>
      </c>
      <c r="AD22">
        <v>228</v>
      </c>
      <c r="AE22">
        <v>481.19298245610003</v>
      </c>
      <c r="AF22">
        <v>118</v>
      </c>
      <c r="AG22">
        <v>230.85593220339999</v>
      </c>
      <c r="AH22">
        <v>3</v>
      </c>
      <c r="AI22">
        <v>894.66666666670005</v>
      </c>
      <c r="AL22" t="s">
        <v>420</v>
      </c>
      <c r="AM22">
        <v>26</v>
      </c>
      <c r="AN22">
        <v>16</v>
      </c>
      <c r="AO22">
        <v>98.1875</v>
      </c>
      <c r="AP22">
        <v>23</v>
      </c>
      <c r="AQ22">
        <v>272.39130434779997</v>
      </c>
      <c r="AR22">
        <v>5</v>
      </c>
      <c r="AS22">
        <v>160.19999999999999</v>
      </c>
      <c r="AT22">
        <v>4</v>
      </c>
      <c r="AU22">
        <v>194</v>
      </c>
      <c r="AV22">
        <v>1</v>
      </c>
      <c r="AW22">
        <v>73</v>
      </c>
    </row>
    <row r="23" spans="6:49" x14ac:dyDescent="0.2">
      <c r="F23" t="s">
        <v>76</v>
      </c>
      <c r="G23">
        <v>4829</v>
      </c>
      <c r="H23">
        <v>3809</v>
      </c>
      <c r="I23">
        <v>257.2076660541</v>
      </c>
      <c r="J23">
        <v>382</v>
      </c>
      <c r="K23">
        <v>524.89267015710004</v>
      </c>
      <c r="L23">
        <v>772</v>
      </c>
      <c r="M23">
        <v>408.91062176169999</v>
      </c>
      <c r="N23">
        <v>245</v>
      </c>
      <c r="O23">
        <v>491.91428571429998</v>
      </c>
      <c r="R23">
        <v>3</v>
      </c>
      <c r="S23">
        <v>331.6666666667</v>
      </c>
      <c r="V23" t="s">
        <v>416</v>
      </c>
      <c r="W23">
        <v>5483</v>
      </c>
      <c r="X23">
        <v>3628</v>
      </c>
      <c r="Y23">
        <v>363.49117971330003</v>
      </c>
      <c r="Z23">
        <v>252</v>
      </c>
      <c r="AA23">
        <v>628.03571428570001</v>
      </c>
      <c r="AB23">
        <v>1481</v>
      </c>
      <c r="AC23">
        <v>541.85415259959996</v>
      </c>
      <c r="AD23">
        <v>225</v>
      </c>
      <c r="AE23">
        <v>462.97777777779999</v>
      </c>
      <c r="AF23">
        <v>144</v>
      </c>
      <c r="AG23">
        <v>170.5763888889</v>
      </c>
      <c r="AH23">
        <v>5</v>
      </c>
      <c r="AI23">
        <v>336.2</v>
      </c>
      <c r="AL23" t="s">
        <v>416</v>
      </c>
      <c r="AM23">
        <v>36</v>
      </c>
      <c r="AN23">
        <v>23</v>
      </c>
      <c r="AO23">
        <v>104.82608695650001</v>
      </c>
      <c r="AP23">
        <v>23</v>
      </c>
      <c r="AQ23">
        <v>221</v>
      </c>
      <c r="AR23">
        <v>11</v>
      </c>
      <c r="AS23">
        <v>217.36363636359999</v>
      </c>
      <c r="AT23">
        <v>1</v>
      </c>
      <c r="AU23">
        <v>31</v>
      </c>
      <c r="AV23">
        <v>1</v>
      </c>
      <c r="AW23">
        <v>39</v>
      </c>
    </row>
    <row r="24" spans="6:49" x14ac:dyDescent="0.2">
      <c r="F24" t="s">
        <v>48</v>
      </c>
      <c r="G24">
        <v>1266</v>
      </c>
      <c r="H24">
        <v>988</v>
      </c>
      <c r="I24">
        <v>291.16295546560002</v>
      </c>
      <c r="J24">
        <v>91</v>
      </c>
      <c r="K24">
        <v>508.52747252749998</v>
      </c>
      <c r="L24">
        <v>208</v>
      </c>
      <c r="M24">
        <v>439.67788461539999</v>
      </c>
      <c r="N24">
        <v>68</v>
      </c>
      <c r="O24">
        <v>522.8088235294</v>
      </c>
      <c r="R24">
        <v>2</v>
      </c>
      <c r="S24">
        <v>151.5</v>
      </c>
      <c r="V24" t="s">
        <v>433</v>
      </c>
      <c r="W24">
        <v>7179</v>
      </c>
      <c r="X24">
        <v>5173</v>
      </c>
      <c r="Y24">
        <v>348.69998066890003</v>
      </c>
      <c r="Z24">
        <v>264</v>
      </c>
      <c r="AA24">
        <v>693.18560606059998</v>
      </c>
      <c r="AB24">
        <v>1493</v>
      </c>
      <c r="AC24">
        <v>716.2304085733</v>
      </c>
      <c r="AD24">
        <v>335</v>
      </c>
      <c r="AE24">
        <v>618.95223880599997</v>
      </c>
      <c r="AF24">
        <v>163</v>
      </c>
      <c r="AG24">
        <v>249.88343558279999</v>
      </c>
      <c r="AH24">
        <v>15</v>
      </c>
      <c r="AI24">
        <v>469.86666666669998</v>
      </c>
      <c r="AL24" t="s">
        <v>433</v>
      </c>
      <c r="AM24">
        <v>45</v>
      </c>
      <c r="AN24">
        <v>32</v>
      </c>
      <c r="AO24">
        <v>140.9375</v>
      </c>
      <c r="AP24">
        <v>44</v>
      </c>
      <c r="AQ24">
        <v>201.8181818182</v>
      </c>
      <c r="AR24">
        <v>11</v>
      </c>
      <c r="AS24">
        <v>104</v>
      </c>
      <c r="AT24">
        <v>1</v>
      </c>
      <c r="AU24">
        <v>159</v>
      </c>
      <c r="AV24">
        <v>1</v>
      </c>
      <c r="AW24">
        <v>68</v>
      </c>
    </row>
    <row r="25" spans="6:49" x14ac:dyDescent="0.2">
      <c r="F25" t="s">
        <v>69</v>
      </c>
      <c r="G25">
        <v>5415</v>
      </c>
      <c r="H25">
        <v>3663</v>
      </c>
      <c r="I25">
        <v>365.76003276</v>
      </c>
      <c r="J25">
        <v>262</v>
      </c>
      <c r="K25">
        <v>634.9847328244</v>
      </c>
      <c r="L25">
        <v>1524</v>
      </c>
      <c r="M25">
        <v>547.80249343829996</v>
      </c>
      <c r="N25">
        <v>222</v>
      </c>
      <c r="O25">
        <v>466.14414414409998</v>
      </c>
      <c r="R25">
        <v>6</v>
      </c>
      <c r="S25">
        <v>345.1666666667</v>
      </c>
      <c r="V25" t="s">
        <v>414</v>
      </c>
      <c r="W25">
        <v>18339</v>
      </c>
      <c r="X25">
        <v>14223</v>
      </c>
      <c r="Y25">
        <v>328.85270336780002</v>
      </c>
      <c r="Z25">
        <v>1439</v>
      </c>
      <c r="AA25">
        <v>486.02223766499998</v>
      </c>
      <c r="AB25">
        <v>2528</v>
      </c>
      <c r="AC25">
        <v>496.75712025320001</v>
      </c>
      <c r="AD25">
        <v>892</v>
      </c>
      <c r="AE25">
        <v>466.00448430490002</v>
      </c>
      <c r="AF25">
        <v>677</v>
      </c>
      <c r="AG25">
        <v>181.2525849335</v>
      </c>
      <c r="AH25">
        <v>19</v>
      </c>
      <c r="AI25">
        <v>373.73684210530001</v>
      </c>
      <c r="AL25" t="s">
        <v>414</v>
      </c>
      <c r="AM25">
        <v>214</v>
      </c>
      <c r="AN25">
        <v>159</v>
      </c>
      <c r="AO25">
        <v>153.19496855349999</v>
      </c>
      <c r="AP25">
        <v>151</v>
      </c>
      <c r="AQ25">
        <v>207.86754966890001</v>
      </c>
      <c r="AR25">
        <v>40</v>
      </c>
      <c r="AS25">
        <v>154.44999999999999</v>
      </c>
      <c r="AT25">
        <v>9</v>
      </c>
      <c r="AU25">
        <v>246.6666666667</v>
      </c>
      <c r="AV25">
        <v>6</v>
      </c>
      <c r="AW25">
        <v>72</v>
      </c>
    </row>
    <row r="26" spans="6:49" x14ac:dyDescent="0.2">
      <c r="F26" t="s">
        <v>35</v>
      </c>
      <c r="G26">
        <v>215</v>
      </c>
      <c r="H26">
        <v>92</v>
      </c>
      <c r="I26">
        <v>117.0434782609</v>
      </c>
      <c r="J26">
        <v>134</v>
      </c>
      <c r="K26">
        <v>201.2164179104</v>
      </c>
      <c r="L26">
        <v>61</v>
      </c>
      <c r="M26">
        <v>144.01639344259999</v>
      </c>
      <c r="N26">
        <v>60</v>
      </c>
      <c r="O26">
        <v>497.6</v>
      </c>
      <c r="R26">
        <v>2</v>
      </c>
      <c r="S26">
        <v>432</v>
      </c>
      <c r="V26" t="s">
        <v>412</v>
      </c>
      <c r="W26">
        <v>2000</v>
      </c>
      <c r="X26">
        <v>1498</v>
      </c>
      <c r="Y26">
        <v>303.44125500669998</v>
      </c>
      <c r="Z26">
        <v>160</v>
      </c>
      <c r="AA26">
        <v>474.19375000000002</v>
      </c>
      <c r="AB26">
        <v>289</v>
      </c>
      <c r="AC26">
        <v>270.5743944637</v>
      </c>
      <c r="AD26">
        <v>118</v>
      </c>
      <c r="AE26">
        <v>385.38135593219999</v>
      </c>
      <c r="AF26">
        <v>95</v>
      </c>
      <c r="AG26">
        <v>149.03157894739999</v>
      </c>
      <c r="AL26" t="s">
        <v>412</v>
      </c>
      <c r="AM26">
        <v>16</v>
      </c>
      <c r="AN26">
        <v>14</v>
      </c>
      <c r="AO26">
        <v>136.21428571429999</v>
      </c>
      <c r="AP26">
        <v>20</v>
      </c>
      <c r="AQ26">
        <v>196.25</v>
      </c>
      <c r="AR26">
        <v>2</v>
      </c>
      <c r="AS26">
        <v>408.5</v>
      </c>
    </row>
    <row r="27" spans="6:49" x14ac:dyDescent="0.2">
      <c r="F27" t="s">
        <v>74</v>
      </c>
      <c r="G27">
        <v>4143</v>
      </c>
      <c r="H27">
        <v>3590</v>
      </c>
      <c r="I27">
        <v>196.7442896936</v>
      </c>
      <c r="J27">
        <v>508</v>
      </c>
      <c r="K27">
        <v>344.71062992129998</v>
      </c>
      <c r="L27">
        <v>370</v>
      </c>
      <c r="M27">
        <v>151.5</v>
      </c>
      <c r="N27">
        <v>178</v>
      </c>
      <c r="O27">
        <v>191.66292134829999</v>
      </c>
      <c r="R27">
        <v>5</v>
      </c>
      <c r="S27">
        <v>278.39999999999998</v>
      </c>
      <c r="V27" t="s">
        <v>83</v>
      </c>
      <c r="W27">
        <v>5052</v>
      </c>
      <c r="X27">
        <v>3826</v>
      </c>
      <c r="Y27">
        <v>263.95216936750001</v>
      </c>
      <c r="Z27">
        <v>380</v>
      </c>
      <c r="AA27">
        <v>524.26842105260005</v>
      </c>
      <c r="AB27">
        <v>795</v>
      </c>
      <c r="AC27">
        <v>438.49811320750001</v>
      </c>
      <c r="AD27">
        <v>252</v>
      </c>
      <c r="AE27">
        <v>488.2222222222</v>
      </c>
      <c r="AF27">
        <v>177</v>
      </c>
      <c r="AG27">
        <v>167.09039548019999</v>
      </c>
      <c r="AH27">
        <v>2</v>
      </c>
      <c r="AI27">
        <v>171</v>
      </c>
      <c r="AL27" t="s">
        <v>83</v>
      </c>
      <c r="AM27">
        <v>57</v>
      </c>
      <c r="AN27">
        <v>40</v>
      </c>
      <c r="AO27">
        <v>124.125</v>
      </c>
      <c r="AP27">
        <v>36</v>
      </c>
      <c r="AQ27">
        <v>175.9166666667</v>
      </c>
      <c r="AR27">
        <v>12</v>
      </c>
      <c r="AS27">
        <v>179.9166666667</v>
      </c>
      <c r="AT27">
        <v>3</v>
      </c>
      <c r="AU27">
        <v>231.6666666667</v>
      </c>
      <c r="AV27">
        <v>2</v>
      </c>
      <c r="AW27">
        <v>206</v>
      </c>
    </row>
    <row r="28" spans="6:49" x14ac:dyDescent="0.2">
      <c r="F28" t="s">
        <v>34</v>
      </c>
      <c r="G28">
        <v>1828</v>
      </c>
      <c r="H28">
        <v>1420</v>
      </c>
      <c r="I28">
        <v>305.84859154930001</v>
      </c>
      <c r="J28">
        <v>169</v>
      </c>
      <c r="K28">
        <v>491.68639053250001</v>
      </c>
      <c r="L28">
        <v>295</v>
      </c>
      <c r="M28">
        <v>274.14576271189998</v>
      </c>
      <c r="N28">
        <v>113</v>
      </c>
      <c r="O28">
        <v>364.1415929204</v>
      </c>
      <c r="V28" t="s">
        <v>411</v>
      </c>
      <c r="W28">
        <v>43339</v>
      </c>
      <c r="X28">
        <v>32160</v>
      </c>
      <c r="Y28">
        <v>320.14937810949999</v>
      </c>
      <c r="Z28">
        <v>2898</v>
      </c>
      <c r="AA28">
        <v>517.67218771570003</v>
      </c>
      <c r="AB28">
        <v>7281</v>
      </c>
      <c r="AC28">
        <v>517.54690289799998</v>
      </c>
      <c r="AD28">
        <v>2323</v>
      </c>
      <c r="AE28">
        <v>496.89108910890002</v>
      </c>
      <c r="AF28">
        <v>1525</v>
      </c>
      <c r="AG28">
        <v>185.7291803279</v>
      </c>
      <c r="AH28">
        <v>50</v>
      </c>
      <c r="AI28">
        <v>423.82</v>
      </c>
      <c r="AL28" t="s">
        <v>411</v>
      </c>
      <c r="AM28">
        <v>410</v>
      </c>
      <c r="AN28">
        <v>298</v>
      </c>
      <c r="AO28">
        <v>139.6845637584</v>
      </c>
      <c r="AP28">
        <v>310</v>
      </c>
      <c r="AQ28">
        <v>207.69354838710001</v>
      </c>
      <c r="AR28">
        <v>82</v>
      </c>
      <c r="AS28">
        <v>164.9024390244</v>
      </c>
      <c r="AT28">
        <v>19</v>
      </c>
      <c r="AU28">
        <v>212.2105263158</v>
      </c>
      <c r="AV28">
        <v>11</v>
      </c>
      <c r="AW28">
        <v>93.090909090899999</v>
      </c>
    </row>
    <row r="29" spans="6:49" x14ac:dyDescent="0.2">
      <c r="F29" t="s">
        <v>55</v>
      </c>
      <c r="G29">
        <v>4547</v>
      </c>
      <c r="H29">
        <v>3551</v>
      </c>
      <c r="I29">
        <v>336.18755280200003</v>
      </c>
      <c r="J29">
        <v>480</v>
      </c>
      <c r="K29">
        <v>426.02708333330003</v>
      </c>
      <c r="L29">
        <v>763</v>
      </c>
      <c r="M29">
        <v>299.49148099609999</v>
      </c>
      <c r="N29">
        <v>232</v>
      </c>
      <c r="O29">
        <v>370.70689655170003</v>
      </c>
      <c r="R29">
        <v>1</v>
      </c>
      <c r="S29">
        <v>215</v>
      </c>
      <c r="V29" t="s">
        <v>395</v>
      </c>
      <c r="W29">
        <v>10591</v>
      </c>
      <c r="X29">
        <v>5383</v>
      </c>
      <c r="Y29">
        <v>291.3878877949</v>
      </c>
      <c r="Z29">
        <v>689</v>
      </c>
      <c r="AA29">
        <v>577.4629898403</v>
      </c>
      <c r="AB29">
        <v>3552</v>
      </c>
      <c r="AC29">
        <v>867.14949324320003</v>
      </c>
      <c r="AD29">
        <v>1144</v>
      </c>
      <c r="AE29">
        <v>532.99213286710005</v>
      </c>
      <c r="AF29">
        <v>491</v>
      </c>
      <c r="AG29">
        <v>207.31364562120001</v>
      </c>
      <c r="AH29">
        <v>21</v>
      </c>
      <c r="AI29">
        <v>532.38095238100004</v>
      </c>
      <c r="AL29" t="s">
        <v>395</v>
      </c>
      <c r="AM29">
        <v>178</v>
      </c>
      <c r="AN29">
        <v>144</v>
      </c>
      <c r="AO29">
        <v>263.5</v>
      </c>
      <c r="AP29">
        <v>17</v>
      </c>
      <c r="AQ29">
        <v>308.0588235294</v>
      </c>
      <c r="AR29">
        <v>27</v>
      </c>
      <c r="AS29">
        <v>267.9259259259</v>
      </c>
      <c r="AT29">
        <v>7</v>
      </c>
      <c r="AU29">
        <v>87.571428571400006</v>
      </c>
    </row>
    <row r="30" spans="6:49" x14ac:dyDescent="0.2">
      <c r="F30" t="s">
        <v>411</v>
      </c>
      <c r="G30">
        <v>43081</v>
      </c>
      <c r="H30">
        <v>32828</v>
      </c>
      <c r="I30">
        <v>315.35749969540001</v>
      </c>
      <c r="J30">
        <v>3063</v>
      </c>
      <c r="K30">
        <v>509.80019588639999</v>
      </c>
      <c r="L30">
        <v>7586</v>
      </c>
      <c r="M30">
        <v>515.89915634060003</v>
      </c>
      <c r="N30">
        <v>2613</v>
      </c>
      <c r="O30">
        <v>505.53310371219999</v>
      </c>
      <c r="R30">
        <v>54</v>
      </c>
      <c r="S30">
        <v>423.7777777778</v>
      </c>
      <c r="V30" t="s">
        <v>432</v>
      </c>
      <c r="W30">
        <v>29633</v>
      </c>
      <c r="X30">
        <v>25036</v>
      </c>
      <c r="Y30">
        <v>441.3587234382</v>
      </c>
      <c r="Z30">
        <v>1429</v>
      </c>
      <c r="AA30">
        <v>720.25962211340004</v>
      </c>
      <c r="AB30">
        <v>1558</v>
      </c>
      <c r="AC30">
        <v>298.66880616169999</v>
      </c>
      <c r="AD30">
        <v>1917</v>
      </c>
      <c r="AE30">
        <v>330.64162754300003</v>
      </c>
      <c r="AF30">
        <v>1107</v>
      </c>
      <c r="AG30">
        <v>169.94489611559999</v>
      </c>
      <c r="AH30">
        <v>15</v>
      </c>
      <c r="AI30">
        <v>281.26666666670002</v>
      </c>
      <c r="AL30" t="s">
        <v>432</v>
      </c>
      <c r="AM30">
        <v>515</v>
      </c>
      <c r="AN30">
        <v>443</v>
      </c>
      <c r="AO30">
        <v>265.46049661400002</v>
      </c>
      <c r="AP30">
        <v>63</v>
      </c>
      <c r="AQ30">
        <v>359.65079365079998</v>
      </c>
      <c r="AR30">
        <v>61</v>
      </c>
      <c r="AS30">
        <v>199.18032786890001</v>
      </c>
      <c r="AT30">
        <v>10</v>
      </c>
      <c r="AU30">
        <v>218.4</v>
      </c>
      <c r="AV30">
        <v>1</v>
      </c>
      <c r="AW30">
        <v>176</v>
      </c>
    </row>
    <row r="31" spans="6:49" x14ac:dyDescent="0.2">
      <c r="F31" t="s">
        <v>25</v>
      </c>
      <c r="G31">
        <v>16882</v>
      </c>
      <c r="H31">
        <v>14349</v>
      </c>
      <c r="I31">
        <v>546.70757544080004</v>
      </c>
      <c r="J31">
        <v>359</v>
      </c>
      <c r="K31">
        <v>777.21169916429994</v>
      </c>
      <c r="L31">
        <v>1651</v>
      </c>
      <c r="M31">
        <v>545.56692913389998</v>
      </c>
      <c r="N31">
        <v>867</v>
      </c>
      <c r="O31">
        <v>347.99423298729999</v>
      </c>
      <c r="R31">
        <v>15</v>
      </c>
      <c r="S31">
        <v>399.6666666667</v>
      </c>
      <c r="V31" t="s">
        <v>388</v>
      </c>
      <c r="W31">
        <v>17433</v>
      </c>
      <c r="X31">
        <v>14262</v>
      </c>
      <c r="Y31">
        <v>543.37358014300003</v>
      </c>
      <c r="Z31">
        <v>388</v>
      </c>
      <c r="AA31">
        <v>758.35309278349996</v>
      </c>
      <c r="AB31">
        <v>1717</v>
      </c>
      <c r="AC31">
        <v>567.84449621429997</v>
      </c>
      <c r="AD31">
        <v>900</v>
      </c>
      <c r="AE31">
        <v>356.77</v>
      </c>
      <c r="AF31">
        <v>539</v>
      </c>
      <c r="AG31">
        <v>178.02411873840001</v>
      </c>
      <c r="AH31">
        <v>15</v>
      </c>
      <c r="AI31">
        <v>399.6666666667</v>
      </c>
      <c r="AL31" t="s">
        <v>388</v>
      </c>
      <c r="AM31">
        <v>328</v>
      </c>
      <c r="AN31">
        <v>265</v>
      </c>
      <c r="AO31">
        <v>295.77735849060002</v>
      </c>
      <c r="AP31">
        <v>43</v>
      </c>
      <c r="AQ31">
        <v>349.18604651160001</v>
      </c>
      <c r="AR31">
        <v>47</v>
      </c>
      <c r="AS31">
        <v>259.02127659569999</v>
      </c>
      <c r="AT31">
        <v>14</v>
      </c>
      <c r="AU31">
        <v>150.8571428571</v>
      </c>
      <c r="AV31">
        <v>2</v>
      </c>
      <c r="AW31">
        <v>73.5</v>
      </c>
    </row>
    <row r="32" spans="6:49" x14ac:dyDescent="0.2">
      <c r="F32" t="s">
        <v>42</v>
      </c>
      <c r="G32">
        <v>12206</v>
      </c>
      <c r="H32">
        <v>9447</v>
      </c>
      <c r="I32">
        <v>329.69969302419997</v>
      </c>
      <c r="J32">
        <v>283</v>
      </c>
      <c r="K32">
        <v>733.14487632509997</v>
      </c>
      <c r="L32">
        <v>1885</v>
      </c>
      <c r="M32">
        <v>532.65251989390003</v>
      </c>
      <c r="N32">
        <v>854</v>
      </c>
      <c r="O32">
        <v>564.36768149880004</v>
      </c>
      <c r="R32">
        <v>20</v>
      </c>
      <c r="S32">
        <v>542.6</v>
      </c>
      <c r="V32" t="s">
        <v>400</v>
      </c>
      <c r="W32">
        <v>3344</v>
      </c>
      <c r="X32">
        <v>2186</v>
      </c>
      <c r="Y32">
        <v>481.60430009150002</v>
      </c>
      <c r="Z32">
        <v>287</v>
      </c>
      <c r="AA32">
        <v>431.41114982580001</v>
      </c>
      <c r="AB32">
        <v>532</v>
      </c>
      <c r="AC32">
        <v>642.84774436090004</v>
      </c>
      <c r="AD32">
        <v>468</v>
      </c>
      <c r="AE32">
        <v>553.93376068379996</v>
      </c>
      <c r="AF32">
        <v>153</v>
      </c>
      <c r="AG32">
        <v>197.9934640523</v>
      </c>
      <c r="AH32">
        <v>5</v>
      </c>
      <c r="AI32">
        <v>629.6</v>
      </c>
      <c r="AL32" t="s">
        <v>400</v>
      </c>
      <c r="AM32">
        <v>105</v>
      </c>
      <c r="AN32">
        <v>89</v>
      </c>
      <c r="AO32">
        <v>398.33707865169998</v>
      </c>
      <c r="AP32">
        <v>10</v>
      </c>
      <c r="AQ32">
        <v>638.20000000000005</v>
      </c>
      <c r="AR32">
        <v>13</v>
      </c>
      <c r="AS32">
        <v>172.30769230769999</v>
      </c>
      <c r="AT32">
        <v>2</v>
      </c>
      <c r="AU32">
        <v>145</v>
      </c>
      <c r="AV32">
        <v>1</v>
      </c>
      <c r="AW32">
        <v>528</v>
      </c>
    </row>
    <row r="33" spans="6:49" x14ac:dyDescent="0.2">
      <c r="F33" t="s">
        <v>75</v>
      </c>
      <c r="G33">
        <v>6185</v>
      </c>
      <c r="H33">
        <v>2909</v>
      </c>
      <c r="I33">
        <v>385.0804400138</v>
      </c>
      <c r="J33">
        <v>254</v>
      </c>
      <c r="K33">
        <v>508.97637795280002</v>
      </c>
      <c r="L33">
        <v>2265</v>
      </c>
      <c r="M33">
        <v>698.24017660039999</v>
      </c>
      <c r="N33">
        <v>1009</v>
      </c>
      <c r="O33">
        <v>956.67393458870004</v>
      </c>
      <c r="R33">
        <v>2</v>
      </c>
      <c r="S33">
        <v>785</v>
      </c>
      <c r="V33" t="s">
        <v>391</v>
      </c>
      <c r="W33">
        <v>6943</v>
      </c>
      <c r="X33">
        <v>4215</v>
      </c>
      <c r="Y33">
        <v>269.93855278770002</v>
      </c>
      <c r="Z33">
        <v>624</v>
      </c>
      <c r="AA33">
        <v>524.24679487180003</v>
      </c>
      <c r="AB33">
        <v>1452</v>
      </c>
      <c r="AC33">
        <v>403.6370523416</v>
      </c>
      <c r="AD33">
        <v>822</v>
      </c>
      <c r="AE33">
        <v>458.02919708029998</v>
      </c>
      <c r="AF33">
        <v>443</v>
      </c>
      <c r="AG33">
        <v>190.62302483069999</v>
      </c>
      <c r="AH33">
        <v>11</v>
      </c>
      <c r="AI33">
        <v>444.36363636359999</v>
      </c>
      <c r="AL33" t="s">
        <v>391</v>
      </c>
      <c r="AM33">
        <v>204</v>
      </c>
      <c r="AN33">
        <v>166</v>
      </c>
      <c r="AO33">
        <v>245.6265060241</v>
      </c>
      <c r="AP33">
        <v>21</v>
      </c>
      <c r="AQ33">
        <v>437.04761904759999</v>
      </c>
      <c r="AR33">
        <v>33</v>
      </c>
      <c r="AS33">
        <v>317.03030303029999</v>
      </c>
      <c r="AT33">
        <v>4</v>
      </c>
      <c r="AU33">
        <v>282.25</v>
      </c>
      <c r="AV33">
        <v>1</v>
      </c>
      <c r="AW33">
        <v>72</v>
      </c>
    </row>
    <row r="34" spans="6:49" x14ac:dyDescent="0.2">
      <c r="F34" t="s">
        <v>61</v>
      </c>
      <c r="G34">
        <v>6333</v>
      </c>
      <c r="H34">
        <v>4094</v>
      </c>
      <c r="I34">
        <v>249.4765510503</v>
      </c>
      <c r="J34">
        <v>630</v>
      </c>
      <c r="K34">
        <v>519.71269841269998</v>
      </c>
      <c r="L34">
        <v>1400</v>
      </c>
      <c r="M34">
        <v>372.5171428571</v>
      </c>
      <c r="N34">
        <v>828</v>
      </c>
      <c r="O34">
        <v>449.83212560390001</v>
      </c>
      <c r="R34">
        <v>11</v>
      </c>
      <c r="S34">
        <v>443.72727272729998</v>
      </c>
      <c r="V34" t="s">
        <v>434</v>
      </c>
      <c r="W34">
        <v>6288</v>
      </c>
      <c r="X34">
        <v>2823</v>
      </c>
      <c r="Y34">
        <v>386.04427913569998</v>
      </c>
      <c r="Z34">
        <v>249</v>
      </c>
      <c r="AA34">
        <v>505.56224899599999</v>
      </c>
      <c r="AB34">
        <v>2203</v>
      </c>
      <c r="AC34">
        <v>698.14434861550001</v>
      </c>
      <c r="AD34">
        <v>980</v>
      </c>
      <c r="AE34">
        <v>954.81734693880003</v>
      </c>
      <c r="AF34">
        <v>280</v>
      </c>
      <c r="AG34">
        <v>193.3321428571</v>
      </c>
      <c r="AH34">
        <v>2</v>
      </c>
      <c r="AI34">
        <v>785</v>
      </c>
      <c r="AL34" t="s">
        <v>434</v>
      </c>
      <c r="AM34">
        <v>128</v>
      </c>
      <c r="AN34">
        <v>99</v>
      </c>
      <c r="AO34">
        <v>230.3838383838</v>
      </c>
      <c r="AP34">
        <v>12</v>
      </c>
      <c r="AQ34">
        <v>406.5833333333</v>
      </c>
      <c r="AR34">
        <v>18</v>
      </c>
      <c r="AS34">
        <v>241.3333333333</v>
      </c>
      <c r="AT34">
        <v>11</v>
      </c>
      <c r="AU34">
        <v>150.63636363640001</v>
      </c>
    </row>
    <row r="35" spans="6:49" x14ac:dyDescent="0.2">
      <c r="F35" t="s">
        <v>56</v>
      </c>
      <c r="G35">
        <v>4636</v>
      </c>
      <c r="H35">
        <v>3172</v>
      </c>
      <c r="I35">
        <v>501.46406052959998</v>
      </c>
      <c r="J35">
        <v>427</v>
      </c>
      <c r="K35">
        <v>419.40749414520002</v>
      </c>
      <c r="L35">
        <v>802</v>
      </c>
      <c r="M35">
        <v>632.5224438903</v>
      </c>
      <c r="N35">
        <v>653</v>
      </c>
      <c r="O35">
        <v>577.98468606430004</v>
      </c>
      <c r="R35">
        <v>9</v>
      </c>
      <c r="S35">
        <v>588.44444444440001</v>
      </c>
      <c r="V35" t="s">
        <v>390</v>
      </c>
      <c r="W35">
        <v>12530</v>
      </c>
      <c r="X35">
        <v>9364</v>
      </c>
      <c r="Y35">
        <v>334.55606578390001</v>
      </c>
      <c r="Z35">
        <v>293</v>
      </c>
      <c r="AA35">
        <v>716.64505119449996</v>
      </c>
      <c r="AB35">
        <v>1881</v>
      </c>
      <c r="AC35">
        <v>533.94045720359998</v>
      </c>
      <c r="AD35">
        <v>855</v>
      </c>
      <c r="AE35">
        <v>561.22690058479998</v>
      </c>
      <c r="AF35">
        <v>409</v>
      </c>
      <c r="AG35">
        <v>179.23960880199999</v>
      </c>
      <c r="AH35">
        <v>21</v>
      </c>
      <c r="AI35">
        <v>573.90476190480001</v>
      </c>
      <c r="AL35" t="s">
        <v>390</v>
      </c>
      <c r="AM35">
        <v>155</v>
      </c>
      <c r="AN35">
        <v>127</v>
      </c>
      <c r="AO35">
        <v>248.55118110239999</v>
      </c>
      <c r="AP35">
        <v>25</v>
      </c>
      <c r="AQ35">
        <v>372.24</v>
      </c>
      <c r="AR35">
        <v>22</v>
      </c>
      <c r="AS35">
        <v>204.7272727273</v>
      </c>
      <c r="AT35">
        <v>5</v>
      </c>
      <c r="AU35">
        <v>179.2</v>
      </c>
      <c r="AV35">
        <v>1</v>
      </c>
      <c r="AW35">
        <v>796</v>
      </c>
    </row>
    <row r="36" spans="6:49" x14ac:dyDescent="0.2">
      <c r="F36" t="s">
        <v>60</v>
      </c>
      <c r="G36">
        <v>10157</v>
      </c>
      <c r="H36">
        <v>5360</v>
      </c>
      <c r="I36">
        <v>283.66194029849999</v>
      </c>
      <c r="J36">
        <v>704</v>
      </c>
      <c r="K36">
        <v>579.75710227269997</v>
      </c>
      <c r="L36">
        <v>3630</v>
      </c>
      <c r="M36">
        <v>870.76859504130005</v>
      </c>
      <c r="N36">
        <v>1146</v>
      </c>
      <c r="O36">
        <v>528.05671902270001</v>
      </c>
      <c r="R36">
        <v>21</v>
      </c>
      <c r="S36">
        <v>532.38095238100004</v>
      </c>
      <c r="V36" t="s">
        <v>387</v>
      </c>
      <c r="W36">
        <v>86762</v>
      </c>
      <c r="X36">
        <v>63269</v>
      </c>
      <c r="Y36">
        <v>423.29033175799998</v>
      </c>
      <c r="Z36">
        <v>3959</v>
      </c>
      <c r="AA36">
        <v>633.53649911590003</v>
      </c>
      <c r="AB36">
        <v>12895</v>
      </c>
      <c r="AC36">
        <v>619.68670027140001</v>
      </c>
      <c r="AD36">
        <v>7086</v>
      </c>
      <c r="AE36">
        <v>510.300169348</v>
      </c>
      <c r="AF36">
        <v>3422</v>
      </c>
      <c r="AG36">
        <v>183.53477498539999</v>
      </c>
      <c r="AH36">
        <v>90</v>
      </c>
      <c r="AI36">
        <v>478.35555555560001</v>
      </c>
      <c r="AL36" t="s">
        <v>387</v>
      </c>
      <c r="AM36">
        <v>1613</v>
      </c>
      <c r="AN36">
        <v>1333</v>
      </c>
      <c r="AO36">
        <v>273.4613653413</v>
      </c>
      <c r="AP36">
        <v>191</v>
      </c>
      <c r="AQ36">
        <v>380.39267015709999</v>
      </c>
      <c r="AR36">
        <v>221</v>
      </c>
      <c r="AS36">
        <v>240.30769230769999</v>
      </c>
      <c r="AT36">
        <v>53</v>
      </c>
      <c r="AU36">
        <v>167.56603773579999</v>
      </c>
      <c r="AV36">
        <v>6</v>
      </c>
      <c r="AW36">
        <v>286.5</v>
      </c>
    </row>
    <row r="37" spans="6:49" x14ac:dyDescent="0.2">
      <c r="F37" t="s">
        <v>80</v>
      </c>
      <c r="G37">
        <v>28726</v>
      </c>
      <c r="H37">
        <v>25476</v>
      </c>
      <c r="I37">
        <v>440.78332548280002</v>
      </c>
      <c r="J37">
        <v>1406</v>
      </c>
      <c r="K37">
        <v>723.05689900430002</v>
      </c>
      <c r="L37">
        <v>1389</v>
      </c>
      <c r="M37">
        <v>233.43988480920001</v>
      </c>
      <c r="N37">
        <v>1850</v>
      </c>
      <c r="O37">
        <v>308.87405405409999</v>
      </c>
      <c r="R37">
        <v>11</v>
      </c>
      <c r="S37">
        <v>285.8181818182</v>
      </c>
      <c r="V37" t="s">
        <v>413</v>
      </c>
      <c r="W37">
        <v>565</v>
      </c>
      <c r="X37">
        <v>280</v>
      </c>
      <c r="Y37">
        <v>130.43214285709999</v>
      </c>
      <c r="Z37">
        <v>217</v>
      </c>
      <c r="AA37">
        <v>210.5622119816</v>
      </c>
      <c r="AB37">
        <v>112</v>
      </c>
      <c r="AC37">
        <v>211.28571428570001</v>
      </c>
      <c r="AD37">
        <v>108</v>
      </c>
      <c r="AE37">
        <v>219.2777777778</v>
      </c>
      <c r="AF37">
        <v>61</v>
      </c>
      <c r="AG37">
        <v>182.6393442623</v>
      </c>
      <c r="AH37">
        <v>4</v>
      </c>
      <c r="AI37">
        <v>233</v>
      </c>
      <c r="AL37" t="s">
        <v>413</v>
      </c>
      <c r="AM37">
        <v>12</v>
      </c>
      <c r="AN37">
        <v>10</v>
      </c>
      <c r="AO37">
        <v>71.599999999999994</v>
      </c>
      <c r="AP37">
        <v>10</v>
      </c>
      <c r="AQ37">
        <v>185.9</v>
      </c>
      <c r="AR37">
        <v>2</v>
      </c>
      <c r="AS37">
        <v>113.5</v>
      </c>
    </row>
    <row r="38" spans="6:49" x14ac:dyDescent="0.2">
      <c r="F38" t="s">
        <v>387</v>
      </c>
      <c r="G38">
        <v>85125</v>
      </c>
      <c r="H38">
        <v>64807</v>
      </c>
      <c r="I38">
        <v>423.43271560170001</v>
      </c>
      <c r="J38">
        <v>4063</v>
      </c>
      <c r="K38">
        <v>626.88949052420003</v>
      </c>
      <c r="L38">
        <v>13022</v>
      </c>
      <c r="M38">
        <v>614.3633850407</v>
      </c>
      <c r="N38">
        <v>7207</v>
      </c>
      <c r="O38">
        <v>509.97918690159997</v>
      </c>
      <c r="R38">
        <v>89</v>
      </c>
      <c r="S38">
        <v>482.22471910109999</v>
      </c>
      <c r="V38" t="s">
        <v>417</v>
      </c>
      <c r="W38">
        <v>40446</v>
      </c>
      <c r="X38">
        <v>28619</v>
      </c>
      <c r="Y38">
        <v>454.1262098606</v>
      </c>
      <c r="Z38">
        <v>1780</v>
      </c>
      <c r="AA38">
        <v>653.11348314609995</v>
      </c>
      <c r="AB38">
        <v>8073</v>
      </c>
      <c r="AC38">
        <v>748.11804781369995</v>
      </c>
      <c r="AD38">
        <v>2416</v>
      </c>
      <c r="AE38">
        <v>571.67425496689998</v>
      </c>
      <c r="AF38">
        <v>1279</v>
      </c>
      <c r="AG38">
        <v>203.01720093820001</v>
      </c>
      <c r="AH38">
        <v>59</v>
      </c>
      <c r="AI38">
        <v>413.89830508469998</v>
      </c>
      <c r="AL38" t="s">
        <v>417</v>
      </c>
      <c r="AM38">
        <v>227</v>
      </c>
      <c r="AN38">
        <v>154</v>
      </c>
      <c r="AO38">
        <v>133.2662337662</v>
      </c>
      <c r="AP38">
        <v>185</v>
      </c>
      <c r="AQ38">
        <v>242.83783783780001</v>
      </c>
      <c r="AR38">
        <v>59</v>
      </c>
      <c r="AS38">
        <v>226.33898305080001</v>
      </c>
      <c r="AT38">
        <v>13</v>
      </c>
      <c r="AU38">
        <v>363.76923076920002</v>
      </c>
      <c r="AV38">
        <v>1</v>
      </c>
      <c r="AW38">
        <v>2180</v>
      </c>
    </row>
    <row r="39" spans="6:49" x14ac:dyDescent="0.2">
      <c r="F39" t="s">
        <v>82</v>
      </c>
      <c r="G39">
        <v>19509</v>
      </c>
      <c r="H39">
        <v>14479</v>
      </c>
      <c r="I39">
        <v>392.89315560469998</v>
      </c>
      <c r="J39">
        <v>1002</v>
      </c>
      <c r="K39">
        <v>686.28143712569999</v>
      </c>
      <c r="L39">
        <v>3764</v>
      </c>
      <c r="M39">
        <v>801.93490967059995</v>
      </c>
      <c r="N39">
        <v>1229</v>
      </c>
      <c r="O39">
        <v>593.88852725790002</v>
      </c>
      <c r="R39">
        <v>37</v>
      </c>
      <c r="S39">
        <v>503.59459459459998</v>
      </c>
      <c r="V39" t="s">
        <v>425</v>
      </c>
      <c r="W39">
        <v>303</v>
      </c>
      <c r="X39">
        <v>112</v>
      </c>
      <c r="Y39">
        <v>208.52678571429999</v>
      </c>
      <c r="Z39">
        <v>98</v>
      </c>
      <c r="AA39">
        <v>239.75510204080001</v>
      </c>
      <c r="AB39">
        <v>98</v>
      </c>
      <c r="AC39">
        <v>289.45918367349998</v>
      </c>
      <c r="AD39">
        <v>63</v>
      </c>
      <c r="AE39">
        <v>386.46031746030002</v>
      </c>
      <c r="AF39">
        <v>30</v>
      </c>
      <c r="AG39">
        <v>225.1666666667</v>
      </c>
      <c r="AL39" t="s">
        <v>425</v>
      </c>
      <c r="AM39">
        <v>6</v>
      </c>
      <c r="AN39">
        <v>5</v>
      </c>
      <c r="AO39">
        <v>141.6</v>
      </c>
      <c r="AP39">
        <v>5</v>
      </c>
      <c r="AQ39">
        <v>166.2</v>
      </c>
      <c r="AR39">
        <v>1</v>
      </c>
      <c r="AS39">
        <v>33</v>
      </c>
    </row>
    <row r="40" spans="6:49" x14ac:dyDescent="0.2">
      <c r="F40" t="s">
        <v>43</v>
      </c>
      <c r="G40">
        <v>5917</v>
      </c>
      <c r="H40">
        <v>3147</v>
      </c>
      <c r="I40">
        <v>232.5859548777</v>
      </c>
      <c r="J40">
        <v>261</v>
      </c>
      <c r="K40">
        <v>523.18390804600006</v>
      </c>
      <c r="L40">
        <v>2398</v>
      </c>
      <c r="M40">
        <v>686.61843202670002</v>
      </c>
      <c r="N40">
        <v>361</v>
      </c>
      <c r="O40">
        <v>398.51800554020002</v>
      </c>
      <c r="R40">
        <v>11</v>
      </c>
      <c r="S40">
        <v>174.54545454550001</v>
      </c>
      <c r="V40" t="s">
        <v>428</v>
      </c>
      <c r="W40">
        <v>370</v>
      </c>
      <c r="X40">
        <v>264</v>
      </c>
      <c r="Y40">
        <v>281.21590909090003</v>
      </c>
      <c r="Z40">
        <v>19</v>
      </c>
      <c r="AA40">
        <v>681.10526315790003</v>
      </c>
      <c r="AB40">
        <v>27</v>
      </c>
      <c r="AC40">
        <v>527.66666666670005</v>
      </c>
      <c r="AD40">
        <v>43</v>
      </c>
      <c r="AE40">
        <v>381.13953488369998</v>
      </c>
      <c r="AF40">
        <v>36</v>
      </c>
      <c r="AG40">
        <v>204.5</v>
      </c>
      <c r="AL40" t="s">
        <v>428</v>
      </c>
      <c r="AM40">
        <v>2</v>
      </c>
      <c r="AN40">
        <v>1</v>
      </c>
      <c r="AO40">
        <v>297</v>
      </c>
      <c r="AP40">
        <v>4</v>
      </c>
      <c r="AQ40">
        <v>251</v>
      </c>
      <c r="AR40">
        <v>1</v>
      </c>
      <c r="AS40">
        <v>138</v>
      </c>
    </row>
    <row r="41" spans="6:49" x14ac:dyDescent="0.2">
      <c r="F41" t="s">
        <v>49</v>
      </c>
      <c r="G41">
        <v>19923</v>
      </c>
      <c r="H41">
        <v>14387</v>
      </c>
      <c r="I41">
        <v>518.56968096200001</v>
      </c>
      <c r="J41">
        <v>770</v>
      </c>
      <c r="K41">
        <v>623.6584415584</v>
      </c>
      <c r="L41">
        <v>4345</v>
      </c>
      <c r="M41">
        <v>704.96524741079998</v>
      </c>
      <c r="N41">
        <v>1169</v>
      </c>
      <c r="O41">
        <v>559.84431137720003</v>
      </c>
      <c r="R41">
        <v>22</v>
      </c>
      <c r="S41">
        <v>273.5</v>
      </c>
      <c r="V41" t="s">
        <v>418</v>
      </c>
      <c r="W41">
        <v>5392</v>
      </c>
      <c r="X41">
        <v>4110</v>
      </c>
      <c r="Y41">
        <v>472.59659367400002</v>
      </c>
      <c r="Z41">
        <v>178</v>
      </c>
      <c r="AA41">
        <v>979.57303370789998</v>
      </c>
      <c r="AB41">
        <v>557</v>
      </c>
      <c r="AC41">
        <v>308.52064631960002</v>
      </c>
      <c r="AD41">
        <v>446</v>
      </c>
      <c r="AE41">
        <v>615.22197309420005</v>
      </c>
      <c r="AF41">
        <v>273</v>
      </c>
      <c r="AG41">
        <v>191.49816849819999</v>
      </c>
      <c r="AH41">
        <v>6</v>
      </c>
      <c r="AI41">
        <v>562.66666666670005</v>
      </c>
      <c r="AL41" t="s">
        <v>418</v>
      </c>
      <c r="AM41">
        <v>119</v>
      </c>
      <c r="AN41">
        <v>106</v>
      </c>
      <c r="AO41">
        <v>251.08490566040001</v>
      </c>
      <c r="AP41">
        <v>7</v>
      </c>
      <c r="AQ41">
        <v>327.42857142859998</v>
      </c>
      <c r="AR41">
        <v>12</v>
      </c>
      <c r="AS41">
        <v>146.3333333333</v>
      </c>
      <c r="AT41">
        <v>1</v>
      </c>
      <c r="AU41">
        <v>103</v>
      </c>
    </row>
    <row r="42" spans="6:49" x14ac:dyDescent="0.2">
      <c r="F42" t="s">
        <v>52</v>
      </c>
      <c r="G42">
        <v>4482</v>
      </c>
      <c r="H42">
        <v>2920</v>
      </c>
      <c r="I42">
        <v>307.51780821919999</v>
      </c>
      <c r="J42">
        <v>218</v>
      </c>
      <c r="K42">
        <v>577.87614678900002</v>
      </c>
      <c r="L42">
        <v>1020</v>
      </c>
      <c r="M42">
        <v>395.09901960780002</v>
      </c>
      <c r="N42">
        <v>534</v>
      </c>
      <c r="O42">
        <v>596.95318352059996</v>
      </c>
      <c r="R42">
        <v>8</v>
      </c>
      <c r="S42">
        <v>500.875</v>
      </c>
      <c r="V42" t="s">
        <v>410</v>
      </c>
      <c r="W42">
        <v>6151</v>
      </c>
      <c r="X42">
        <v>3174</v>
      </c>
      <c r="Y42">
        <v>242.6518588532</v>
      </c>
      <c r="Z42">
        <v>258</v>
      </c>
      <c r="AA42">
        <v>532.68217054260003</v>
      </c>
      <c r="AB42">
        <v>2305</v>
      </c>
      <c r="AC42">
        <v>679.10542299350004</v>
      </c>
      <c r="AD42">
        <v>367</v>
      </c>
      <c r="AE42">
        <v>411.8065395095</v>
      </c>
      <c r="AF42">
        <v>294</v>
      </c>
      <c r="AG42">
        <v>182.28911564629999</v>
      </c>
      <c r="AH42">
        <v>11</v>
      </c>
      <c r="AI42">
        <v>174.54545454550001</v>
      </c>
      <c r="AL42" t="s">
        <v>410</v>
      </c>
      <c r="AM42">
        <v>37</v>
      </c>
      <c r="AN42">
        <v>30</v>
      </c>
      <c r="AO42">
        <v>118.5</v>
      </c>
      <c r="AP42">
        <v>24</v>
      </c>
      <c r="AQ42">
        <v>153.125</v>
      </c>
      <c r="AR42">
        <v>5</v>
      </c>
      <c r="AS42">
        <v>29.6</v>
      </c>
      <c r="AT42">
        <v>2</v>
      </c>
      <c r="AU42">
        <v>146</v>
      </c>
    </row>
    <row r="43" spans="6:49" x14ac:dyDescent="0.2">
      <c r="F43" t="s">
        <v>39</v>
      </c>
      <c r="G43">
        <v>324</v>
      </c>
      <c r="H43">
        <v>262</v>
      </c>
      <c r="I43">
        <v>291.320610687</v>
      </c>
      <c r="J43">
        <v>17</v>
      </c>
      <c r="K43">
        <v>581.58823529409995</v>
      </c>
      <c r="L43">
        <v>19</v>
      </c>
      <c r="M43">
        <v>496.26315789469999</v>
      </c>
      <c r="N43">
        <v>43</v>
      </c>
      <c r="O43">
        <v>381.55813953490002</v>
      </c>
      <c r="V43" t="s">
        <v>419</v>
      </c>
      <c r="W43">
        <v>4392</v>
      </c>
      <c r="X43">
        <v>2426</v>
      </c>
      <c r="Y43">
        <v>179.00123660349999</v>
      </c>
      <c r="Z43">
        <v>536</v>
      </c>
      <c r="AA43">
        <v>284.68470149249998</v>
      </c>
      <c r="AB43">
        <v>1060</v>
      </c>
      <c r="AC43">
        <v>250.83018867920001</v>
      </c>
      <c r="AD43">
        <v>567</v>
      </c>
      <c r="AE43">
        <v>279.53262786599998</v>
      </c>
      <c r="AF43">
        <v>335</v>
      </c>
      <c r="AG43">
        <v>183.3343283582</v>
      </c>
      <c r="AH43">
        <v>4</v>
      </c>
      <c r="AI43">
        <v>290</v>
      </c>
      <c r="AL43" t="s">
        <v>419</v>
      </c>
      <c r="AM43">
        <v>81</v>
      </c>
      <c r="AN43">
        <v>64</v>
      </c>
      <c r="AO43">
        <v>115.0625</v>
      </c>
      <c r="AP43">
        <v>43</v>
      </c>
      <c r="AQ43">
        <v>176.46511627909999</v>
      </c>
      <c r="AR43">
        <v>13</v>
      </c>
      <c r="AS43">
        <v>68.384615384599996</v>
      </c>
      <c r="AT43">
        <v>3</v>
      </c>
      <c r="AU43">
        <v>150</v>
      </c>
      <c r="AV43">
        <v>1</v>
      </c>
      <c r="AW43">
        <v>59</v>
      </c>
    </row>
    <row r="44" spans="6:49" x14ac:dyDescent="0.2">
      <c r="F44" t="s">
        <v>27</v>
      </c>
      <c r="G44">
        <v>3991</v>
      </c>
      <c r="H44">
        <v>2365</v>
      </c>
      <c r="I44">
        <v>167.4274841438</v>
      </c>
      <c r="J44">
        <v>544</v>
      </c>
      <c r="K44">
        <v>279.2224264706</v>
      </c>
      <c r="L44">
        <v>1047</v>
      </c>
      <c r="M44">
        <v>244.5606494747</v>
      </c>
      <c r="N44">
        <v>575</v>
      </c>
      <c r="O44">
        <v>267.2034782609</v>
      </c>
      <c r="R44">
        <v>4</v>
      </c>
      <c r="S44">
        <v>290</v>
      </c>
      <c r="V44" t="s">
        <v>394</v>
      </c>
      <c r="W44">
        <v>6062</v>
      </c>
      <c r="X44">
        <v>4890</v>
      </c>
      <c r="Y44">
        <v>419.57341513289998</v>
      </c>
      <c r="Z44">
        <v>307</v>
      </c>
      <c r="AA44">
        <v>811.32899022799995</v>
      </c>
      <c r="AB44">
        <v>587</v>
      </c>
      <c r="AC44">
        <v>446.40885860309999</v>
      </c>
      <c r="AD44">
        <v>357</v>
      </c>
      <c r="AE44">
        <v>424.07563025209998</v>
      </c>
      <c r="AF44">
        <v>213</v>
      </c>
      <c r="AG44">
        <v>191.7887323944</v>
      </c>
      <c r="AH44">
        <v>15</v>
      </c>
      <c r="AI44">
        <v>334.73333333329998</v>
      </c>
      <c r="AL44" t="s">
        <v>394</v>
      </c>
      <c r="AM44">
        <v>136</v>
      </c>
      <c r="AN44">
        <v>109</v>
      </c>
      <c r="AO44">
        <v>294.79816513759999</v>
      </c>
      <c r="AP44">
        <v>19</v>
      </c>
      <c r="AQ44">
        <v>665.42105263159999</v>
      </c>
      <c r="AR44">
        <v>26</v>
      </c>
      <c r="AS44">
        <v>177.4615384615</v>
      </c>
      <c r="AT44">
        <v>1</v>
      </c>
      <c r="AU44">
        <v>33</v>
      </c>
    </row>
    <row r="45" spans="6:49" x14ac:dyDescent="0.2">
      <c r="F45" t="s">
        <v>54</v>
      </c>
      <c r="G45">
        <v>5267</v>
      </c>
      <c r="H45">
        <v>4246</v>
      </c>
      <c r="I45">
        <v>472.6928874235</v>
      </c>
      <c r="J45">
        <v>171</v>
      </c>
      <c r="K45">
        <v>1003.4327485380001</v>
      </c>
      <c r="L45">
        <v>558</v>
      </c>
      <c r="M45">
        <v>290.68279569890001</v>
      </c>
      <c r="N45">
        <v>457</v>
      </c>
      <c r="O45">
        <v>629.80962800880002</v>
      </c>
      <c r="R45">
        <v>6</v>
      </c>
      <c r="S45">
        <v>562.66666666670005</v>
      </c>
      <c r="V45" t="s">
        <v>396</v>
      </c>
      <c r="W45">
        <v>4753</v>
      </c>
      <c r="X45">
        <v>2983</v>
      </c>
      <c r="Y45">
        <v>316.40462621519998</v>
      </c>
      <c r="Z45">
        <v>217</v>
      </c>
      <c r="AA45">
        <v>568.59447004610001</v>
      </c>
      <c r="AB45">
        <v>1024</v>
      </c>
      <c r="AC45">
        <v>408.1640625</v>
      </c>
      <c r="AD45">
        <v>537</v>
      </c>
      <c r="AE45">
        <v>599.98324022350005</v>
      </c>
      <c r="AF45">
        <v>201</v>
      </c>
      <c r="AG45">
        <v>204.19402985069999</v>
      </c>
      <c r="AH45">
        <v>8</v>
      </c>
      <c r="AI45">
        <v>500.875</v>
      </c>
      <c r="AL45" t="s">
        <v>396</v>
      </c>
      <c r="AM45">
        <v>112</v>
      </c>
      <c r="AN45">
        <v>96</v>
      </c>
      <c r="AO45">
        <v>259.90625</v>
      </c>
      <c r="AP45">
        <v>15</v>
      </c>
      <c r="AQ45">
        <v>350.6666666667</v>
      </c>
      <c r="AR45">
        <v>15</v>
      </c>
      <c r="AS45">
        <v>362.73333333329998</v>
      </c>
      <c r="AT45">
        <v>1</v>
      </c>
      <c r="AU45">
        <v>421</v>
      </c>
    </row>
    <row r="46" spans="6:49" x14ac:dyDescent="0.2">
      <c r="F46" t="s">
        <v>62</v>
      </c>
      <c r="G46">
        <v>5871</v>
      </c>
      <c r="H46">
        <v>4917</v>
      </c>
      <c r="I46">
        <v>418.68456375839997</v>
      </c>
      <c r="J46">
        <v>312</v>
      </c>
      <c r="K46">
        <v>826.79166666670005</v>
      </c>
      <c r="L46">
        <v>582</v>
      </c>
      <c r="M46">
        <v>423.26460481100003</v>
      </c>
      <c r="N46">
        <v>358</v>
      </c>
      <c r="O46">
        <v>434.1843575419</v>
      </c>
      <c r="R46">
        <v>14</v>
      </c>
      <c r="S46">
        <v>340</v>
      </c>
      <c r="V46" t="s">
        <v>392</v>
      </c>
      <c r="W46">
        <v>68434</v>
      </c>
      <c r="X46">
        <v>46858</v>
      </c>
      <c r="Y46">
        <v>411.30884800889999</v>
      </c>
      <c r="Z46">
        <v>3610</v>
      </c>
      <c r="AA46">
        <v>576.59861495840005</v>
      </c>
      <c r="AB46">
        <v>13843</v>
      </c>
      <c r="AC46">
        <v>634.89857689810003</v>
      </c>
      <c r="AD46">
        <v>4904</v>
      </c>
      <c r="AE46">
        <v>510.43760195760001</v>
      </c>
      <c r="AF46">
        <v>2722</v>
      </c>
      <c r="AG46">
        <v>196.21601763410001</v>
      </c>
      <c r="AH46">
        <v>107</v>
      </c>
      <c r="AI46">
        <v>381.64485981310003</v>
      </c>
      <c r="AL46" t="s">
        <v>392</v>
      </c>
      <c r="AM46">
        <v>732</v>
      </c>
      <c r="AN46">
        <v>575</v>
      </c>
      <c r="AO46">
        <v>203.2382608696</v>
      </c>
      <c r="AP46">
        <v>312</v>
      </c>
      <c r="AQ46">
        <v>256.65705128209999</v>
      </c>
      <c r="AR46">
        <v>134</v>
      </c>
      <c r="AS46">
        <v>198.50746268660001</v>
      </c>
      <c r="AT46">
        <v>21</v>
      </c>
      <c r="AU46">
        <v>287.04761904759999</v>
      </c>
      <c r="AV46">
        <v>2</v>
      </c>
      <c r="AW46">
        <v>1119.5</v>
      </c>
    </row>
    <row r="47" spans="6:49" x14ac:dyDescent="0.2">
      <c r="F47" t="s">
        <v>187</v>
      </c>
      <c r="G47">
        <v>232</v>
      </c>
      <c r="H47">
        <v>79</v>
      </c>
      <c r="I47">
        <v>155.6202531646</v>
      </c>
      <c r="J47">
        <v>97</v>
      </c>
      <c r="K47">
        <v>205.9896907216</v>
      </c>
      <c r="L47">
        <v>91</v>
      </c>
      <c r="M47">
        <v>279.3956043956</v>
      </c>
      <c r="N47">
        <v>62</v>
      </c>
      <c r="O47">
        <v>381.37096774190002</v>
      </c>
      <c r="V47" t="s">
        <v>423</v>
      </c>
      <c r="W47">
        <v>427</v>
      </c>
      <c r="X47">
        <v>266</v>
      </c>
      <c r="Y47">
        <v>290.15789473680002</v>
      </c>
      <c r="Z47">
        <v>39</v>
      </c>
      <c r="AA47">
        <v>432.84615384620002</v>
      </c>
      <c r="AB47">
        <v>58</v>
      </c>
      <c r="AC47">
        <v>385.24137931029998</v>
      </c>
      <c r="AD47">
        <v>70</v>
      </c>
      <c r="AE47">
        <v>250.3857142857</v>
      </c>
      <c r="AF47">
        <v>32</v>
      </c>
      <c r="AG47">
        <v>183</v>
      </c>
      <c r="AH47">
        <v>1</v>
      </c>
      <c r="AI47">
        <v>234</v>
      </c>
      <c r="AL47" t="s">
        <v>423</v>
      </c>
      <c r="AM47">
        <v>23</v>
      </c>
      <c r="AN47">
        <v>22</v>
      </c>
      <c r="AO47">
        <v>249.45454545449999</v>
      </c>
      <c r="AP47">
        <v>2</v>
      </c>
      <c r="AQ47">
        <v>252.5</v>
      </c>
      <c r="AR47">
        <v>1</v>
      </c>
      <c r="AS47">
        <v>19</v>
      </c>
    </row>
    <row r="48" spans="6:49" x14ac:dyDescent="0.2">
      <c r="F48" t="s">
        <v>73</v>
      </c>
      <c r="G48">
        <v>472</v>
      </c>
      <c r="H48">
        <v>260</v>
      </c>
      <c r="I48">
        <v>90.846153846199996</v>
      </c>
      <c r="J48">
        <v>219</v>
      </c>
      <c r="K48">
        <v>204.87671232880001</v>
      </c>
      <c r="L48">
        <v>104</v>
      </c>
      <c r="M48">
        <v>162.13461538460001</v>
      </c>
      <c r="N48">
        <v>105</v>
      </c>
      <c r="O48">
        <v>171.180952381</v>
      </c>
      <c r="R48">
        <v>3</v>
      </c>
      <c r="S48">
        <v>92</v>
      </c>
      <c r="V48" t="s">
        <v>424</v>
      </c>
      <c r="W48">
        <v>193</v>
      </c>
      <c r="X48">
        <v>128</v>
      </c>
      <c r="Y48">
        <v>211.7421875</v>
      </c>
      <c r="Z48">
        <v>18</v>
      </c>
      <c r="AA48">
        <v>393.6111111111</v>
      </c>
      <c r="AB48">
        <v>15</v>
      </c>
      <c r="AC48">
        <v>343.3333333333</v>
      </c>
      <c r="AD48">
        <v>27</v>
      </c>
      <c r="AE48">
        <v>387.2222222222</v>
      </c>
      <c r="AF48">
        <v>22</v>
      </c>
      <c r="AG48">
        <v>174.4090909091</v>
      </c>
      <c r="AH48">
        <v>1</v>
      </c>
      <c r="AI48">
        <v>45</v>
      </c>
      <c r="AL48" t="s">
        <v>424</v>
      </c>
      <c r="AM48">
        <v>9</v>
      </c>
      <c r="AN48">
        <v>8</v>
      </c>
      <c r="AO48">
        <v>165</v>
      </c>
      <c r="AT48">
        <v>1</v>
      </c>
      <c r="AU48">
        <v>485</v>
      </c>
    </row>
    <row r="49" spans="6:49" x14ac:dyDescent="0.2">
      <c r="F49" t="s">
        <v>392</v>
      </c>
      <c r="G49">
        <v>65988</v>
      </c>
      <c r="H49">
        <v>47062</v>
      </c>
      <c r="I49">
        <v>411.227614636</v>
      </c>
      <c r="J49">
        <v>3611</v>
      </c>
      <c r="K49">
        <v>577.83937967320003</v>
      </c>
      <c r="L49">
        <v>13928</v>
      </c>
      <c r="M49">
        <v>635.2226450316</v>
      </c>
      <c r="N49">
        <v>4893</v>
      </c>
      <c r="O49">
        <v>511.32515838950002</v>
      </c>
      <c r="R49">
        <v>105</v>
      </c>
      <c r="S49">
        <v>382.37142857139997</v>
      </c>
      <c r="V49" t="s">
        <v>430</v>
      </c>
      <c r="W49">
        <v>501</v>
      </c>
      <c r="X49">
        <v>302</v>
      </c>
      <c r="Y49">
        <v>386.57947019869999</v>
      </c>
      <c r="Z49">
        <v>54</v>
      </c>
      <c r="AA49">
        <v>511.14814814810001</v>
      </c>
      <c r="AB49">
        <v>108</v>
      </c>
      <c r="AC49">
        <v>491.60185185189999</v>
      </c>
      <c r="AD49">
        <v>63</v>
      </c>
      <c r="AE49">
        <v>568.39682539679995</v>
      </c>
      <c r="AF49">
        <v>25</v>
      </c>
      <c r="AG49">
        <v>156.16</v>
      </c>
      <c r="AH49">
        <v>3</v>
      </c>
      <c r="AI49">
        <v>160</v>
      </c>
      <c r="AL49" t="s">
        <v>430</v>
      </c>
      <c r="AM49">
        <v>17</v>
      </c>
      <c r="AN49">
        <v>13</v>
      </c>
      <c r="AO49">
        <v>242.38461538460001</v>
      </c>
      <c r="AP49">
        <v>4</v>
      </c>
      <c r="AQ49">
        <v>331.75</v>
      </c>
      <c r="AR49">
        <v>2</v>
      </c>
      <c r="AS49">
        <v>46</v>
      </c>
      <c r="AT49">
        <v>1</v>
      </c>
      <c r="AU49">
        <v>460</v>
      </c>
      <c r="AV49">
        <v>1</v>
      </c>
      <c r="AW49">
        <v>344</v>
      </c>
    </row>
    <row r="50" spans="6:49" x14ac:dyDescent="0.2">
      <c r="F50" t="s">
        <v>218</v>
      </c>
      <c r="G50">
        <v>825</v>
      </c>
      <c r="H50">
        <v>590</v>
      </c>
      <c r="I50">
        <v>125.6983050847</v>
      </c>
      <c r="J50">
        <v>663</v>
      </c>
      <c r="K50">
        <v>211.96832579190001</v>
      </c>
      <c r="L50">
        <v>187</v>
      </c>
      <c r="M50">
        <v>158.91978609629999</v>
      </c>
      <c r="N50">
        <v>48</v>
      </c>
      <c r="O50">
        <v>228.625</v>
      </c>
      <c r="V50" t="s">
        <v>383</v>
      </c>
      <c r="W50">
        <v>5454</v>
      </c>
      <c r="X50">
        <v>4088</v>
      </c>
      <c r="Y50">
        <v>553.74070450099998</v>
      </c>
      <c r="Z50">
        <v>177</v>
      </c>
      <c r="AA50">
        <v>1098.0790960452</v>
      </c>
      <c r="AB50">
        <v>1028</v>
      </c>
      <c r="AC50">
        <v>822.17217898829995</v>
      </c>
      <c r="AD50">
        <v>244</v>
      </c>
      <c r="AE50">
        <v>634.52868852460006</v>
      </c>
      <c r="AF50">
        <v>91</v>
      </c>
      <c r="AG50">
        <v>167.41758241759999</v>
      </c>
      <c r="AH50">
        <v>3</v>
      </c>
      <c r="AI50">
        <v>582</v>
      </c>
      <c r="AL50" t="s">
        <v>383</v>
      </c>
      <c r="AM50">
        <v>87</v>
      </c>
      <c r="AN50">
        <v>69</v>
      </c>
      <c r="AO50">
        <v>223.18840579709999</v>
      </c>
      <c r="AP50">
        <v>14</v>
      </c>
      <c r="AQ50">
        <v>298.85714285709997</v>
      </c>
      <c r="AR50">
        <v>17</v>
      </c>
      <c r="AS50">
        <v>263.5882352941</v>
      </c>
      <c r="AT50">
        <v>1</v>
      </c>
      <c r="AU50">
        <v>127</v>
      </c>
    </row>
    <row r="51" spans="6:49" x14ac:dyDescent="0.2">
      <c r="F51" t="s">
        <v>215</v>
      </c>
      <c r="G51">
        <v>1909</v>
      </c>
      <c r="H51">
        <v>1588</v>
      </c>
      <c r="I51">
        <v>283.89231738040002</v>
      </c>
      <c r="J51">
        <v>184</v>
      </c>
      <c r="K51">
        <v>489.04347826089997</v>
      </c>
      <c r="L51">
        <v>281</v>
      </c>
      <c r="M51">
        <v>249.9964412811</v>
      </c>
      <c r="N51">
        <v>40</v>
      </c>
      <c r="O51">
        <v>175.42500000000001</v>
      </c>
      <c r="V51" t="s">
        <v>63</v>
      </c>
      <c r="W51">
        <v>5510</v>
      </c>
      <c r="X51">
        <v>3682</v>
      </c>
      <c r="Y51">
        <v>267.8093427485</v>
      </c>
      <c r="Z51">
        <v>609</v>
      </c>
      <c r="AA51">
        <v>442.81773399010001</v>
      </c>
      <c r="AB51">
        <v>897</v>
      </c>
      <c r="AC51">
        <v>307.96321070229999</v>
      </c>
      <c r="AD51">
        <v>611</v>
      </c>
      <c r="AE51">
        <v>594.93126022909996</v>
      </c>
      <c r="AF51">
        <v>286</v>
      </c>
      <c r="AG51">
        <v>190.5594405594</v>
      </c>
      <c r="AH51">
        <v>34</v>
      </c>
      <c r="AI51">
        <v>626.91176470590005</v>
      </c>
      <c r="AL51" t="s">
        <v>63</v>
      </c>
      <c r="AM51">
        <v>251</v>
      </c>
      <c r="AN51">
        <v>210</v>
      </c>
      <c r="AO51">
        <v>268.16190476190002</v>
      </c>
      <c r="AP51">
        <v>48</v>
      </c>
      <c r="AQ51">
        <v>431.3541666667</v>
      </c>
      <c r="AR51">
        <v>35</v>
      </c>
      <c r="AS51">
        <v>238.28571428570001</v>
      </c>
      <c r="AT51">
        <v>5</v>
      </c>
      <c r="AU51">
        <v>206</v>
      </c>
      <c r="AV51">
        <v>1</v>
      </c>
      <c r="AW51">
        <v>1699</v>
      </c>
    </row>
    <row r="52" spans="6:49" x14ac:dyDescent="0.2">
      <c r="F52" t="s">
        <v>216</v>
      </c>
      <c r="G52">
        <v>2683</v>
      </c>
      <c r="H52">
        <v>2259</v>
      </c>
      <c r="I52">
        <v>253.72332890659999</v>
      </c>
      <c r="J52">
        <v>368</v>
      </c>
      <c r="K52">
        <v>346.8777173913</v>
      </c>
      <c r="L52">
        <v>331</v>
      </c>
      <c r="M52">
        <v>237.17220543810001</v>
      </c>
      <c r="N52">
        <v>93</v>
      </c>
      <c r="O52">
        <v>198.3548387097</v>
      </c>
      <c r="V52" t="s">
        <v>385</v>
      </c>
      <c r="W52">
        <v>14500</v>
      </c>
      <c r="X52">
        <v>9702</v>
      </c>
      <c r="Y52">
        <v>357.07307771590001</v>
      </c>
      <c r="Z52">
        <v>305</v>
      </c>
      <c r="AA52">
        <v>722.85245901639996</v>
      </c>
      <c r="AB52">
        <v>3730</v>
      </c>
      <c r="AC52">
        <v>781.10991957099998</v>
      </c>
      <c r="AD52">
        <v>725</v>
      </c>
      <c r="AE52">
        <v>533.56551724140002</v>
      </c>
      <c r="AF52">
        <v>340</v>
      </c>
      <c r="AG52">
        <v>174.75588235289999</v>
      </c>
      <c r="AH52">
        <v>3</v>
      </c>
      <c r="AI52">
        <v>121.3333333333</v>
      </c>
      <c r="AL52" t="s">
        <v>385</v>
      </c>
      <c r="AM52">
        <v>170</v>
      </c>
      <c r="AN52">
        <v>144</v>
      </c>
      <c r="AO52">
        <v>232.2708333333</v>
      </c>
      <c r="AP52">
        <v>23</v>
      </c>
      <c r="AQ52">
        <v>295.04347826089997</v>
      </c>
      <c r="AR52">
        <v>18</v>
      </c>
      <c r="AS52">
        <v>279.7777777778</v>
      </c>
      <c r="AT52">
        <v>8</v>
      </c>
      <c r="AU52">
        <v>178.875</v>
      </c>
    </row>
    <row r="53" spans="6:49" x14ac:dyDescent="0.2">
      <c r="F53" t="s">
        <v>469</v>
      </c>
      <c r="G53">
        <v>5417</v>
      </c>
      <c r="H53">
        <v>4437</v>
      </c>
      <c r="I53">
        <v>247.49695740370001</v>
      </c>
      <c r="J53">
        <v>1215</v>
      </c>
      <c r="K53">
        <v>294.79012345680002</v>
      </c>
      <c r="L53">
        <v>799</v>
      </c>
      <c r="M53">
        <v>223.36795994990001</v>
      </c>
      <c r="N53">
        <v>181</v>
      </c>
      <c r="O53">
        <v>201.31491712709999</v>
      </c>
      <c r="V53" t="s">
        <v>381</v>
      </c>
      <c r="W53">
        <v>4072</v>
      </c>
      <c r="X53">
        <v>2810</v>
      </c>
      <c r="Y53">
        <v>343.03879003560002</v>
      </c>
      <c r="Z53">
        <v>321</v>
      </c>
      <c r="AA53">
        <v>527.16822429909996</v>
      </c>
      <c r="AB53">
        <v>539</v>
      </c>
      <c r="AC53">
        <v>336.92578849720002</v>
      </c>
      <c r="AD53">
        <v>527</v>
      </c>
      <c r="AE53">
        <v>458.88045540799999</v>
      </c>
      <c r="AF53">
        <v>188</v>
      </c>
      <c r="AG53">
        <v>212.3776595745</v>
      </c>
      <c r="AH53">
        <v>8</v>
      </c>
      <c r="AI53">
        <v>469.375</v>
      </c>
      <c r="AL53" t="s">
        <v>381</v>
      </c>
      <c r="AM53">
        <v>178</v>
      </c>
      <c r="AN53">
        <v>149</v>
      </c>
      <c r="AO53">
        <v>217.47651006710001</v>
      </c>
      <c r="AP53">
        <v>24</v>
      </c>
      <c r="AQ53">
        <v>364.125</v>
      </c>
      <c r="AR53">
        <v>22</v>
      </c>
      <c r="AS53">
        <v>205.3181818182</v>
      </c>
      <c r="AT53">
        <v>5</v>
      </c>
      <c r="AU53">
        <v>287.60000000000002</v>
      </c>
      <c r="AV53">
        <v>2</v>
      </c>
      <c r="AW53">
        <v>1035.5</v>
      </c>
    </row>
    <row r="54" spans="6:49" x14ac:dyDescent="0.2">
      <c r="F54" t="s">
        <v>81</v>
      </c>
      <c r="G54">
        <v>380</v>
      </c>
      <c r="H54">
        <v>272</v>
      </c>
      <c r="I54">
        <v>224.5588235294</v>
      </c>
      <c r="J54">
        <v>34</v>
      </c>
      <c r="K54">
        <v>351.1764705882</v>
      </c>
      <c r="L54">
        <v>43</v>
      </c>
      <c r="M54">
        <v>302.81395348839999</v>
      </c>
      <c r="N54">
        <v>64</v>
      </c>
      <c r="O54">
        <v>237.625</v>
      </c>
      <c r="R54">
        <v>1</v>
      </c>
      <c r="S54">
        <v>234</v>
      </c>
      <c r="V54" t="s">
        <v>380</v>
      </c>
      <c r="W54">
        <v>932</v>
      </c>
      <c r="X54">
        <v>495</v>
      </c>
      <c r="Y54">
        <v>188.05656565659999</v>
      </c>
      <c r="Z54">
        <v>182</v>
      </c>
      <c r="AA54">
        <v>321.82967032969998</v>
      </c>
      <c r="AB54">
        <v>193</v>
      </c>
      <c r="AC54">
        <v>237.3575129534</v>
      </c>
      <c r="AD54">
        <v>146</v>
      </c>
      <c r="AE54">
        <v>286.6712328767</v>
      </c>
      <c r="AF54">
        <v>98</v>
      </c>
      <c r="AG54">
        <v>192.45918367350001</v>
      </c>
      <c r="AL54" t="s">
        <v>380</v>
      </c>
      <c r="AM54">
        <v>62</v>
      </c>
      <c r="AN54">
        <v>57</v>
      </c>
      <c r="AO54">
        <v>222.6666666667</v>
      </c>
      <c r="AP54">
        <v>3</v>
      </c>
      <c r="AQ54">
        <v>200.6666666667</v>
      </c>
      <c r="AR54">
        <v>5</v>
      </c>
      <c r="AS54">
        <v>169.2</v>
      </c>
    </row>
    <row r="55" spans="6:49" x14ac:dyDescent="0.2">
      <c r="F55" t="s">
        <v>38</v>
      </c>
      <c r="G55">
        <v>3360</v>
      </c>
      <c r="H55">
        <v>2205</v>
      </c>
      <c r="I55">
        <v>448.8439909297</v>
      </c>
      <c r="J55">
        <v>310</v>
      </c>
      <c r="K55">
        <v>714.59354838709999</v>
      </c>
      <c r="L55">
        <v>832</v>
      </c>
      <c r="M55">
        <v>651.89903846150003</v>
      </c>
      <c r="N55">
        <v>309</v>
      </c>
      <c r="O55">
        <v>672.55663430419997</v>
      </c>
      <c r="R55">
        <v>14</v>
      </c>
      <c r="S55">
        <v>115.2142857143</v>
      </c>
      <c r="V55" t="s">
        <v>382</v>
      </c>
      <c r="W55">
        <v>6581</v>
      </c>
      <c r="X55">
        <v>4444</v>
      </c>
      <c r="Y55">
        <v>387.53150315030001</v>
      </c>
      <c r="Z55">
        <v>393</v>
      </c>
      <c r="AA55">
        <v>495.58269720099997</v>
      </c>
      <c r="AB55">
        <v>892</v>
      </c>
      <c r="AC55">
        <v>525.0201793722</v>
      </c>
      <c r="AD55">
        <v>922</v>
      </c>
      <c r="AE55">
        <v>640.56616052059996</v>
      </c>
      <c r="AF55">
        <v>316</v>
      </c>
      <c r="AG55">
        <v>178.00632911389999</v>
      </c>
      <c r="AH55">
        <v>7</v>
      </c>
      <c r="AI55">
        <v>460.42857142859998</v>
      </c>
      <c r="AL55" t="s">
        <v>382</v>
      </c>
      <c r="AM55">
        <v>277</v>
      </c>
      <c r="AN55">
        <v>233</v>
      </c>
      <c r="AO55">
        <v>255.05579399140001</v>
      </c>
      <c r="AP55">
        <v>42</v>
      </c>
      <c r="AQ55">
        <v>300.40476190480001</v>
      </c>
      <c r="AR55">
        <v>27</v>
      </c>
      <c r="AS55">
        <v>264.7777777778</v>
      </c>
      <c r="AT55">
        <v>15</v>
      </c>
      <c r="AU55">
        <v>245.9333333333</v>
      </c>
      <c r="AV55">
        <v>2</v>
      </c>
      <c r="AW55">
        <v>330</v>
      </c>
    </row>
    <row r="56" spans="6:49" x14ac:dyDescent="0.2">
      <c r="F56" t="s">
        <v>64</v>
      </c>
      <c r="G56">
        <v>2664</v>
      </c>
      <c r="H56">
        <v>2049</v>
      </c>
      <c r="I56">
        <v>359.38994631529999</v>
      </c>
      <c r="J56">
        <v>207</v>
      </c>
      <c r="K56">
        <v>611.94685990339997</v>
      </c>
      <c r="L56">
        <v>248</v>
      </c>
      <c r="M56">
        <v>104.75</v>
      </c>
      <c r="N56">
        <v>364</v>
      </c>
      <c r="O56">
        <v>391.60164835159998</v>
      </c>
      <c r="R56">
        <v>3</v>
      </c>
      <c r="S56">
        <v>526.66666666670005</v>
      </c>
      <c r="V56" t="s">
        <v>379</v>
      </c>
      <c r="W56">
        <v>317</v>
      </c>
      <c r="X56">
        <v>129</v>
      </c>
      <c r="Y56">
        <v>124.1240310078</v>
      </c>
      <c r="Z56">
        <v>74</v>
      </c>
      <c r="AA56">
        <v>182.87837837839999</v>
      </c>
      <c r="AB56">
        <v>79</v>
      </c>
      <c r="AC56">
        <v>164.49367088610001</v>
      </c>
      <c r="AD56">
        <v>44</v>
      </c>
      <c r="AE56">
        <v>205.38636363640001</v>
      </c>
      <c r="AF56">
        <v>64</v>
      </c>
      <c r="AG56">
        <v>159.15625</v>
      </c>
      <c r="AH56">
        <v>1</v>
      </c>
      <c r="AI56">
        <v>71</v>
      </c>
      <c r="AL56" t="s">
        <v>379</v>
      </c>
      <c r="AM56">
        <v>24</v>
      </c>
      <c r="AN56">
        <v>18</v>
      </c>
      <c r="AO56">
        <v>268.94444444440001</v>
      </c>
      <c r="AP56">
        <v>5</v>
      </c>
      <c r="AQ56">
        <v>295.2</v>
      </c>
      <c r="AR56">
        <v>4</v>
      </c>
      <c r="AS56">
        <v>318.5</v>
      </c>
      <c r="AT56">
        <v>2</v>
      </c>
      <c r="AU56">
        <v>104.5</v>
      </c>
    </row>
    <row r="57" spans="6:49" x14ac:dyDescent="0.2">
      <c r="F57" t="s">
        <v>24</v>
      </c>
      <c r="G57">
        <v>1815</v>
      </c>
      <c r="H57">
        <v>1122</v>
      </c>
      <c r="I57">
        <v>221.3065953654</v>
      </c>
      <c r="J57">
        <v>278</v>
      </c>
      <c r="K57">
        <v>249.5323741007</v>
      </c>
      <c r="L57">
        <v>489</v>
      </c>
      <c r="M57">
        <v>319.30061349689998</v>
      </c>
      <c r="N57">
        <v>189</v>
      </c>
      <c r="O57">
        <v>492.72486772489998</v>
      </c>
      <c r="R57">
        <v>15</v>
      </c>
      <c r="S57">
        <v>546.93333333329997</v>
      </c>
      <c r="V57" t="s">
        <v>378</v>
      </c>
      <c r="W57">
        <v>3467</v>
      </c>
      <c r="X57">
        <v>2068</v>
      </c>
      <c r="Y57">
        <v>444.05029013540002</v>
      </c>
      <c r="Z57">
        <v>355</v>
      </c>
      <c r="AA57">
        <v>606.77183098590001</v>
      </c>
      <c r="AB57">
        <v>864</v>
      </c>
      <c r="AC57">
        <v>586.17824074069995</v>
      </c>
      <c r="AD57">
        <v>354</v>
      </c>
      <c r="AE57">
        <v>597.88700564969997</v>
      </c>
      <c r="AF57">
        <v>167</v>
      </c>
      <c r="AG57">
        <v>180.8622754491</v>
      </c>
      <c r="AH57">
        <v>14</v>
      </c>
      <c r="AI57">
        <v>135.57142857139999</v>
      </c>
      <c r="AL57" t="s">
        <v>378</v>
      </c>
      <c r="AM57">
        <v>115</v>
      </c>
      <c r="AN57">
        <v>98</v>
      </c>
      <c r="AO57">
        <v>267.08163265309997</v>
      </c>
      <c r="AP57">
        <v>18</v>
      </c>
      <c r="AQ57">
        <v>409.2777777778</v>
      </c>
      <c r="AR57">
        <v>14</v>
      </c>
      <c r="AS57">
        <v>296</v>
      </c>
      <c r="AT57">
        <v>3</v>
      </c>
      <c r="AU57">
        <v>190.6666666667</v>
      </c>
    </row>
    <row r="58" spans="6:49" x14ac:dyDescent="0.2">
      <c r="F58" t="s">
        <v>72</v>
      </c>
      <c r="G58">
        <v>14627</v>
      </c>
      <c r="H58">
        <v>9922</v>
      </c>
      <c r="I58">
        <v>349.09816569240002</v>
      </c>
      <c r="J58">
        <v>300</v>
      </c>
      <c r="K58">
        <v>739.23</v>
      </c>
      <c r="L58">
        <v>3969</v>
      </c>
      <c r="M58">
        <v>792.79642227260001</v>
      </c>
      <c r="N58">
        <v>733</v>
      </c>
      <c r="O58">
        <v>532.22646657569999</v>
      </c>
      <c r="R58">
        <v>3</v>
      </c>
      <c r="S58">
        <v>121.3333333333</v>
      </c>
      <c r="V58" t="s">
        <v>422</v>
      </c>
      <c r="W58">
        <v>696</v>
      </c>
      <c r="X58">
        <v>544</v>
      </c>
      <c r="Y58">
        <v>308.4963235294</v>
      </c>
      <c r="Z58">
        <v>79</v>
      </c>
      <c r="AA58">
        <v>640.51898734179997</v>
      </c>
      <c r="AB58">
        <v>69</v>
      </c>
      <c r="AC58">
        <v>169.75362318840001</v>
      </c>
      <c r="AD58">
        <v>49</v>
      </c>
      <c r="AE58">
        <v>379.83673469389998</v>
      </c>
      <c r="AF58">
        <v>34</v>
      </c>
      <c r="AG58">
        <v>258.6764705882</v>
      </c>
      <c r="AL58" t="s">
        <v>422</v>
      </c>
      <c r="AM58">
        <v>19</v>
      </c>
      <c r="AN58">
        <v>18</v>
      </c>
      <c r="AO58">
        <v>283.94444444440001</v>
      </c>
      <c r="AP58">
        <v>4</v>
      </c>
      <c r="AQ58">
        <v>234.25</v>
      </c>
      <c r="AR58">
        <v>1</v>
      </c>
      <c r="AS58">
        <v>334</v>
      </c>
    </row>
    <row r="59" spans="6:49" x14ac:dyDescent="0.2">
      <c r="F59" t="s">
        <v>47</v>
      </c>
      <c r="G59">
        <v>785</v>
      </c>
      <c r="H59">
        <v>473</v>
      </c>
      <c r="I59">
        <v>164.93234672299999</v>
      </c>
      <c r="J59">
        <v>177</v>
      </c>
      <c r="K59">
        <v>313.71186440679998</v>
      </c>
      <c r="L59">
        <v>179</v>
      </c>
      <c r="M59">
        <v>205.9608938547</v>
      </c>
      <c r="N59">
        <v>133</v>
      </c>
      <c r="O59">
        <v>256.46616541349999</v>
      </c>
      <c r="V59" t="s">
        <v>386</v>
      </c>
      <c r="W59">
        <v>2309</v>
      </c>
      <c r="X59">
        <v>1503</v>
      </c>
      <c r="Y59">
        <v>347.52827677980002</v>
      </c>
      <c r="Z59">
        <v>276</v>
      </c>
      <c r="AA59">
        <v>433.13768115940002</v>
      </c>
      <c r="AB59">
        <v>155</v>
      </c>
      <c r="AC59">
        <v>318.61935483870002</v>
      </c>
      <c r="AD59">
        <v>490</v>
      </c>
      <c r="AE59">
        <v>462.21632653059999</v>
      </c>
      <c r="AF59">
        <v>158</v>
      </c>
      <c r="AG59">
        <v>177.63924050630001</v>
      </c>
      <c r="AH59">
        <v>3</v>
      </c>
      <c r="AI59">
        <v>553.66666666670005</v>
      </c>
      <c r="AL59" t="s">
        <v>386</v>
      </c>
      <c r="AM59">
        <v>45</v>
      </c>
      <c r="AN59">
        <v>35</v>
      </c>
      <c r="AO59">
        <v>208.31428571430001</v>
      </c>
      <c r="AP59">
        <v>8</v>
      </c>
      <c r="AQ59">
        <v>392.125</v>
      </c>
      <c r="AR59">
        <v>8</v>
      </c>
      <c r="AS59">
        <v>178.25</v>
      </c>
      <c r="AT59">
        <v>2</v>
      </c>
      <c r="AU59">
        <v>172.5</v>
      </c>
    </row>
    <row r="60" spans="6:49" x14ac:dyDescent="0.2">
      <c r="F60" t="s">
        <v>63</v>
      </c>
      <c r="G60">
        <v>3329</v>
      </c>
      <c r="H60">
        <v>2479</v>
      </c>
      <c r="I60">
        <v>273.95966115369998</v>
      </c>
      <c r="J60">
        <v>335</v>
      </c>
      <c r="K60">
        <v>610.64179104480002</v>
      </c>
      <c r="L60">
        <v>389</v>
      </c>
      <c r="M60">
        <v>262.25706940869998</v>
      </c>
      <c r="N60">
        <v>440</v>
      </c>
      <c r="O60">
        <v>637.41590909089996</v>
      </c>
      <c r="R60">
        <v>21</v>
      </c>
      <c r="S60">
        <v>661.90476190480001</v>
      </c>
      <c r="V60" t="s">
        <v>389</v>
      </c>
      <c r="W60">
        <v>10358</v>
      </c>
      <c r="X60">
        <v>7449</v>
      </c>
      <c r="Y60">
        <v>260.95274533489999</v>
      </c>
      <c r="Z60">
        <v>855</v>
      </c>
      <c r="AA60">
        <v>465.64561403509998</v>
      </c>
      <c r="AB60">
        <v>1320</v>
      </c>
      <c r="AC60">
        <v>224.67500000000001</v>
      </c>
      <c r="AD60">
        <v>976</v>
      </c>
      <c r="AE60">
        <v>362.07581967210001</v>
      </c>
      <c r="AF60">
        <v>599</v>
      </c>
      <c r="AG60">
        <v>169.90651085139999</v>
      </c>
      <c r="AH60">
        <v>14</v>
      </c>
      <c r="AI60">
        <v>245.3571428571</v>
      </c>
      <c r="AL60" t="s">
        <v>389</v>
      </c>
      <c r="AM60">
        <v>224</v>
      </c>
      <c r="AN60">
        <v>191</v>
      </c>
      <c r="AO60">
        <v>246.72251308899999</v>
      </c>
      <c r="AP60">
        <v>28</v>
      </c>
      <c r="AQ60">
        <v>266.53571428570001</v>
      </c>
      <c r="AR60">
        <v>20</v>
      </c>
      <c r="AS60">
        <v>283.7</v>
      </c>
      <c r="AT60">
        <v>10</v>
      </c>
      <c r="AU60">
        <v>209.7</v>
      </c>
      <c r="AV60">
        <v>3</v>
      </c>
      <c r="AW60">
        <v>180.3333333333</v>
      </c>
    </row>
    <row r="61" spans="6:49" x14ac:dyDescent="0.2">
      <c r="F61" t="s">
        <v>36</v>
      </c>
      <c r="G61">
        <v>5545</v>
      </c>
      <c r="H61">
        <v>4217</v>
      </c>
      <c r="I61">
        <v>576.59876689589998</v>
      </c>
      <c r="J61">
        <v>177</v>
      </c>
      <c r="K61">
        <v>1145.0564971751</v>
      </c>
      <c r="L61">
        <v>1069</v>
      </c>
      <c r="M61">
        <v>832.96071094479998</v>
      </c>
      <c r="N61">
        <v>255</v>
      </c>
      <c r="O61">
        <v>679.61960784309997</v>
      </c>
      <c r="R61">
        <v>4</v>
      </c>
      <c r="S61">
        <v>644.75</v>
      </c>
      <c r="V61" t="s">
        <v>421</v>
      </c>
      <c r="W61">
        <v>581</v>
      </c>
      <c r="X61">
        <v>356</v>
      </c>
      <c r="Y61">
        <v>366.63483146070001</v>
      </c>
      <c r="Z61">
        <v>15</v>
      </c>
      <c r="AA61">
        <v>828</v>
      </c>
      <c r="AB61">
        <v>172</v>
      </c>
      <c r="AC61">
        <v>890.1046511628</v>
      </c>
      <c r="AD61">
        <v>37</v>
      </c>
      <c r="AE61">
        <v>552.86486486490003</v>
      </c>
      <c r="AF61">
        <v>16</v>
      </c>
      <c r="AG61">
        <v>177.6875</v>
      </c>
      <c r="AL61" t="s">
        <v>421</v>
      </c>
      <c r="AM61">
        <v>15</v>
      </c>
      <c r="AN61">
        <v>13</v>
      </c>
      <c r="AO61">
        <v>269.84615384620002</v>
      </c>
      <c r="AR61">
        <v>2</v>
      </c>
      <c r="AS61">
        <v>137.5</v>
      </c>
    </row>
    <row r="62" spans="6:49" x14ac:dyDescent="0.2">
      <c r="F62" t="s">
        <v>50</v>
      </c>
      <c r="G62">
        <v>1932</v>
      </c>
      <c r="H62">
        <v>1340</v>
      </c>
      <c r="I62">
        <v>320.77164179099998</v>
      </c>
      <c r="J62">
        <v>276</v>
      </c>
      <c r="K62">
        <v>424.39130434779997</v>
      </c>
      <c r="L62">
        <v>129</v>
      </c>
      <c r="M62">
        <v>184.77519379840001</v>
      </c>
      <c r="N62">
        <v>460</v>
      </c>
      <c r="O62">
        <v>428.1673913043</v>
      </c>
      <c r="R62">
        <v>3</v>
      </c>
      <c r="S62">
        <v>553.66666666670005</v>
      </c>
      <c r="V62" t="s">
        <v>376</v>
      </c>
      <c r="W62">
        <v>55898</v>
      </c>
      <c r="X62">
        <v>37966</v>
      </c>
      <c r="Y62">
        <v>353.29405257339999</v>
      </c>
      <c r="Z62">
        <v>3752</v>
      </c>
      <c r="AA62">
        <v>524.59035181239994</v>
      </c>
      <c r="AB62">
        <v>10119</v>
      </c>
      <c r="AC62">
        <v>577.28184603219995</v>
      </c>
      <c r="AD62">
        <v>5285</v>
      </c>
      <c r="AE62">
        <v>507.63841059600003</v>
      </c>
      <c r="AF62">
        <v>2436</v>
      </c>
      <c r="AG62">
        <v>180.4827586207</v>
      </c>
      <c r="AH62">
        <v>92</v>
      </c>
      <c r="AI62">
        <v>415.51086956519998</v>
      </c>
      <c r="AL62" t="s">
        <v>376</v>
      </c>
      <c r="AM62">
        <v>1516</v>
      </c>
      <c r="AN62">
        <v>1278</v>
      </c>
      <c r="AO62">
        <v>245.45618153359999</v>
      </c>
      <c r="AP62">
        <v>223</v>
      </c>
      <c r="AQ62">
        <v>340.11210762330001</v>
      </c>
      <c r="AR62">
        <v>176</v>
      </c>
      <c r="AS62">
        <v>247.76704545449999</v>
      </c>
      <c r="AT62">
        <v>53</v>
      </c>
      <c r="AU62">
        <v>224.20754716979999</v>
      </c>
      <c r="AV62">
        <v>9</v>
      </c>
      <c r="AW62">
        <v>590.55555555559999</v>
      </c>
    </row>
    <row r="63" spans="6:49" x14ac:dyDescent="0.2">
      <c r="F63" t="s">
        <v>57</v>
      </c>
      <c r="G63">
        <v>629</v>
      </c>
      <c r="H63">
        <v>513</v>
      </c>
      <c r="I63">
        <v>296.50487329430001</v>
      </c>
      <c r="J63">
        <v>77</v>
      </c>
      <c r="K63">
        <v>649.19480519479998</v>
      </c>
      <c r="L63">
        <v>65</v>
      </c>
      <c r="M63">
        <v>72.261538461499995</v>
      </c>
      <c r="N63">
        <v>51</v>
      </c>
      <c r="O63">
        <v>348.0196078431</v>
      </c>
      <c r="V63" t="s">
        <v>705</v>
      </c>
      <c r="W63">
        <v>313567</v>
      </c>
      <c r="X63">
        <v>222239</v>
      </c>
      <c r="Y63">
        <v>396.96590157439999</v>
      </c>
      <c r="Z63">
        <v>17436</v>
      </c>
      <c r="AA63">
        <v>546.03917182839996</v>
      </c>
      <c r="AB63">
        <v>54532</v>
      </c>
      <c r="AC63">
        <v>622.97192474140002</v>
      </c>
      <c r="AD63">
        <v>23990</v>
      </c>
      <c r="AE63">
        <v>521.09441433929999</v>
      </c>
      <c r="AF63">
        <v>12385</v>
      </c>
      <c r="AG63">
        <v>187.09890997170001</v>
      </c>
      <c r="AH63">
        <v>421</v>
      </c>
      <c r="AI63">
        <v>430.83135391920001</v>
      </c>
      <c r="AL63" t="s">
        <v>705</v>
      </c>
      <c r="AM63">
        <v>5449</v>
      </c>
      <c r="AN63">
        <v>4437</v>
      </c>
      <c r="AO63">
        <v>247.49695740370001</v>
      </c>
      <c r="AP63">
        <v>1215</v>
      </c>
      <c r="AQ63">
        <v>294.79012345680002</v>
      </c>
      <c r="AR63">
        <v>799</v>
      </c>
      <c r="AS63">
        <v>223.36795994990001</v>
      </c>
      <c r="AT63">
        <v>181</v>
      </c>
      <c r="AU63">
        <v>201.31491712709999</v>
      </c>
      <c r="AV63">
        <v>32</v>
      </c>
      <c r="AW63">
        <v>337.09375</v>
      </c>
    </row>
    <row r="64" spans="6:49" x14ac:dyDescent="0.2">
      <c r="F64" t="s">
        <v>68</v>
      </c>
      <c r="G64">
        <v>4911</v>
      </c>
      <c r="H64">
        <v>3764</v>
      </c>
      <c r="I64">
        <v>553.29914984059997</v>
      </c>
      <c r="J64">
        <v>114</v>
      </c>
      <c r="K64">
        <v>960.12280701750001</v>
      </c>
      <c r="L64">
        <v>261</v>
      </c>
      <c r="M64">
        <v>635.13793103449996</v>
      </c>
      <c r="N64">
        <v>885</v>
      </c>
      <c r="O64">
        <v>860.15932203390003</v>
      </c>
      <c r="R64">
        <v>1</v>
      </c>
      <c r="S64">
        <v>1275</v>
      </c>
    </row>
    <row r="65" spans="6:19" x14ac:dyDescent="0.2">
      <c r="F65" t="s">
        <v>70</v>
      </c>
      <c r="G65">
        <v>433</v>
      </c>
      <c r="H65">
        <v>208</v>
      </c>
      <c r="I65">
        <v>107.2259615385</v>
      </c>
      <c r="J65">
        <v>151</v>
      </c>
      <c r="K65">
        <v>183.03311258279999</v>
      </c>
      <c r="L65">
        <v>139</v>
      </c>
      <c r="M65">
        <v>122.1007194245</v>
      </c>
      <c r="N65">
        <v>84</v>
      </c>
      <c r="O65">
        <v>181.11904761900001</v>
      </c>
      <c r="R65">
        <v>2</v>
      </c>
      <c r="S65">
        <v>200.5</v>
      </c>
    </row>
    <row r="66" spans="6:19" x14ac:dyDescent="0.2">
      <c r="F66" t="s">
        <v>85</v>
      </c>
      <c r="G66">
        <v>177</v>
      </c>
      <c r="H66">
        <v>49</v>
      </c>
      <c r="I66">
        <v>1059.1836734694</v>
      </c>
      <c r="J66">
        <v>17</v>
      </c>
      <c r="K66">
        <v>1079.9411764706001</v>
      </c>
      <c r="L66">
        <v>68</v>
      </c>
      <c r="M66">
        <v>611.4411764706</v>
      </c>
      <c r="N66">
        <v>59</v>
      </c>
      <c r="O66">
        <v>596.28813559319997</v>
      </c>
      <c r="R66">
        <v>1</v>
      </c>
      <c r="S66">
        <v>299</v>
      </c>
    </row>
    <row r="67" spans="6:19" x14ac:dyDescent="0.2">
      <c r="F67" t="s">
        <v>66</v>
      </c>
      <c r="G67">
        <v>4893</v>
      </c>
      <c r="H67">
        <v>3248</v>
      </c>
      <c r="I67">
        <v>251.5486453202</v>
      </c>
      <c r="J67">
        <v>487</v>
      </c>
      <c r="K67">
        <v>397.86242299790001</v>
      </c>
      <c r="L67">
        <v>1012</v>
      </c>
      <c r="M67">
        <v>490.11264822129999</v>
      </c>
      <c r="N67">
        <v>622</v>
      </c>
      <c r="O67">
        <v>578.50160771699996</v>
      </c>
      <c r="R67">
        <v>11</v>
      </c>
      <c r="S67">
        <v>296.1818181818</v>
      </c>
    </row>
    <row r="68" spans="6:19" x14ac:dyDescent="0.2">
      <c r="F68" t="s">
        <v>437</v>
      </c>
      <c r="G68">
        <v>12</v>
      </c>
      <c r="H68">
        <v>5</v>
      </c>
      <c r="I68">
        <v>305.60000000000002</v>
      </c>
      <c r="L68">
        <v>3</v>
      </c>
      <c r="M68">
        <v>970.66666666670005</v>
      </c>
      <c r="N68">
        <v>3</v>
      </c>
      <c r="O68">
        <v>87.333333333300004</v>
      </c>
      <c r="R68">
        <v>1</v>
      </c>
      <c r="S68">
        <v>255</v>
      </c>
    </row>
    <row r="69" spans="6:19" x14ac:dyDescent="0.2">
      <c r="F69" t="s">
        <v>86</v>
      </c>
      <c r="G69">
        <v>9428</v>
      </c>
      <c r="H69">
        <v>7221</v>
      </c>
      <c r="I69">
        <v>248.31616119649999</v>
      </c>
      <c r="J69">
        <v>844</v>
      </c>
      <c r="K69">
        <v>458.77606635069998</v>
      </c>
      <c r="L69">
        <v>1234</v>
      </c>
      <c r="M69">
        <v>179.73824959480001</v>
      </c>
      <c r="N69">
        <v>959</v>
      </c>
      <c r="O69">
        <v>347.16788321169997</v>
      </c>
      <c r="R69">
        <v>14</v>
      </c>
      <c r="S69">
        <v>245.3571428571</v>
      </c>
    </row>
    <row r="70" spans="6:19" x14ac:dyDescent="0.2">
      <c r="F70" t="s">
        <v>141</v>
      </c>
      <c r="G70">
        <v>196</v>
      </c>
      <c r="H70">
        <v>122</v>
      </c>
      <c r="I70">
        <v>188.36885245900001</v>
      </c>
      <c r="J70">
        <v>19</v>
      </c>
      <c r="K70">
        <v>405.42105263159999</v>
      </c>
      <c r="L70">
        <v>29</v>
      </c>
      <c r="M70">
        <v>593.10344827589995</v>
      </c>
      <c r="N70">
        <v>45</v>
      </c>
      <c r="O70">
        <v>477.26666666670002</v>
      </c>
    </row>
    <row r="71" spans="6:19" x14ac:dyDescent="0.2">
      <c r="F71" t="s">
        <v>376</v>
      </c>
      <c r="G71">
        <v>55116</v>
      </c>
      <c r="H71">
        <v>39209</v>
      </c>
      <c r="I71">
        <v>358.62421892930001</v>
      </c>
      <c r="J71">
        <v>3803</v>
      </c>
      <c r="K71">
        <v>532.5487772811</v>
      </c>
      <c r="L71">
        <v>10158</v>
      </c>
      <c r="M71">
        <v>581.23675920460005</v>
      </c>
      <c r="N71">
        <v>5655</v>
      </c>
      <c r="O71">
        <v>544.21520778069998</v>
      </c>
      <c r="R71">
        <v>94</v>
      </c>
      <c r="S71">
        <v>415.51063829790002</v>
      </c>
    </row>
    <row r="72" spans="6:19" x14ac:dyDescent="0.2">
      <c r="F72" t="s">
        <v>705</v>
      </c>
      <c r="G72">
        <v>319016</v>
      </c>
      <c r="H72">
        <v>226676</v>
      </c>
      <c r="I72">
        <v>394.04016746370002</v>
      </c>
      <c r="J72">
        <v>18651</v>
      </c>
      <c r="K72">
        <v>529.67181384380001</v>
      </c>
      <c r="L72">
        <v>55331</v>
      </c>
      <c r="M72">
        <v>617.20149644859998</v>
      </c>
      <c r="N72">
        <v>24171</v>
      </c>
      <c r="O72">
        <v>518.69980555209997</v>
      </c>
      <c r="P72">
        <v>12417</v>
      </c>
      <c r="Q72">
        <v>187.48546347749999</v>
      </c>
      <c r="R72">
        <v>421</v>
      </c>
      <c r="S72">
        <v>430.83135391920001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501</v>
      </c>
      <c r="B1" t="s">
        <v>373</v>
      </c>
      <c r="C1" t="s">
        <v>500</v>
      </c>
      <c r="D1" t="s">
        <v>502</v>
      </c>
      <c r="E1" t="s">
        <v>503</v>
      </c>
      <c r="F1" t="s">
        <v>504</v>
      </c>
      <c r="G1" t="s">
        <v>505</v>
      </c>
      <c r="H1" t="s">
        <v>506</v>
      </c>
      <c r="I1" t="s">
        <v>507</v>
      </c>
      <c r="J1" t="s">
        <v>508</v>
      </c>
      <c r="K1" t="s">
        <v>509</v>
      </c>
      <c r="L1" t="s">
        <v>374</v>
      </c>
      <c r="M1" t="s">
        <v>510</v>
      </c>
      <c r="N1" t="s">
        <v>511</v>
      </c>
      <c r="O1" t="s">
        <v>512</v>
      </c>
      <c r="P1" t="s">
        <v>513</v>
      </c>
      <c r="Q1" t="s">
        <v>514</v>
      </c>
      <c r="R1" t="s">
        <v>685</v>
      </c>
    </row>
    <row r="2" spans="1:18" x14ac:dyDescent="0.2">
      <c r="A2">
        <v>1</v>
      </c>
      <c r="B2">
        <v>-99</v>
      </c>
      <c r="C2" t="s">
        <v>444</v>
      </c>
      <c r="D2" t="s">
        <v>705</v>
      </c>
      <c r="E2" t="s">
        <v>444</v>
      </c>
      <c r="F2" t="s">
        <v>705</v>
      </c>
      <c r="G2" t="s">
        <v>444</v>
      </c>
      <c r="H2" t="s">
        <v>6</v>
      </c>
      <c r="I2">
        <v>-99</v>
      </c>
      <c r="J2">
        <v>1</v>
      </c>
      <c r="K2" t="s">
        <v>6</v>
      </c>
      <c r="L2">
        <v>-99</v>
      </c>
      <c r="M2" t="s">
        <v>661</v>
      </c>
      <c r="N2" t="s">
        <v>661</v>
      </c>
      <c r="O2">
        <v>-99</v>
      </c>
      <c r="P2">
        <v>-99</v>
      </c>
      <c r="Q2">
        <v>1</v>
      </c>
      <c r="R2" t="s">
        <v>661</v>
      </c>
    </row>
    <row r="3" spans="1:18" x14ac:dyDescent="0.2">
      <c r="A3">
        <v>2</v>
      </c>
      <c r="B3">
        <v>-99</v>
      </c>
      <c r="C3" t="s">
        <v>445</v>
      </c>
      <c r="D3" t="s">
        <v>6</v>
      </c>
      <c r="E3" t="s">
        <v>445</v>
      </c>
      <c r="F3" t="s">
        <v>1043</v>
      </c>
      <c r="G3" t="s">
        <v>444</v>
      </c>
      <c r="H3" t="s">
        <v>6</v>
      </c>
      <c r="I3">
        <v>-99</v>
      </c>
      <c r="J3">
        <v>1</v>
      </c>
      <c r="K3" t="s">
        <v>6</v>
      </c>
      <c r="L3">
        <v>-99</v>
      </c>
      <c r="M3" t="s">
        <v>661</v>
      </c>
      <c r="N3" t="s">
        <v>661</v>
      </c>
      <c r="O3">
        <v>-99</v>
      </c>
      <c r="P3">
        <v>-99</v>
      </c>
      <c r="Q3">
        <v>1</v>
      </c>
      <c r="R3" t="s">
        <v>661</v>
      </c>
    </row>
    <row r="4" spans="1:18" x14ac:dyDescent="0.2">
      <c r="A4">
        <v>3</v>
      </c>
      <c r="B4">
        <v>-99</v>
      </c>
      <c r="C4" t="s">
        <v>662</v>
      </c>
      <c r="D4" t="s">
        <v>6</v>
      </c>
      <c r="E4" t="s">
        <v>662</v>
      </c>
      <c r="F4" t="s">
        <v>1045</v>
      </c>
      <c r="G4" t="s">
        <v>444</v>
      </c>
      <c r="H4" t="s">
        <v>6</v>
      </c>
      <c r="I4">
        <v>-99</v>
      </c>
      <c r="J4">
        <v>1</v>
      </c>
      <c r="K4" t="s">
        <v>6</v>
      </c>
      <c r="L4">
        <v>-99</v>
      </c>
      <c r="M4" t="s">
        <v>661</v>
      </c>
      <c r="N4" t="s">
        <v>661</v>
      </c>
      <c r="O4">
        <v>-99</v>
      </c>
      <c r="P4">
        <v>-99</v>
      </c>
      <c r="Q4">
        <v>1</v>
      </c>
      <c r="R4" t="s">
        <v>214</v>
      </c>
    </row>
    <row r="5" spans="1:18" x14ac:dyDescent="0.2">
      <c r="A5">
        <v>4</v>
      </c>
      <c r="B5">
        <v>-99</v>
      </c>
      <c r="C5" t="s">
        <v>446</v>
      </c>
      <c r="D5" t="s">
        <v>6</v>
      </c>
      <c r="E5" t="s">
        <v>446</v>
      </c>
      <c r="F5" t="s">
        <v>1051</v>
      </c>
      <c r="G5" t="s">
        <v>444</v>
      </c>
      <c r="H5" t="s">
        <v>6</v>
      </c>
      <c r="I5">
        <v>-99</v>
      </c>
      <c r="J5">
        <v>1</v>
      </c>
      <c r="K5" t="s">
        <v>6</v>
      </c>
      <c r="L5">
        <v>-99</v>
      </c>
      <c r="M5" t="s">
        <v>661</v>
      </c>
      <c r="N5" t="s">
        <v>661</v>
      </c>
      <c r="O5">
        <v>-99</v>
      </c>
      <c r="P5">
        <v>-99</v>
      </c>
      <c r="Q5">
        <v>1</v>
      </c>
      <c r="R5" t="s">
        <v>690</v>
      </c>
    </row>
    <row r="6" spans="1:18" x14ac:dyDescent="0.2">
      <c r="A6">
        <v>5</v>
      </c>
      <c r="B6">
        <v>-99</v>
      </c>
      <c r="C6" t="s">
        <v>447</v>
      </c>
      <c r="D6" t="s">
        <v>6</v>
      </c>
      <c r="E6" t="s">
        <v>447</v>
      </c>
      <c r="F6" t="s">
        <v>702</v>
      </c>
      <c r="G6" t="s">
        <v>444</v>
      </c>
      <c r="H6" t="s">
        <v>6</v>
      </c>
      <c r="I6">
        <v>-99</v>
      </c>
      <c r="J6">
        <v>1</v>
      </c>
      <c r="K6" t="s">
        <v>6</v>
      </c>
      <c r="L6">
        <v>-99</v>
      </c>
      <c r="M6" t="s">
        <v>661</v>
      </c>
      <c r="N6" t="s">
        <v>661</v>
      </c>
      <c r="O6">
        <v>-99</v>
      </c>
      <c r="P6">
        <v>-99</v>
      </c>
      <c r="Q6">
        <v>1</v>
      </c>
      <c r="R6" t="s">
        <v>686</v>
      </c>
    </row>
    <row r="7" spans="1:18" x14ac:dyDescent="0.2">
      <c r="A7">
        <v>6</v>
      </c>
      <c r="B7">
        <v>-99</v>
      </c>
      <c r="C7" t="s">
        <v>448</v>
      </c>
      <c r="D7" t="s">
        <v>6</v>
      </c>
      <c r="E7" t="s">
        <v>448</v>
      </c>
      <c r="F7" t="s">
        <v>1046</v>
      </c>
      <c r="G7" t="s">
        <v>444</v>
      </c>
      <c r="H7" t="s">
        <v>6</v>
      </c>
      <c r="I7">
        <v>-99</v>
      </c>
      <c r="J7">
        <v>1</v>
      </c>
      <c r="K7" t="s">
        <v>6</v>
      </c>
      <c r="L7">
        <v>-99</v>
      </c>
      <c r="M7" t="s">
        <v>661</v>
      </c>
      <c r="N7" t="s">
        <v>661</v>
      </c>
      <c r="O7">
        <v>-99</v>
      </c>
      <c r="P7">
        <v>-99</v>
      </c>
      <c r="Q7">
        <v>1</v>
      </c>
      <c r="R7" t="s">
        <v>687</v>
      </c>
    </row>
    <row r="8" spans="1:18" x14ac:dyDescent="0.2">
      <c r="A8">
        <v>7</v>
      </c>
      <c r="B8">
        <v>-99</v>
      </c>
      <c r="C8" t="s">
        <v>449</v>
      </c>
      <c r="D8" t="s">
        <v>6</v>
      </c>
      <c r="E8" t="s">
        <v>449</v>
      </c>
      <c r="F8" t="s">
        <v>1052</v>
      </c>
      <c r="G8" t="s">
        <v>444</v>
      </c>
      <c r="H8" t="s">
        <v>6</v>
      </c>
      <c r="I8">
        <v>-99</v>
      </c>
      <c r="J8">
        <v>1</v>
      </c>
      <c r="K8" t="s">
        <v>6</v>
      </c>
      <c r="L8">
        <v>-99</v>
      </c>
      <c r="M8" t="s">
        <v>661</v>
      </c>
      <c r="N8" t="s">
        <v>661</v>
      </c>
      <c r="O8">
        <v>-99</v>
      </c>
      <c r="P8">
        <v>-99</v>
      </c>
      <c r="Q8">
        <v>1</v>
      </c>
      <c r="R8" t="s">
        <v>688</v>
      </c>
    </row>
    <row r="9" spans="1:18" x14ac:dyDescent="0.2">
      <c r="A9">
        <v>8</v>
      </c>
      <c r="B9">
        <v>-99</v>
      </c>
      <c r="C9" t="s">
        <v>450</v>
      </c>
      <c r="D9" t="s">
        <v>6</v>
      </c>
      <c r="E9" t="s">
        <v>450</v>
      </c>
      <c r="F9" t="s">
        <v>1053</v>
      </c>
      <c r="G9" t="s">
        <v>444</v>
      </c>
      <c r="H9" t="s">
        <v>6</v>
      </c>
      <c r="I9">
        <v>-99</v>
      </c>
      <c r="J9">
        <v>1</v>
      </c>
      <c r="K9" t="s">
        <v>6</v>
      </c>
      <c r="L9">
        <v>-99</v>
      </c>
      <c r="M9" t="s">
        <v>661</v>
      </c>
      <c r="N9" t="s">
        <v>661</v>
      </c>
      <c r="O9">
        <v>-99</v>
      </c>
      <c r="P9">
        <v>-99</v>
      </c>
      <c r="Q9">
        <v>1</v>
      </c>
      <c r="R9" t="s">
        <v>405</v>
      </c>
    </row>
    <row r="10" spans="1:18" x14ac:dyDescent="0.2">
      <c r="A10">
        <v>9</v>
      </c>
      <c r="B10">
        <v>-99</v>
      </c>
      <c r="C10" t="s">
        <v>451</v>
      </c>
      <c r="D10" t="s">
        <v>6</v>
      </c>
      <c r="E10" t="s">
        <v>451</v>
      </c>
      <c r="F10" t="s">
        <v>1054</v>
      </c>
      <c r="G10" t="s">
        <v>444</v>
      </c>
      <c r="H10" t="s">
        <v>6</v>
      </c>
      <c r="I10">
        <v>-99</v>
      </c>
      <c r="J10">
        <v>1</v>
      </c>
      <c r="K10" t="s">
        <v>6</v>
      </c>
      <c r="L10">
        <v>-99</v>
      </c>
      <c r="M10" t="s">
        <v>661</v>
      </c>
      <c r="N10" t="s">
        <v>661</v>
      </c>
      <c r="O10">
        <v>-99</v>
      </c>
      <c r="P10">
        <v>-99</v>
      </c>
      <c r="Q10">
        <v>1</v>
      </c>
      <c r="R10" t="s">
        <v>691</v>
      </c>
    </row>
    <row r="11" spans="1:18" x14ac:dyDescent="0.2">
      <c r="A11">
        <v>10</v>
      </c>
      <c r="B11">
        <v>-99</v>
      </c>
      <c r="C11" t="s">
        <v>452</v>
      </c>
      <c r="D11" t="s">
        <v>6</v>
      </c>
      <c r="E11" t="s">
        <v>452</v>
      </c>
      <c r="F11" t="s">
        <v>1055</v>
      </c>
      <c r="G11" t="s">
        <v>444</v>
      </c>
      <c r="H11" t="s">
        <v>6</v>
      </c>
      <c r="I11">
        <v>-99</v>
      </c>
      <c r="J11">
        <v>1</v>
      </c>
      <c r="K11" t="s">
        <v>6</v>
      </c>
      <c r="L11">
        <v>-99</v>
      </c>
      <c r="M11" t="s">
        <v>661</v>
      </c>
      <c r="N11" t="s">
        <v>661</v>
      </c>
      <c r="O11">
        <v>-99</v>
      </c>
      <c r="P11">
        <v>-99</v>
      </c>
      <c r="Q11">
        <v>1</v>
      </c>
      <c r="R11" t="s">
        <v>661</v>
      </c>
    </row>
    <row r="12" spans="1:18" x14ac:dyDescent="0.2">
      <c r="A12">
        <v>11</v>
      </c>
      <c r="B12">
        <v>-99</v>
      </c>
      <c r="C12" t="s">
        <v>454</v>
      </c>
      <c r="D12" t="s">
        <v>515</v>
      </c>
      <c r="E12" t="s">
        <v>663</v>
      </c>
      <c r="F12" t="s">
        <v>135</v>
      </c>
      <c r="G12" t="s">
        <v>663</v>
      </c>
      <c r="H12" t="s">
        <v>377</v>
      </c>
      <c r="I12">
        <v>-99</v>
      </c>
      <c r="J12">
        <v>-99</v>
      </c>
      <c r="K12" t="s">
        <v>661</v>
      </c>
      <c r="L12">
        <v>-99</v>
      </c>
      <c r="M12" t="s">
        <v>661</v>
      </c>
      <c r="N12" t="s">
        <v>661</v>
      </c>
      <c r="O12">
        <v>-99</v>
      </c>
      <c r="P12">
        <v>-99</v>
      </c>
      <c r="Q12">
        <v>2</v>
      </c>
      <c r="R12" t="s">
        <v>661</v>
      </c>
    </row>
    <row r="13" spans="1:18" x14ac:dyDescent="0.2">
      <c r="A13">
        <v>12</v>
      </c>
      <c r="B13">
        <v>-99</v>
      </c>
      <c r="C13" t="s">
        <v>456</v>
      </c>
      <c r="D13" t="s">
        <v>515</v>
      </c>
      <c r="E13" t="s">
        <v>664</v>
      </c>
      <c r="F13" t="s">
        <v>136</v>
      </c>
      <c r="G13" t="s">
        <v>664</v>
      </c>
      <c r="H13" t="s">
        <v>384</v>
      </c>
      <c r="I13">
        <v>-99</v>
      </c>
      <c r="J13">
        <v>-99</v>
      </c>
      <c r="K13" t="s">
        <v>661</v>
      </c>
      <c r="L13">
        <v>-99</v>
      </c>
      <c r="M13" t="s">
        <v>661</v>
      </c>
      <c r="N13" t="s">
        <v>661</v>
      </c>
      <c r="O13">
        <v>-99</v>
      </c>
      <c r="P13">
        <v>-99</v>
      </c>
      <c r="Q13">
        <v>2</v>
      </c>
      <c r="R13" t="s">
        <v>661</v>
      </c>
    </row>
    <row r="14" spans="1:18" x14ac:dyDescent="0.2">
      <c r="A14">
        <v>13</v>
      </c>
      <c r="B14">
        <v>-99</v>
      </c>
      <c r="C14" t="s">
        <v>459</v>
      </c>
      <c r="D14" t="s">
        <v>515</v>
      </c>
      <c r="E14" t="s">
        <v>665</v>
      </c>
      <c r="F14" t="s">
        <v>137</v>
      </c>
      <c r="G14" t="s">
        <v>665</v>
      </c>
      <c r="H14" t="s">
        <v>393</v>
      </c>
      <c r="I14">
        <v>-99</v>
      </c>
      <c r="J14">
        <v>-99</v>
      </c>
      <c r="K14" t="s">
        <v>661</v>
      </c>
      <c r="L14">
        <v>-99</v>
      </c>
      <c r="M14" t="s">
        <v>661</v>
      </c>
      <c r="N14" t="s">
        <v>661</v>
      </c>
      <c r="O14">
        <v>-99</v>
      </c>
      <c r="P14">
        <v>-99</v>
      </c>
      <c r="Q14">
        <v>2</v>
      </c>
      <c r="R14" t="s">
        <v>661</v>
      </c>
    </row>
    <row r="15" spans="1:18" x14ac:dyDescent="0.2">
      <c r="A15">
        <v>14</v>
      </c>
      <c r="B15">
        <v>-99</v>
      </c>
      <c r="C15" t="s">
        <v>666</v>
      </c>
      <c r="D15" t="s">
        <v>515</v>
      </c>
      <c r="E15" t="s">
        <v>667</v>
      </c>
      <c r="F15" t="s">
        <v>138</v>
      </c>
      <c r="G15" t="s">
        <v>667</v>
      </c>
      <c r="H15" t="s">
        <v>409</v>
      </c>
      <c r="I15">
        <v>-99</v>
      </c>
      <c r="J15">
        <v>-99</v>
      </c>
      <c r="K15" t="s">
        <v>661</v>
      </c>
      <c r="L15">
        <v>-99</v>
      </c>
      <c r="M15" t="s">
        <v>661</v>
      </c>
      <c r="N15" t="s">
        <v>661</v>
      </c>
      <c r="O15">
        <v>-99</v>
      </c>
      <c r="P15">
        <v>-99</v>
      </c>
      <c r="Q15">
        <v>2</v>
      </c>
      <c r="R15" t="s">
        <v>661</v>
      </c>
    </row>
    <row r="16" spans="1:18" x14ac:dyDescent="0.2">
      <c r="A16">
        <v>15</v>
      </c>
      <c r="B16">
        <v>-99</v>
      </c>
      <c r="C16" t="s">
        <v>669</v>
      </c>
      <c r="D16" t="s">
        <v>436</v>
      </c>
      <c r="E16" t="s">
        <v>669</v>
      </c>
      <c r="F16" t="s">
        <v>436</v>
      </c>
      <c r="G16" t="s">
        <v>661</v>
      </c>
      <c r="H16" t="s">
        <v>661</v>
      </c>
      <c r="I16">
        <v>-99</v>
      </c>
      <c r="J16">
        <v>30</v>
      </c>
      <c r="K16" t="s">
        <v>376</v>
      </c>
      <c r="L16">
        <v>-99</v>
      </c>
      <c r="M16" t="s">
        <v>661</v>
      </c>
      <c r="N16" t="s">
        <v>661</v>
      </c>
      <c r="O16">
        <v>-99</v>
      </c>
      <c r="P16">
        <v>-99</v>
      </c>
      <c r="Q16">
        <v>3</v>
      </c>
      <c r="R16" t="s">
        <v>661</v>
      </c>
    </row>
    <row r="17" spans="1:18" x14ac:dyDescent="0.2">
      <c r="A17">
        <v>16</v>
      </c>
      <c r="B17">
        <v>-99</v>
      </c>
      <c r="C17" t="s">
        <v>668</v>
      </c>
      <c r="D17" t="s">
        <v>442</v>
      </c>
      <c r="E17" t="s">
        <v>668</v>
      </c>
      <c r="F17" t="s">
        <v>442</v>
      </c>
      <c r="G17" t="s">
        <v>661</v>
      </c>
      <c r="H17" t="s">
        <v>661</v>
      </c>
      <c r="I17">
        <v>-99</v>
      </c>
      <c r="J17">
        <v>31</v>
      </c>
      <c r="K17" t="s">
        <v>387</v>
      </c>
      <c r="L17">
        <v>-99</v>
      </c>
      <c r="M17" t="s">
        <v>661</v>
      </c>
      <c r="N17" t="s">
        <v>661</v>
      </c>
      <c r="O17">
        <v>-99</v>
      </c>
      <c r="P17">
        <v>-99</v>
      </c>
      <c r="Q17">
        <v>3</v>
      </c>
      <c r="R17" t="s">
        <v>661</v>
      </c>
    </row>
    <row r="18" spans="1:18" x14ac:dyDescent="0.2">
      <c r="A18">
        <v>17</v>
      </c>
      <c r="B18">
        <v>-99</v>
      </c>
      <c r="C18" t="s">
        <v>670</v>
      </c>
      <c r="D18" t="s">
        <v>440</v>
      </c>
      <c r="E18" t="s">
        <v>670</v>
      </c>
      <c r="F18" t="s">
        <v>440</v>
      </c>
      <c r="G18" t="s">
        <v>661</v>
      </c>
      <c r="H18" t="s">
        <v>661</v>
      </c>
      <c r="I18">
        <v>-99</v>
      </c>
      <c r="J18">
        <v>32</v>
      </c>
      <c r="K18" t="s">
        <v>397</v>
      </c>
      <c r="L18">
        <v>-99</v>
      </c>
      <c r="M18" t="s">
        <v>661</v>
      </c>
      <c r="N18" t="s">
        <v>661</v>
      </c>
      <c r="O18">
        <v>-99</v>
      </c>
      <c r="P18">
        <v>-99</v>
      </c>
      <c r="Q18">
        <v>3</v>
      </c>
      <c r="R18" t="s">
        <v>661</v>
      </c>
    </row>
    <row r="19" spans="1:18" x14ac:dyDescent="0.2">
      <c r="A19">
        <v>18</v>
      </c>
      <c r="B19">
        <v>-99</v>
      </c>
      <c r="C19" t="s">
        <v>671</v>
      </c>
      <c r="D19" t="s">
        <v>439</v>
      </c>
      <c r="E19" t="s">
        <v>671</v>
      </c>
      <c r="F19" t="s">
        <v>439</v>
      </c>
      <c r="G19" t="s">
        <v>661</v>
      </c>
      <c r="H19" t="s">
        <v>661</v>
      </c>
      <c r="I19">
        <v>-99</v>
      </c>
      <c r="J19">
        <v>33</v>
      </c>
      <c r="K19" t="s">
        <v>392</v>
      </c>
      <c r="L19">
        <v>-99</v>
      </c>
      <c r="M19" t="s">
        <v>661</v>
      </c>
      <c r="N19" t="s">
        <v>661</v>
      </c>
      <c r="O19">
        <v>-99</v>
      </c>
      <c r="P19">
        <v>-99</v>
      </c>
      <c r="Q19">
        <v>3</v>
      </c>
      <c r="R19" t="s">
        <v>661</v>
      </c>
    </row>
    <row r="20" spans="1:18" x14ac:dyDescent="0.2">
      <c r="A20">
        <v>19</v>
      </c>
      <c r="B20">
        <v>-99</v>
      </c>
      <c r="C20" t="s">
        <v>672</v>
      </c>
      <c r="D20" t="s">
        <v>441</v>
      </c>
      <c r="E20" t="s">
        <v>672</v>
      </c>
      <c r="F20" t="s">
        <v>441</v>
      </c>
      <c r="G20" t="s">
        <v>661</v>
      </c>
      <c r="H20" t="s">
        <v>661</v>
      </c>
      <c r="I20">
        <v>-99</v>
      </c>
      <c r="J20">
        <v>34</v>
      </c>
      <c r="K20" t="s">
        <v>411</v>
      </c>
      <c r="L20">
        <v>-99</v>
      </c>
      <c r="M20" t="s">
        <v>661</v>
      </c>
      <c r="N20" t="s">
        <v>661</v>
      </c>
      <c r="O20">
        <v>-99</v>
      </c>
      <c r="P20">
        <v>-99</v>
      </c>
      <c r="Q20">
        <v>3</v>
      </c>
      <c r="R20" t="s">
        <v>661</v>
      </c>
    </row>
    <row r="21" spans="1:18" x14ac:dyDescent="0.2">
      <c r="A21">
        <v>20</v>
      </c>
      <c r="B21">
        <v>1</v>
      </c>
      <c r="C21" t="s">
        <v>674</v>
      </c>
      <c r="D21" t="s">
        <v>375</v>
      </c>
      <c r="E21" t="s">
        <v>674</v>
      </c>
      <c r="F21" t="s">
        <v>516</v>
      </c>
      <c r="G21" t="s">
        <v>675</v>
      </c>
      <c r="H21" t="s">
        <v>8</v>
      </c>
      <c r="I21">
        <v>-99</v>
      </c>
      <c r="J21">
        <v>35</v>
      </c>
      <c r="K21" t="s">
        <v>8</v>
      </c>
      <c r="L21">
        <v>8240</v>
      </c>
      <c r="M21" t="s">
        <v>517</v>
      </c>
      <c r="N21" t="s">
        <v>661</v>
      </c>
      <c r="O21">
        <v>1</v>
      </c>
      <c r="P21">
        <v>2</v>
      </c>
      <c r="Q21">
        <v>-99</v>
      </c>
      <c r="R21" t="s">
        <v>661</v>
      </c>
    </row>
    <row r="22" spans="1:18" x14ac:dyDescent="0.2">
      <c r="A22">
        <v>21</v>
      </c>
      <c r="B22">
        <v>8</v>
      </c>
      <c r="C22" t="s">
        <v>142</v>
      </c>
      <c r="D22" t="s">
        <v>38</v>
      </c>
      <c r="E22" t="s">
        <v>518</v>
      </c>
      <c r="F22" t="s">
        <v>519</v>
      </c>
      <c r="G22" t="s">
        <v>663</v>
      </c>
      <c r="H22" t="s">
        <v>377</v>
      </c>
      <c r="I22">
        <v>380</v>
      </c>
      <c r="J22">
        <v>30</v>
      </c>
      <c r="K22" t="s">
        <v>376</v>
      </c>
      <c r="L22">
        <v>8233</v>
      </c>
      <c r="M22" t="s">
        <v>332</v>
      </c>
      <c r="N22" t="s">
        <v>378</v>
      </c>
      <c r="O22">
        <v>1</v>
      </c>
      <c r="P22">
        <v>2</v>
      </c>
      <c r="Q22">
        <v>-99</v>
      </c>
      <c r="R22" t="s">
        <v>689</v>
      </c>
    </row>
    <row r="23" spans="1:18" x14ac:dyDescent="0.2">
      <c r="A23">
        <v>22</v>
      </c>
      <c r="B23">
        <v>9</v>
      </c>
      <c r="C23" t="s">
        <v>143</v>
      </c>
      <c r="D23" t="s">
        <v>70</v>
      </c>
      <c r="E23" t="s">
        <v>520</v>
      </c>
      <c r="F23" t="s">
        <v>521</v>
      </c>
      <c r="G23" t="s">
        <v>663</v>
      </c>
      <c r="H23" t="s">
        <v>377</v>
      </c>
      <c r="I23">
        <v>380</v>
      </c>
      <c r="J23">
        <v>30</v>
      </c>
      <c r="K23" t="s">
        <v>376</v>
      </c>
      <c r="L23">
        <v>8235</v>
      </c>
      <c r="M23" t="s">
        <v>367</v>
      </c>
      <c r="N23" t="s">
        <v>379</v>
      </c>
      <c r="O23">
        <v>1</v>
      </c>
      <c r="P23">
        <v>1</v>
      </c>
      <c r="Q23">
        <v>-99</v>
      </c>
      <c r="R23" t="s">
        <v>689</v>
      </c>
    </row>
    <row r="24" spans="1:18" x14ac:dyDescent="0.2">
      <c r="A24">
        <v>23</v>
      </c>
      <c r="B24">
        <v>-99</v>
      </c>
      <c r="C24" t="s">
        <v>143</v>
      </c>
      <c r="D24" t="s">
        <v>70</v>
      </c>
      <c r="E24" t="s">
        <v>522</v>
      </c>
      <c r="F24" t="s">
        <v>523</v>
      </c>
      <c r="G24" t="s">
        <v>663</v>
      </c>
      <c r="H24" t="s">
        <v>377</v>
      </c>
      <c r="I24">
        <v>380</v>
      </c>
      <c r="J24">
        <v>30</v>
      </c>
      <c r="K24" t="s">
        <v>376</v>
      </c>
      <c r="L24">
        <v>8235</v>
      </c>
      <c r="M24" t="s">
        <v>367</v>
      </c>
      <c r="N24" t="s">
        <v>379</v>
      </c>
      <c r="O24">
        <v>-99</v>
      </c>
      <c r="P24">
        <v>1</v>
      </c>
      <c r="Q24">
        <v>-99</v>
      </c>
      <c r="R24" t="s">
        <v>405</v>
      </c>
    </row>
    <row r="25" spans="1:18" x14ac:dyDescent="0.2">
      <c r="A25">
        <v>24</v>
      </c>
      <c r="B25">
        <v>10</v>
      </c>
      <c r="C25" t="s">
        <v>144</v>
      </c>
      <c r="D25" t="s">
        <v>63</v>
      </c>
      <c r="E25" t="s">
        <v>524</v>
      </c>
      <c r="F25" t="s">
        <v>525</v>
      </c>
      <c r="G25" t="s">
        <v>663</v>
      </c>
      <c r="H25" t="s">
        <v>377</v>
      </c>
      <c r="I25">
        <v>380</v>
      </c>
      <c r="J25">
        <v>30</v>
      </c>
      <c r="K25" t="s">
        <v>376</v>
      </c>
      <c r="L25">
        <v>8237</v>
      </c>
      <c r="M25" t="s">
        <v>342</v>
      </c>
      <c r="N25" t="s">
        <v>63</v>
      </c>
      <c r="O25">
        <v>1</v>
      </c>
      <c r="P25">
        <v>2</v>
      </c>
      <c r="Q25">
        <v>-99</v>
      </c>
      <c r="R25" t="s">
        <v>689</v>
      </c>
    </row>
    <row r="26" spans="1:18" x14ac:dyDescent="0.2">
      <c r="A26">
        <v>25</v>
      </c>
      <c r="B26">
        <v>11</v>
      </c>
      <c r="C26" t="s">
        <v>145</v>
      </c>
      <c r="D26" t="s">
        <v>24</v>
      </c>
      <c r="E26" t="s">
        <v>526</v>
      </c>
      <c r="F26" t="s">
        <v>527</v>
      </c>
      <c r="G26" t="s">
        <v>663</v>
      </c>
      <c r="H26" t="s">
        <v>377</v>
      </c>
      <c r="I26">
        <v>380</v>
      </c>
      <c r="J26">
        <v>30</v>
      </c>
      <c r="K26" t="s">
        <v>376</v>
      </c>
      <c r="L26">
        <v>8238</v>
      </c>
      <c r="M26" t="s">
        <v>342</v>
      </c>
      <c r="N26" t="s">
        <v>63</v>
      </c>
      <c r="O26">
        <v>1</v>
      </c>
      <c r="P26">
        <v>2</v>
      </c>
      <c r="Q26">
        <v>-99</v>
      </c>
      <c r="R26" t="s">
        <v>689</v>
      </c>
    </row>
    <row r="27" spans="1:18" x14ac:dyDescent="0.2">
      <c r="A27">
        <v>26</v>
      </c>
      <c r="B27">
        <v>12</v>
      </c>
      <c r="C27" t="s">
        <v>146</v>
      </c>
      <c r="D27" t="s">
        <v>47</v>
      </c>
      <c r="E27" t="s">
        <v>528</v>
      </c>
      <c r="F27" t="s">
        <v>529</v>
      </c>
      <c r="G27" t="s">
        <v>663</v>
      </c>
      <c r="H27" t="s">
        <v>377</v>
      </c>
      <c r="I27">
        <v>380</v>
      </c>
      <c r="J27">
        <v>30</v>
      </c>
      <c r="K27" t="s">
        <v>376</v>
      </c>
      <c r="L27">
        <v>8239</v>
      </c>
      <c r="M27" t="s">
        <v>360</v>
      </c>
      <c r="N27" t="s">
        <v>380</v>
      </c>
      <c r="O27">
        <v>1</v>
      </c>
      <c r="P27">
        <v>2</v>
      </c>
      <c r="Q27">
        <v>-99</v>
      </c>
      <c r="R27" t="s">
        <v>689</v>
      </c>
    </row>
    <row r="28" spans="1:18" x14ac:dyDescent="0.2">
      <c r="A28">
        <v>27</v>
      </c>
      <c r="B28">
        <v>13</v>
      </c>
      <c r="C28" t="s">
        <v>147</v>
      </c>
      <c r="D28" t="s">
        <v>64</v>
      </c>
      <c r="E28" t="s">
        <v>530</v>
      </c>
      <c r="F28" t="s">
        <v>531</v>
      </c>
      <c r="G28" t="s">
        <v>663</v>
      </c>
      <c r="H28" t="s">
        <v>377</v>
      </c>
      <c r="I28">
        <v>380</v>
      </c>
      <c r="J28">
        <v>30</v>
      </c>
      <c r="K28" t="s">
        <v>376</v>
      </c>
      <c r="L28">
        <v>8241</v>
      </c>
      <c r="M28" t="s">
        <v>364</v>
      </c>
      <c r="N28" t="s">
        <v>381</v>
      </c>
      <c r="O28">
        <v>1</v>
      </c>
      <c r="P28">
        <v>2</v>
      </c>
      <c r="Q28">
        <v>-99</v>
      </c>
      <c r="R28" t="s">
        <v>689</v>
      </c>
    </row>
    <row r="29" spans="1:18" x14ac:dyDescent="0.2">
      <c r="A29">
        <v>28</v>
      </c>
      <c r="B29">
        <v>14</v>
      </c>
      <c r="C29" t="s">
        <v>102</v>
      </c>
      <c r="D29" t="s">
        <v>66</v>
      </c>
      <c r="E29" t="s">
        <v>532</v>
      </c>
      <c r="F29" t="s">
        <v>533</v>
      </c>
      <c r="G29" t="s">
        <v>663</v>
      </c>
      <c r="H29" t="s">
        <v>377</v>
      </c>
      <c r="I29">
        <v>380</v>
      </c>
      <c r="J29">
        <v>30</v>
      </c>
      <c r="K29" t="s">
        <v>376</v>
      </c>
      <c r="L29">
        <v>8242</v>
      </c>
      <c r="M29" t="s">
        <v>354</v>
      </c>
      <c r="N29" t="s">
        <v>382</v>
      </c>
      <c r="O29">
        <v>1</v>
      </c>
      <c r="P29">
        <v>1</v>
      </c>
      <c r="Q29">
        <v>-99</v>
      </c>
      <c r="R29" t="s">
        <v>689</v>
      </c>
    </row>
    <row r="30" spans="1:18" x14ac:dyDescent="0.2">
      <c r="A30">
        <v>29</v>
      </c>
      <c r="B30">
        <v>-99</v>
      </c>
      <c r="C30" t="s">
        <v>102</v>
      </c>
      <c r="D30" t="s">
        <v>66</v>
      </c>
      <c r="E30" t="s">
        <v>534</v>
      </c>
      <c r="F30" t="s">
        <v>216</v>
      </c>
      <c r="G30" t="s">
        <v>663</v>
      </c>
      <c r="H30" t="s">
        <v>377</v>
      </c>
      <c r="I30">
        <v>380</v>
      </c>
      <c r="J30">
        <v>30</v>
      </c>
      <c r="K30" t="s">
        <v>376</v>
      </c>
      <c r="L30">
        <v>8242</v>
      </c>
      <c r="M30" t="s">
        <v>354</v>
      </c>
      <c r="N30" t="s">
        <v>382</v>
      </c>
      <c r="O30">
        <v>-99</v>
      </c>
      <c r="P30">
        <v>1</v>
      </c>
      <c r="Q30">
        <v>-99</v>
      </c>
      <c r="R30" t="s">
        <v>214</v>
      </c>
    </row>
    <row r="31" spans="1:18" x14ac:dyDescent="0.2">
      <c r="A31">
        <v>30</v>
      </c>
      <c r="B31">
        <v>15</v>
      </c>
      <c r="C31" t="s">
        <v>148</v>
      </c>
      <c r="D31" t="s">
        <v>68</v>
      </c>
      <c r="E31" t="s">
        <v>535</v>
      </c>
      <c r="F31" t="s">
        <v>536</v>
      </c>
      <c r="G31" t="s">
        <v>663</v>
      </c>
      <c r="H31" t="s">
        <v>377</v>
      </c>
      <c r="I31">
        <v>380</v>
      </c>
      <c r="J31">
        <v>30</v>
      </c>
      <c r="K31" t="s">
        <v>376</v>
      </c>
      <c r="L31">
        <v>8243</v>
      </c>
      <c r="M31" t="s">
        <v>354</v>
      </c>
      <c r="N31" t="s">
        <v>382</v>
      </c>
      <c r="O31">
        <v>1</v>
      </c>
      <c r="P31">
        <v>1</v>
      </c>
      <c r="Q31">
        <v>-99</v>
      </c>
      <c r="R31" t="s">
        <v>689</v>
      </c>
    </row>
    <row r="32" spans="1:18" x14ac:dyDescent="0.2">
      <c r="A32">
        <v>31</v>
      </c>
      <c r="B32">
        <v>-99</v>
      </c>
      <c r="C32" t="s">
        <v>148</v>
      </c>
      <c r="D32" t="s">
        <v>68</v>
      </c>
      <c r="E32" t="s">
        <v>537</v>
      </c>
      <c r="F32" t="s">
        <v>538</v>
      </c>
      <c r="G32" t="s">
        <v>663</v>
      </c>
      <c r="H32" t="s">
        <v>377</v>
      </c>
      <c r="I32">
        <v>380</v>
      </c>
      <c r="J32">
        <v>30</v>
      </c>
      <c r="K32" t="s">
        <v>376</v>
      </c>
      <c r="L32">
        <v>8243</v>
      </c>
      <c r="M32" t="s">
        <v>354</v>
      </c>
      <c r="N32" t="s">
        <v>382</v>
      </c>
      <c r="O32">
        <v>-99</v>
      </c>
      <c r="P32">
        <v>1</v>
      </c>
      <c r="Q32">
        <v>-99</v>
      </c>
      <c r="R32" t="s">
        <v>688</v>
      </c>
    </row>
    <row r="33" spans="1:18" x14ac:dyDescent="0.2">
      <c r="A33">
        <v>32</v>
      </c>
      <c r="B33">
        <v>16</v>
      </c>
      <c r="C33" t="s">
        <v>149</v>
      </c>
      <c r="D33" t="s">
        <v>36</v>
      </c>
      <c r="E33" t="s">
        <v>539</v>
      </c>
      <c r="F33" t="s">
        <v>540</v>
      </c>
      <c r="G33" t="s">
        <v>663</v>
      </c>
      <c r="H33" t="s">
        <v>377</v>
      </c>
      <c r="I33">
        <v>380</v>
      </c>
      <c r="J33">
        <v>30</v>
      </c>
      <c r="K33" t="s">
        <v>376</v>
      </c>
      <c r="L33">
        <v>8244</v>
      </c>
      <c r="M33" t="s">
        <v>349</v>
      </c>
      <c r="N33" t="s">
        <v>383</v>
      </c>
      <c r="O33">
        <v>1</v>
      </c>
      <c r="P33">
        <v>2</v>
      </c>
      <c r="Q33">
        <v>-99</v>
      </c>
      <c r="R33" t="s">
        <v>689</v>
      </c>
    </row>
    <row r="34" spans="1:18" x14ac:dyDescent="0.2">
      <c r="A34">
        <v>33</v>
      </c>
      <c r="B34">
        <v>23</v>
      </c>
      <c r="C34" t="s">
        <v>108</v>
      </c>
      <c r="D34" t="s">
        <v>72</v>
      </c>
      <c r="E34" t="s">
        <v>541</v>
      </c>
      <c r="F34" t="s">
        <v>542</v>
      </c>
      <c r="G34" t="s">
        <v>664</v>
      </c>
      <c r="H34" t="s">
        <v>384</v>
      </c>
      <c r="I34">
        <v>381</v>
      </c>
      <c r="J34">
        <v>30</v>
      </c>
      <c r="K34" t="s">
        <v>376</v>
      </c>
      <c r="L34">
        <v>8245</v>
      </c>
      <c r="M34" t="s">
        <v>328</v>
      </c>
      <c r="N34" t="s">
        <v>385</v>
      </c>
      <c r="O34">
        <v>1</v>
      </c>
      <c r="P34">
        <v>2</v>
      </c>
      <c r="Q34">
        <v>-99</v>
      </c>
      <c r="R34" t="s">
        <v>689</v>
      </c>
    </row>
    <row r="35" spans="1:18" x14ac:dyDescent="0.2">
      <c r="A35">
        <v>34</v>
      </c>
      <c r="B35">
        <v>24</v>
      </c>
      <c r="C35" t="s">
        <v>150</v>
      </c>
      <c r="D35" t="s">
        <v>50</v>
      </c>
      <c r="E35" t="s">
        <v>543</v>
      </c>
      <c r="F35" t="s">
        <v>544</v>
      </c>
      <c r="G35" t="s">
        <v>664</v>
      </c>
      <c r="H35" t="s">
        <v>384</v>
      </c>
      <c r="I35">
        <v>381</v>
      </c>
      <c r="J35">
        <v>30</v>
      </c>
      <c r="K35" t="s">
        <v>376</v>
      </c>
      <c r="L35">
        <v>8246</v>
      </c>
      <c r="M35" t="s">
        <v>344</v>
      </c>
      <c r="N35" t="s">
        <v>386</v>
      </c>
      <c r="O35">
        <v>1</v>
      </c>
      <c r="P35">
        <v>2</v>
      </c>
      <c r="Q35">
        <v>-99</v>
      </c>
      <c r="R35" t="s">
        <v>689</v>
      </c>
    </row>
    <row r="36" spans="1:18" x14ac:dyDescent="0.2">
      <c r="A36">
        <v>35</v>
      </c>
      <c r="B36">
        <v>30</v>
      </c>
      <c r="C36" t="s">
        <v>151</v>
      </c>
      <c r="D36" t="s">
        <v>25</v>
      </c>
      <c r="E36" t="s">
        <v>545</v>
      </c>
      <c r="F36" t="s">
        <v>546</v>
      </c>
      <c r="G36" t="s">
        <v>664</v>
      </c>
      <c r="H36" t="s">
        <v>384</v>
      </c>
      <c r="I36">
        <v>381</v>
      </c>
      <c r="J36">
        <v>31</v>
      </c>
      <c r="K36" t="s">
        <v>387</v>
      </c>
      <c r="L36">
        <v>8247</v>
      </c>
      <c r="M36" t="s">
        <v>369</v>
      </c>
      <c r="N36" t="s">
        <v>388</v>
      </c>
      <c r="O36">
        <v>1</v>
      </c>
      <c r="P36">
        <v>2</v>
      </c>
      <c r="Q36">
        <v>-99</v>
      </c>
      <c r="R36" t="s">
        <v>689</v>
      </c>
    </row>
    <row r="37" spans="1:18" x14ac:dyDescent="0.2">
      <c r="A37">
        <v>36</v>
      </c>
      <c r="B37">
        <v>194</v>
      </c>
      <c r="C37" t="s">
        <v>152</v>
      </c>
      <c r="D37" t="s">
        <v>80</v>
      </c>
      <c r="E37" t="s">
        <v>547</v>
      </c>
      <c r="F37" t="s">
        <v>548</v>
      </c>
      <c r="G37" t="s">
        <v>664</v>
      </c>
      <c r="H37" t="s">
        <v>384</v>
      </c>
      <c r="I37">
        <v>381</v>
      </c>
      <c r="J37">
        <v>31</v>
      </c>
      <c r="K37" t="s">
        <v>387</v>
      </c>
      <c r="L37">
        <v>8248</v>
      </c>
      <c r="M37" t="s">
        <v>324</v>
      </c>
      <c r="N37" t="s">
        <v>432</v>
      </c>
      <c r="O37">
        <v>1</v>
      </c>
      <c r="P37">
        <v>2</v>
      </c>
      <c r="Q37">
        <v>-99</v>
      </c>
      <c r="R37" t="s">
        <v>689</v>
      </c>
    </row>
    <row r="38" spans="1:18" x14ac:dyDescent="0.2">
      <c r="A38">
        <v>37</v>
      </c>
      <c r="B38">
        <v>34</v>
      </c>
      <c r="C38" t="s">
        <v>153</v>
      </c>
      <c r="D38" t="s">
        <v>86</v>
      </c>
      <c r="E38" t="s">
        <v>549</v>
      </c>
      <c r="F38" t="s">
        <v>550</v>
      </c>
      <c r="G38" t="s">
        <v>664</v>
      </c>
      <c r="H38" t="s">
        <v>384</v>
      </c>
      <c r="I38">
        <v>381</v>
      </c>
      <c r="J38">
        <v>30</v>
      </c>
      <c r="K38" t="s">
        <v>376</v>
      </c>
      <c r="L38">
        <v>8249</v>
      </c>
      <c r="M38" t="s">
        <v>355</v>
      </c>
      <c r="N38" t="s">
        <v>389</v>
      </c>
      <c r="O38">
        <v>1</v>
      </c>
      <c r="P38">
        <v>1</v>
      </c>
      <c r="Q38">
        <v>-99</v>
      </c>
      <c r="R38" t="s">
        <v>689</v>
      </c>
    </row>
    <row r="39" spans="1:18" x14ac:dyDescent="0.2">
      <c r="A39">
        <v>38</v>
      </c>
      <c r="B39">
        <v>-99</v>
      </c>
      <c r="C39" t="s">
        <v>153</v>
      </c>
      <c r="D39" t="s">
        <v>86</v>
      </c>
      <c r="E39" t="s">
        <v>551</v>
      </c>
      <c r="F39" t="s">
        <v>219</v>
      </c>
      <c r="G39" t="s">
        <v>664</v>
      </c>
      <c r="H39" t="s">
        <v>384</v>
      </c>
      <c r="I39">
        <v>381</v>
      </c>
      <c r="J39">
        <v>30</v>
      </c>
      <c r="K39" t="s">
        <v>376</v>
      </c>
      <c r="L39">
        <v>8249</v>
      </c>
      <c r="M39" t="s">
        <v>355</v>
      </c>
      <c r="N39" t="s">
        <v>389</v>
      </c>
      <c r="O39">
        <v>-99</v>
      </c>
      <c r="P39">
        <v>1</v>
      </c>
      <c r="Q39">
        <v>-99</v>
      </c>
      <c r="R39" t="s">
        <v>686</v>
      </c>
    </row>
    <row r="40" spans="1:18" x14ac:dyDescent="0.2">
      <c r="A40">
        <v>39</v>
      </c>
      <c r="B40">
        <v>-99</v>
      </c>
      <c r="C40" t="s">
        <v>153</v>
      </c>
      <c r="D40" t="s">
        <v>86</v>
      </c>
      <c r="E40" t="s">
        <v>552</v>
      </c>
      <c r="F40" t="s">
        <v>964</v>
      </c>
      <c r="G40" t="s">
        <v>664</v>
      </c>
      <c r="H40" t="s">
        <v>384</v>
      </c>
      <c r="I40">
        <v>381</v>
      </c>
      <c r="J40">
        <v>30</v>
      </c>
      <c r="K40" t="s">
        <v>376</v>
      </c>
      <c r="L40">
        <v>8249</v>
      </c>
      <c r="M40" t="s">
        <v>355</v>
      </c>
      <c r="N40" t="s">
        <v>389</v>
      </c>
      <c r="O40">
        <v>-99</v>
      </c>
      <c r="P40">
        <v>1</v>
      </c>
      <c r="Q40">
        <v>-99</v>
      </c>
      <c r="R40" t="s">
        <v>687</v>
      </c>
    </row>
    <row r="41" spans="1:18" x14ac:dyDescent="0.2">
      <c r="A41">
        <v>40</v>
      </c>
      <c r="B41">
        <v>35</v>
      </c>
      <c r="C41" t="s">
        <v>154</v>
      </c>
      <c r="D41" t="s">
        <v>42</v>
      </c>
      <c r="E41" t="s">
        <v>553</v>
      </c>
      <c r="F41" t="s">
        <v>554</v>
      </c>
      <c r="G41" t="s">
        <v>664</v>
      </c>
      <c r="H41" t="s">
        <v>384</v>
      </c>
      <c r="I41">
        <v>381</v>
      </c>
      <c r="J41">
        <v>31</v>
      </c>
      <c r="K41" t="s">
        <v>387</v>
      </c>
      <c r="L41">
        <v>8250</v>
      </c>
      <c r="M41" t="s">
        <v>347</v>
      </c>
      <c r="N41" t="s">
        <v>390</v>
      </c>
      <c r="O41">
        <v>1</v>
      </c>
      <c r="P41">
        <v>2</v>
      </c>
      <c r="Q41">
        <v>-99</v>
      </c>
      <c r="R41" t="s">
        <v>689</v>
      </c>
    </row>
    <row r="42" spans="1:18" x14ac:dyDescent="0.2">
      <c r="A42">
        <v>41</v>
      </c>
      <c r="B42">
        <v>36</v>
      </c>
      <c r="C42" t="s">
        <v>94</v>
      </c>
      <c r="D42" t="s">
        <v>61</v>
      </c>
      <c r="E42" t="s">
        <v>555</v>
      </c>
      <c r="F42" t="s">
        <v>556</v>
      </c>
      <c r="G42" t="s">
        <v>664</v>
      </c>
      <c r="H42" t="s">
        <v>384</v>
      </c>
      <c r="I42">
        <v>381</v>
      </c>
      <c r="J42">
        <v>31</v>
      </c>
      <c r="K42" t="s">
        <v>387</v>
      </c>
      <c r="L42">
        <v>8251</v>
      </c>
      <c r="M42" t="s">
        <v>350</v>
      </c>
      <c r="N42" t="s">
        <v>391</v>
      </c>
      <c r="O42">
        <v>1</v>
      </c>
      <c r="P42">
        <v>2</v>
      </c>
      <c r="Q42">
        <v>-99</v>
      </c>
      <c r="R42" t="s">
        <v>689</v>
      </c>
    </row>
    <row r="43" spans="1:18" x14ac:dyDescent="0.2">
      <c r="A43">
        <v>42</v>
      </c>
      <c r="B43">
        <v>37</v>
      </c>
      <c r="C43" t="s">
        <v>155</v>
      </c>
      <c r="D43" t="s">
        <v>62</v>
      </c>
      <c r="E43" t="s">
        <v>557</v>
      </c>
      <c r="F43" t="s">
        <v>558</v>
      </c>
      <c r="G43" t="s">
        <v>665</v>
      </c>
      <c r="H43" t="s">
        <v>393</v>
      </c>
      <c r="I43">
        <v>382</v>
      </c>
      <c r="J43">
        <v>33</v>
      </c>
      <c r="K43" t="s">
        <v>392</v>
      </c>
      <c r="L43">
        <v>8252</v>
      </c>
      <c r="M43" t="s">
        <v>327</v>
      </c>
      <c r="N43" t="s">
        <v>394</v>
      </c>
      <c r="O43">
        <v>1</v>
      </c>
      <c r="P43">
        <v>2</v>
      </c>
      <c r="Q43">
        <v>-99</v>
      </c>
      <c r="R43" t="s">
        <v>689</v>
      </c>
    </row>
    <row r="44" spans="1:18" x14ac:dyDescent="0.2">
      <c r="A44">
        <v>43</v>
      </c>
      <c r="B44">
        <v>38</v>
      </c>
      <c r="C44" t="s">
        <v>156</v>
      </c>
      <c r="D44" t="s">
        <v>60</v>
      </c>
      <c r="E44" t="s">
        <v>559</v>
      </c>
      <c r="F44" t="s">
        <v>560</v>
      </c>
      <c r="G44" t="s">
        <v>664</v>
      </c>
      <c r="H44" t="s">
        <v>384</v>
      </c>
      <c r="I44">
        <v>381</v>
      </c>
      <c r="J44">
        <v>31</v>
      </c>
      <c r="K44" t="s">
        <v>387</v>
      </c>
      <c r="L44">
        <v>8253</v>
      </c>
      <c r="M44" t="s">
        <v>361</v>
      </c>
      <c r="N44" t="s">
        <v>395</v>
      </c>
      <c r="O44">
        <v>1</v>
      </c>
      <c r="P44">
        <v>2</v>
      </c>
      <c r="Q44">
        <v>-99</v>
      </c>
      <c r="R44" t="s">
        <v>689</v>
      </c>
    </row>
    <row r="45" spans="1:18" x14ac:dyDescent="0.2">
      <c r="A45">
        <v>44</v>
      </c>
      <c r="B45">
        <v>39</v>
      </c>
      <c r="C45" t="s">
        <v>157</v>
      </c>
      <c r="D45" t="s">
        <v>52</v>
      </c>
      <c r="E45" t="s">
        <v>561</v>
      </c>
      <c r="F45" t="s">
        <v>562</v>
      </c>
      <c r="G45" t="s">
        <v>664</v>
      </c>
      <c r="H45" t="s">
        <v>384</v>
      </c>
      <c r="I45">
        <v>381</v>
      </c>
      <c r="J45">
        <v>33</v>
      </c>
      <c r="K45" t="s">
        <v>392</v>
      </c>
      <c r="L45">
        <v>8254</v>
      </c>
      <c r="M45" t="s">
        <v>362</v>
      </c>
      <c r="N45" t="s">
        <v>396</v>
      </c>
      <c r="O45">
        <v>1</v>
      </c>
      <c r="P45">
        <v>1</v>
      </c>
      <c r="Q45">
        <v>-99</v>
      </c>
      <c r="R45" t="s">
        <v>689</v>
      </c>
    </row>
    <row r="46" spans="1:18" x14ac:dyDescent="0.2">
      <c r="A46">
        <v>45</v>
      </c>
      <c r="B46">
        <v>-99</v>
      </c>
      <c r="C46" t="s">
        <v>157</v>
      </c>
      <c r="D46" t="s">
        <v>52</v>
      </c>
      <c r="E46" t="s">
        <v>563</v>
      </c>
      <c r="F46" t="s">
        <v>564</v>
      </c>
      <c r="G46" t="s">
        <v>664</v>
      </c>
      <c r="H46" t="s">
        <v>384</v>
      </c>
      <c r="I46">
        <v>381</v>
      </c>
      <c r="J46">
        <v>33</v>
      </c>
      <c r="K46" t="s">
        <v>392</v>
      </c>
      <c r="L46">
        <v>8254</v>
      </c>
      <c r="M46" t="s">
        <v>362</v>
      </c>
      <c r="N46" t="s">
        <v>396</v>
      </c>
      <c r="O46">
        <v>-99</v>
      </c>
      <c r="P46">
        <v>1</v>
      </c>
      <c r="Q46">
        <v>-99</v>
      </c>
      <c r="R46" t="s">
        <v>690</v>
      </c>
    </row>
    <row r="47" spans="1:18" x14ac:dyDescent="0.2">
      <c r="A47">
        <v>46</v>
      </c>
      <c r="B47">
        <v>52</v>
      </c>
      <c r="C47" t="s">
        <v>158</v>
      </c>
      <c r="D47" t="s">
        <v>41</v>
      </c>
      <c r="E47" t="s">
        <v>565</v>
      </c>
      <c r="F47" t="s">
        <v>566</v>
      </c>
      <c r="G47" t="s">
        <v>663</v>
      </c>
      <c r="H47" t="s">
        <v>377</v>
      </c>
      <c r="I47">
        <v>380</v>
      </c>
      <c r="J47">
        <v>32</v>
      </c>
      <c r="K47" t="s">
        <v>397</v>
      </c>
      <c r="L47">
        <v>8255</v>
      </c>
      <c r="M47" t="s">
        <v>363</v>
      </c>
      <c r="N47" t="s">
        <v>398</v>
      </c>
      <c r="O47">
        <v>1</v>
      </c>
      <c r="P47">
        <v>2</v>
      </c>
      <c r="Q47">
        <v>-99</v>
      </c>
      <c r="R47" t="s">
        <v>689</v>
      </c>
    </row>
    <row r="48" spans="1:18" x14ac:dyDescent="0.2">
      <c r="A48">
        <v>47</v>
      </c>
      <c r="B48">
        <v>53</v>
      </c>
      <c r="C48" t="s">
        <v>159</v>
      </c>
      <c r="D48" t="s">
        <v>51</v>
      </c>
      <c r="E48" t="s">
        <v>567</v>
      </c>
      <c r="F48" t="s">
        <v>568</v>
      </c>
      <c r="G48" t="s">
        <v>663</v>
      </c>
      <c r="H48" t="s">
        <v>377</v>
      </c>
      <c r="I48">
        <v>380</v>
      </c>
      <c r="J48">
        <v>32</v>
      </c>
      <c r="K48" t="s">
        <v>397</v>
      </c>
      <c r="L48">
        <v>8256</v>
      </c>
      <c r="M48" t="s">
        <v>337</v>
      </c>
      <c r="N48" t="s">
        <v>399</v>
      </c>
      <c r="O48">
        <v>1</v>
      </c>
      <c r="P48">
        <v>2</v>
      </c>
      <c r="Q48">
        <v>-99</v>
      </c>
      <c r="R48" t="s">
        <v>689</v>
      </c>
    </row>
    <row r="49" spans="1:18" x14ac:dyDescent="0.2">
      <c r="A49">
        <v>48</v>
      </c>
      <c r="B49">
        <v>54</v>
      </c>
      <c r="C49" t="s">
        <v>160</v>
      </c>
      <c r="D49" t="s">
        <v>56</v>
      </c>
      <c r="E49" t="s">
        <v>569</v>
      </c>
      <c r="F49" t="s">
        <v>570</v>
      </c>
      <c r="G49" t="s">
        <v>664</v>
      </c>
      <c r="H49" t="s">
        <v>384</v>
      </c>
      <c r="I49">
        <v>381</v>
      </c>
      <c r="J49">
        <v>31</v>
      </c>
      <c r="K49" t="s">
        <v>387</v>
      </c>
      <c r="L49">
        <v>8257</v>
      </c>
      <c r="M49" t="s">
        <v>343</v>
      </c>
      <c r="N49" t="s">
        <v>400</v>
      </c>
      <c r="O49">
        <v>1</v>
      </c>
      <c r="P49">
        <v>1</v>
      </c>
      <c r="Q49">
        <v>-99</v>
      </c>
      <c r="R49" t="s">
        <v>689</v>
      </c>
    </row>
    <row r="50" spans="1:18" x14ac:dyDescent="0.2">
      <c r="A50">
        <v>49</v>
      </c>
      <c r="B50">
        <v>-99</v>
      </c>
      <c r="C50" t="s">
        <v>160</v>
      </c>
      <c r="D50" t="s">
        <v>56</v>
      </c>
      <c r="E50" t="s">
        <v>571</v>
      </c>
      <c r="F50" t="s">
        <v>572</v>
      </c>
      <c r="G50" t="s">
        <v>664</v>
      </c>
      <c r="H50" t="s">
        <v>384</v>
      </c>
      <c r="I50">
        <v>381</v>
      </c>
      <c r="J50">
        <v>31</v>
      </c>
      <c r="K50" t="s">
        <v>387</v>
      </c>
      <c r="L50">
        <v>8257</v>
      </c>
      <c r="M50" t="s">
        <v>343</v>
      </c>
      <c r="N50" t="s">
        <v>400</v>
      </c>
      <c r="O50">
        <v>-99</v>
      </c>
      <c r="P50">
        <v>1</v>
      </c>
      <c r="Q50">
        <v>-99</v>
      </c>
      <c r="R50" t="s">
        <v>691</v>
      </c>
    </row>
    <row r="51" spans="1:18" x14ac:dyDescent="0.2">
      <c r="A51">
        <v>50</v>
      </c>
      <c r="B51">
        <v>55</v>
      </c>
      <c r="C51" t="s">
        <v>161</v>
      </c>
      <c r="D51" t="s">
        <v>40</v>
      </c>
      <c r="E51" t="s">
        <v>573</v>
      </c>
      <c r="F51" t="s">
        <v>574</v>
      </c>
      <c r="G51" t="s">
        <v>665</v>
      </c>
      <c r="H51" t="s">
        <v>393</v>
      </c>
      <c r="I51">
        <v>382</v>
      </c>
      <c r="J51">
        <v>32</v>
      </c>
      <c r="K51" t="s">
        <v>397</v>
      </c>
      <c r="L51">
        <v>8258</v>
      </c>
      <c r="M51" t="s">
        <v>356</v>
      </c>
      <c r="N51" t="s">
        <v>401</v>
      </c>
      <c r="O51">
        <v>1</v>
      </c>
      <c r="P51">
        <v>2</v>
      </c>
      <c r="Q51">
        <v>-99</v>
      </c>
      <c r="R51" t="s">
        <v>689</v>
      </c>
    </row>
    <row r="52" spans="1:18" x14ac:dyDescent="0.2">
      <c r="A52">
        <v>51</v>
      </c>
      <c r="B52">
        <v>56</v>
      </c>
      <c r="C52" t="s">
        <v>162</v>
      </c>
      <c r="D52" t="s">
        <v>45</v>
      </c>
      <c r="E52" t="s">
        <v>575</v>
      </c>
      <c r="F52" t="s">
        <v>576</v>
      </c>
      <c r="G52" t="s">
        <v>663</v>
      </c>
      <c r="H52" t="s">
        <v>377</v>
      </c>
      <c r="I52">
        <v>380</v>
      </c>
      <c r="J52">
        <v>32</v>
      </c>
      <c r="K52" t="s">
        <v>397</v>
      </c>
      <c r="L52">
        <v>8259</v>
      </c>
      <c r="M52" t="s">
        <v>333</v>
      </c>
      <c r="N52" t="s">
        <v>402</v>
      </c>
      <c r="O52">
        <v>1</v>
      </c>
      <c r="P52">
        <v>2</v>
      </c>
      <c r="Q52">
        <v>-99</v>
      </c>
      <c r="R52" t="s">
        <v>689</v>
      </c>
    </row>
    <row r="53" spans="1:18" x14ac:dyDescent="0.2">
      <c r="A53">
        <v>52</v>
      </c>
      <c r="B53">
        <v>57</v>
      </c>
      <c r="C53" t="s">
        <v>163</v>
      </c>
      <c r="D53" t="s">
        <v>59</v>
      </c>
      <c r="E53" t="s">
        <v>577</v>
      </c>
      <c r="F53" t="s">
        <v>578</v>
      </c>
      <c r="G53" t="s">
        <v>665</v>
      </c>
      <c r="H53" t="s">
        <v>393</v>
      </c>
      <c r="I53">
        <v>382</v>
      </c>
      <c r="J53">
        <v>32</v>
      </c>
      <c r="K53" t="s">
        <v>397</v>
      </c>
      <c r="L53">
        <v>8260</v>
      </c>
      <c r="M53" t="s">
        <v>323</v>
      </c>
      <c r="N53" t="s">
        <v>403</v>
      </c>
      <c r="O53">
        <v>1</v>
      </c>
      <c r="P53">
        <v>1</v>
      </c>
      <c r="Q53">
        <v>-99</v>
      </c>
      <c r="R53" t="s">
        <v>689</v>
      </c>
    </row>
    <row r="54" spans="1:18" x14ac:dyDescent="0.2">
      <c r="A54">
        <v>53</v>
      </c>
      <c r="B54">
        <v>-99</v>
      </c>
      <c r="C54" t="s">
        <v>163</v>
      </c>
      <c r="D54" t="s">
        <v>59</v>
      </c>
      <c r="E54" t="s">
        <v>579</v>
      </c>
      <c r="F54" t="s">
        <v>215</v>
      </c>
      <c r="G54" t="s">
        <v>665</v>
      </c>
      <c r="H54" t="s">
        <v>393</v>
      </c>
      <c r="I54">
        <v>382</v>
      </c>
      <c r="J54">
        <v>32</v>
      </c>
      <c r="K54" t="s">
        <v>397</v>
      </c>
      <c r="L54">
        <v>8260</v>
      </c>
      <c r="M54" t="s">
        <v>323</v>
      </c>
      <c r="N54" t="s">
        <v>403</v>
      </c>
      <c r="O54">
        <v>-99</v>
      </c>
      <c r="P54">
        <v>1</v>
      </c>
      <c r="Q54">
        <v>-99</v>
      </c>
      <c r="R54" t="s">
        <v>214</v>
      </c>
    </row>
    <row r="55" spans="1:18" x14ac:dyDescent="0.2">
      <c r="A55">
        <v>54</v>
      </c>
      <c r="B55">
        <v>58</v>
      </c>
      <c r="C55" t="s">
        <v>164</v>
      </c>
      <c r="D55" t="s">
        <v>78</v>
      </c>
      <c r="E55" t="s">
        <v>580</v>
      </c>
      <c r="F55" t="s">
        <v>581</v>
      </c>
      <c r="G55" t="s">
        <v>665</v>
      </c>
      <c r="H55" t="s">
        <v>393</v>
      </c>
      <c r="I55">
        <v>382</v>
      </c>
      <c r="J55">
        <v>32</v>
      </c>
      <c r="K55" t="s">
        <v>397</v>
      </c>
      <c r="L55">
        <v>8261</v>
      </c>
      <c r="M55" t="s">
        <v>346</v>
      </c>
      <c r="N55" t="s">
        <v>404</v>
      </c>
      <c r="O55">
        <v>1</v>
      </c>
      <c r="P55">
        <v>2</v>
      </c>
      <c r="Q55">
        <v>-99</v>
      </c>
      <c r="R55" t="s">
        <v>689</v>
      </c>
    </row>
    <row r="56" spans="1:18" x14ac:dyDescent="0.2">
      <c r="A56">
        <v>55</v>
      </c>
      <c r="B56">
        <v>59</v>
      </c>
      <c r="C56" t="s">
        <v>165</v>
      </c>
      <c r="D56" t="s">
        <v>44</v>
      </c>
      <c r="E56" t="s">
        <v>582</v>
      </c>
      <c r="F56" t="s">
        <v>583</v>
      </c>
      <c r="G56" t="s">
        <v>665</v>
      </c>
      <c r="H56" t="s">
        <v>393</v>
      </c>
      <c r="I56">
        <v>382</v>
      </c>
      <c r="J56">
        <v>32</v>
      </c>
      <c r="K56" t="s">
        <v>397</v>
      </c>
      <c r="L56">
        <v>8262</v>
      </c>
      <c r="M56" t="s">
        <v>370</v>
      </c>
      <c r="N56" t="s">
        <v>406</v>
      </c>
      <c r="O56">
        <v>1</v>
      </c>
      <c r="P56">
        <v>2</v>
      </c>
      <c r="Q56">
        <v>-99</v>
      </c>
      <c r="R56" t="s">
        <v>689</v>
      </c>
    </row>
    <row r="57" spans="1:18" x14ac:dyDescent="0.2">
      <c r="A57">
        <v>56</v>
      </c>
      <c r="B57">
        <v>60</v>
      </c>
      <c r="C57" t="s">
        <v>166</v>
      </c>
      <c r="D57" t="s">
        <v>53</v>
      </c>
      <c r="E57" t="s">
        <v>584</v>
      </c>
      <c r="F57" t="s">
        <v>585</v>
      </c>
      <c r="G57" t="s">
        <v>665</v>
      </c>
      <c r="H57" t="s">
        <v>393</v>
      </c>
      <c r="I57">
        <v>382</v>
      </c>
      <c r="J57">
        <v>32</v>
      </c>
      <c r="K57" t="s">
        <v>397</v>
      </c>
      <c r="L57">
        <v>8263</v>
      </c>
      <c r="M57" t="s">
        <v>329</v>
      </c>
      <c r="N57" t="s">
        <v>407</v>
      </c>
      <c r="O57">
        <v>1</v>
      </c>
      <c r="P57">
        <v>2</v>
      </c>
      <c r="Q57">
        <v>-99</v>
      </c>
      <c r="R57" t="s">
        <v>689</v>
      </c>
    </row>
    <row r="58" spans="1:18" x14ac:dyDescent="0.2">
      <c r="A58">
        <v>57</v>
      </c>
      <c r="B58">
        <v>84</v>
      </c>
      <c r="C58" t="s">
        <v>167</v>
      </c>
      <c r="D58" t="s">
        <v>79</v>
      </c>
      <c r="E58" t="s">
        <v>586</v>
      </c>
      <c r="F58" t="s">
        <v>587</v>
      </c>
      <c r="G58" t="s">
        <v>665</v>
      </c>
      <c r="H58" t="s">
        <v>393</v>
      </c>
      <c r="I58">
        <v>382</v>
      </c>
      <c r="J58">
        <v>32</v>
      </c>
      <c r="K58" t="s">
        <v>397</v>
      </c>
      <c r="L58">
        <v>8264</v>
      </c>
      <c r="M58" t="s">
        <v>340</v>
      </c>
      <c r="N58" t="s">
        <v>408</v>
      </c>
      <c r="O58">
        <v>1</v>
      </c>
      <c r="P58">
        <v>1</v>
      </c>
      <c r="Q58">
        <v>-99</v>
      </c>
      <c r="R58" t="s">
        <v>689</v>
      </c>
    </row>
    <row r="59" spans="1:18" x14ac:dyDescent="0.2">
      <c r="A59">
        <v>58</v>
      </c>
      <c r="B59">
        <v>-99</v>
      </c>
      <c r="C59" t="s">
        <v>167</v>
      </c>
      <c r="D59" t="s">
        <v>79</v>
      </c>
      <c r="E59" t="s">
        <v>588</v>
      </c>
      <c r="F59" t="s">
        <v>498</v>
      </c>
      <c r="G59" t="s">
        <v>665</v>
      </c>
      <c r="H59" t="s">
        <v>393</v>
      </c>
      <c r="I59">
        <v>382</v>
      </c>
      <c r="J59">
        <v>32</v>
      </c>
      <c r="K59" t="s">
        <v>397</v>
      </c>
      <c r="L59">
        <v>8264</v>
      </c>
      <c r="M59" t="s">
        <v>340</v>
      </c>
      <c r="N59" t="s">
        <v>408</v>
      </c>
      <c r="O59">
        <v>-99</v>
      </c>
      <c r="P59">
        <v>1</v>
      </c>
      <c r="Q59">
        <v>-99</v>
      </c>
      <c r="R59" t="s">
        <v>661</v>
      </c>
    </row>
    <row r="60" spans="1:18" x14ac:dyDescent="0.2">
      <c r="A60">
        <v>59</v>
      </c>
      <c r="B60">
        <v>-99</v>
      </c>
      <c r="C60" t="s">
        <v>167</v>
      </c>
      <c r="D60" t="s">
        <v>79</v>
      </c>
      <c r="E60" t="s">
        <v>589</v>
      </c>
      <c r="F60" t="s">
        <v>218</v>
      </c>
      <c r="G60" t="s">
        <v>665</v>
      </c>
      <c r="H60" t="s">
        <v>393</v>
      </c>
      <c r="I60">
        <v>382</v>
      </c>
      <c r="J60">
        <v>32</v>
      </c>
      <c r="K60" t="s">
        <v>397</v>
      </c>
      <c r="L60">
        <v>8264</v>
      </c>
      <c r="M60" t="s">
        <v>340</v>
      </c>
      <c r="N60" t="s">
        <v>408</v>
      </c>
      <c r="O60">
        <v>-99</v>
      </c>
      <c r="P60">
        <v>1</v>
      </c>
      <c r="Q60">
        <v>-99</v>
      </c>
      <c r="R60" t="s">
        <v>214</v>
      </c>
    </row>
    <row r="61" spans="1:18" x14ac:dyDescent="0.2">
      <c r="A61">
        <v>60</v>
      </c>
      <c r="B61">
        <v>100</v>
      </c>
      <c r="C61" t="s">
        <v>168</v>
      </c>
      <c r="D61" t="s">
        <v>43</v>
      </c>
      <c r="E61" t="s">
        <v>590</v>
      </c>
      <c r="F61" t="s">
        <v>591</v>
      </c>
      <c r="G61" t="s">
        <v>667</v>
      </c>
      <c r="H61" t="s">
        <v>409</v>
      </c>
      <c r="I61">
        <v>383</v>
      </c>
      <c r="J61">
        <v>33</v>
      </c>
      <c r="K61" t="s">
        <v>392</v>
      </c>
      <c r="L61">
        <v>8268</v>
      </c>
      <c r="M61" t="s">
        <v>357</v>
      </c>
      <c r="N61" t="s">
        <v>410</v>
      </c>
      <c r="O61">
        <v>1</v>
      </c>
      <c r="P61">
        <v>2</v>
      </c>
      <c r="Q61">
        <v>-99</v>
      </c>
      <c r="R61" t="s">
        <v>689</v>
      </c>
    </row>
    <row r="62" spans="1:18" x14ac:dyDescent="0.2">
      <c r="A62">
        <v>61</v>
      </c>
      <c r="B62">
        <v>101</v>
      </c>
      <c r="C62" t="s">
        <v>169</v>
      </c>
      <c r="D62" t="s">
        <v>34</v>
      </c>
      <c r="E62" t="s">
        <v>592</v>
      </c>
      <c r="F62" t="s">
        <v>593</v>
      </c>
      <c r="G62" t="s">
        <v>667</v>
      </c>
      <c r="H62" t="s">
        <v>409</v>
      </c>
      <c r="I62">
        <v>383</v>
      </c>
      <c r="J62">
        <v>34</v>
      </c>
      <c r="K62" t="s">
        <v>411</v>
      </c>
      <c r="L62">
        <v>8269</v>
      </c>
      <c r="M62" t="s">
        <v>325</v>
      </c>
      <c r="N62" t="s">
        <v>412</v>
      </c>
      <c r="O62">
        <v>1</v>
      </c>
      <c r="P62">
        <v>2</v>
      </c>
      <c r="Q62">
        <v>-99</v>
      </c>
      <c r="R62" t="s">
        <v>689</v>
      </c>
    </row>
    <row r="63" spans="1:18" x14ac:dyDescent="0.2">
      <c r="A63">
        <v>62</v>
      </c>
      <c r="B63">
        <v>102</v>
      </c>
      <c r="C63" t="s">
        <v>170</v>
      </c>
      <c r="D63" t="s">
        <v>73</v>
      </c>
      <c r="E63" t="s">
        <v>594</v>
      </c>
      <c r="F63" t="s">
        <v>595</v>
      </c>
      <c r="G63" t="s">
        <v>667</v>
      </c>
      <c r="H63" t="s">
        <v>409</v>
      </c>
      <c r="I63">
        <v>383</v>
      </c>
      <c r="J63">
        <v>33</v>
      </c>
      <c r="K63" t="s">
        <v>392</v>
      </c>
      <c r="L63">
        <v>8270</v>
      </c>
      <c r="M63" t="s">
        <v>351</v>
      </c>
      <c r="N63" t="s">
        <v>413</v>
      </c>
      <c r="O63">
        <v>1</v>
      </c>
      <c r="P63">
        <v>1</v>
      </c>
      <c r="Q63">
        <v>-99</v>
      </c>
      <c r="R63" t="s">
        <v>689</v>
      </c>
    </row>
    <row r="64" spans="1:18" x14ac:dyDescent="0.2">
      <c r="A64">
        <v>63</v>
      </c>
      <c r="B64">
        <v>-99</v>
      </c>
      <c r="C64" t="s">
        <v>170</v>
      </c>
      <c r="D64" t="s">
        <v>73</v>
      </c>
      <c r="E64" t="s">
        <v>596</v>
      </c>
      <c r="F64" t="s">
        <v>217</v>
      </c>
      <c r="G64" t="s">
        <v>667</v>
      </c>
      <c r="H64" t="s">
        <v>409</v>
      </c>
      <c r="I64">
        <v>383</v>
      </c>
      <c r="J64">
        <v>33</v>
      </c>
      <c r="K64" t="s">
        <v>392</v>
      </c>
      <c r="L64">
        <v>8270</v>
      </c>
      <c r="M64" t="s">
        <v>351</v>
      </c>
      <c r="N64" t="s">
        <v>413</v>
      </c>
      <c r="O64">
        <v>-99</v>
      </c>
      <c r="P64">
        <v>1</v>
      </c>
      <c r="Q64">
        <v>-99</v>
      </c>
      <c r="R64" t="s">
        <v>686</v>
      </c>
    </row>
    <row r="65" spans="1:18" x14ac:dyDescent="0.2">
      <c r="A65">
        <v>64</v>
      </c>
      <c r="B65">
        <v>103</v>
      </c>
      <c r="C65" t="s">
        <v>171</v>
      </c>
      <c r="D65" t="s">
        <v>65</v>
      </c>
      <c r="E65" t="s">
        <v>597</v>
      </c>
      <c r="F65" t="s">
        <v>598</v>
      </c>
      <c r="G65" t="s">
        <v>667</v>
      </c>
      <c r="H65" t="s">
        <v>409</v>
      </c>
      <c r="I65">
        <v>383</v>
      </c>
      <c r="J65">
        <v>34</v>
      </c>
      <c r="K65" t="s">
        <v>411</v>
      </c>
      <c r="L65">
        <v>8272</v>
      </c>
      <c r="M65" t="s">
        <v>339</v>
      </c>
      <c r="N65" t="s">
        <v>414</v>
      </c>
      <c r="O65">
        <v>1</v>
      </c>
      <c r="P65">
        <v>2</v>
      </c>
      <c r="Q65">
        <v>-99</v>
      </c>
      <c r="R65" t="s">
        <v>689</v>
      </c>
    </row>
    <row r="66" spans="1:18" x14ac:dyDescent="0.2">
      <c r="A66">
        <v>65</v>
      </c>
      <c r="B66">
        <v>104</v>
      </c>
      <c r="C66" t="s">
        <v>172</v>
      </c>
      <c r="D66" t="s">
        <v>55</v>
      </c>
      <c r="E66" t="s">
        <v>599</v>
      </c>
      <c r="F66" t="s">
        <v>600</v>
      </c>
      <c r="G66" t="s">
        <v>667</v>
      </c>
      <c r="H66" t="s">
        <v>409</v>
      </c>
      <c r="I66">
        <v>383</v>
      </c>
      <c r="J66">
        <v>34</v>
      </c>
      <c r="K66" t="s">
        <v>411</v>
      </c>
      <c r="L66">
        <v>8221</v>
      </c>
      <c r="M66" t="s">
        <v>339</v>
      </c>
      <c r="N66" t="s">
        <v>414</v>
      </c>
      <c r="O66">
        <v>1</v>
      </c>
      <c r="P66">
        <v>2</v>
      </c>
      <c r="Q66">
        <v>-99</v>
      </c>
      <c r="R66" t="s">
        <v>689</v>
      </c>
    </row>
    <row r="67" spans="1:18" x14ac:dyDescent="0.2">
      <c r="A67">
        <v>66</v>
      </c>
      <c r="B67">
        <v>196</v>
      </c>
      <c r="C67" t="s">
        <v>173</v>
      </c>
      <c r="D67" t="s">
        <v>67</v>
      </c>
      <c r="E67" t="s">
        <v>601</v>
      </c>
      <c r="F67" t="s">
        <v>602</v>
      </c>
      <c r="G67" t="s">
        <v>667</v>
      </c>
      <c r="H67" t="s">
        <v>409</v>
      </c>
      <c r="I67">
        <v>383</v>
      </c>
      <c r="J67">
        <v>34</v>
      </c>
      <c r="K67" t="s">
        <v>411</v>
      </c>
      <c r="L67">
        <v>8202</v>
      </c>
      <c r="M67" t="s">
        <v>352</v>
      </c>
      <c r="N67" t="s">
        <v>433</v>
      </c>
      <c r="O67">
        <v>1</v>
      </c>
      <c r="P67">
        <v>2</v>
      </c>
      <c r="Q67">
        <v>-99</v>
      </c>
      <c r="R67" t="s">
        <v>689</v>
      </c>
    </row>
    <row r="68" spans="1:18" x14ac:dyDescent="0.2">
      <c r="A68">
        <v>67</v>
      </c>
      <c r="B68">
        <v>110</v>
      </c>
      <c r="C68" t="s">
        <v>174</v>
      </c>
      <c r="D68" t="s">
        <v>76</v>
      </c>
      <c r="E68" t="s">
        <v>603</v>
      </c>
      <c r="F68" t="s">
        <v>604</v>
      </c>
      <c r="G68" t="s">
        <v>667</v>
      </c>
      <c r="H68" t="s">
        <v>409</v>
      </c>
      <c r="I68">
        <v>383</v>
      </c>
      <c r="J68">
        <v>34</v>
      </c>
      <c r="K68" t="s">
        <v>411</v>
      </c>
      <c r="L68">
        <v>8203</v>
      </c>
      <c r="M68" t="s">
        <v>336</v>
      </c>
      <c r="N68" t="s">
        <v>83</v>
      </c>
      <c r="O68">
        <v>1</v>
      </c>
      <c r="P68">
        <v>1</v>
      </c>
      <c r="Q68">
        <v>-99</v>
      </c>
      <c r="R68" t="s">
        <v>689</v>
      </c>
    </row>
    <row r="69" spans="1:18" x14ac:dyDescent="0.2">
      <c r="A69">
        <v>68</v>
      </c>
      <c r="B69">
        <v>-99</v>
      </c>
      <c r="C69" t="s">
        <v>174</v>
      </c>
      <c r="D69" t="s">
        <v>76</v>
      </c>
      <c r="E69" t="s">
        <v>605</v>
      </c>
      <c r="F69" t="s">
        <v>606</v>
      </c>
      <c r="G69" t="s">
        <v>667</v>
      </c>
      <c r="H69" t="s">
        <v>409</v>
      </c>
      <c r="I69">
        <v>383</v>
      </c>
      <c r="J69">
        <v>34</v>
      </c>
      <c r="K69" t="s">
        <v>411</v>
      </c>
      <c r="L69">
        <v>8203</v>
      </c>
      <c r="M69" t="s">
        <v>336</v>
      </c>
      <c r="N69" t="s">
        <v>83</v>
      </c>
      <c r="O69">
        <v>-99</v>
      </c>
      <c r="P69">
        <v>1</v>
      </c>
      <c r="Q69">
        <v>-99</v>
      </c>
      <c r="R69" t="s">
        <v>405</v>
      </c>
    </row>
    <row r="70" spans="1:18" x14ac:dyDescent="0.2">
      <c r="A70">
        <v>69</v>
      </c>
      <c r="B70">
        <v>111</v>
      </c>
      <c r="C70" t="s">
        <v>175</v>
      </c>
      <c r="D70" t="s">
        <v>37</v>
      </c>
      <c r="E70" t="s">
        <v>607</v>
      </c>
      <c r="F70" t="s">
        <v>608</v>
      </c>
      <c r="G70" t="s">
        <v>667</v>
      </c>
      <c r="H70" t="s">
        <v>409</v>
      </c>
      <c r="I70">
        <v>383</v>
      </c>
      <c r="J70">
        <v>34</v>
      </c>
      <c r="K70" t="s">
        <v>411</v>
      </c>
      <c r="L70">
        <v>8204</v>
      </c>
      <c r="M70" t="s">
        <v>341</v>
      </c>
      <c r="N70" t="s">
        <v>415</v>
      </c>
      <c r="O70">
        <v>1</v>
      </c>
      <c r="P70">
        <v>2</v>
      </c>
      <c r="Q70">
        <v>-99</v>
      </c>
      <c r="R70" t="s">
        <v>689</v>
      </c>
    </row>
    <row r="71" spans="1:18" x14ac:dyDescent="0.2">
      <c r="A71">
        <v>70</v>
      </c>
      <c r="B71">
        <v>112</v>
      </c>
      <c r="C71" t="s">
        <v>176</v>
      </c>
      <c r="D71" t="s">
        <v>69</v>
      </c>
      <c r="E71" t="s">
        <v>609</v>
      </c>
      <c r="F71" t="s">
        <v>610</v>
      </c>
      <c r="G71" t="s">
        <v>667</v>
      </c>
      <c r="H71" t="s">
        <v>409</v>
      </c>
      <c r="I71">
        <v>383</v>
      </c>
      <c r="J71">
        <v>34</v>
      </c>
      <c r="K71" t="s">
        <v>411</v>
      </c>
      <c r="L71">
        <v>8205</v>
      </c>
      <c r="M71" t="s">
        <v>358</v>
      </c>
      <c r="N71" t="s">
        <v>416</v>
      </c>
      <c r="O71">
        <v>1</v>
      </c>
      <c r="P71">
        <v>2</v>
      </c>
      <c r="Q71">
        <v>-99</v>
      </c>
      <c r="R71" t="s">
        <v>689</v>
      </c>
    </row>
    <row r="72" spans="1:18" x14ac:dyDescent="0.2">
      <c r="A72">
        <v>71</v>
      </c>
      <c r="B72">
        <v>113</v>
      </c>
      <c r="C72" t="s">
        <v>177</v>
      </c>
      <c r="D72" t="s">
        <v>82</v>
      </c>
      <c r="E72" t="s">
        <v>611</v>
      </c>
      <c r="F72" t="s">
        <v>612</v>
      </c>
      <c r="G72" t="s">
        <v>665</v>
      </c>
      <c r="H72" t="s">
        <v>393</v>
      </c>
      <c r="I72">
        <v>382</v>
      </c>
      <c r="J72">
        <v>33</v>
      </c>
      <c r="K72" t="s">
        <v>392</v>
      </c>
      <c r="L72">
        <v>8206</v>
      </c>
      <c r="M72" t="s">
        <v>334</v>
      </c>
      <c r="N72" t="s">
        <v>417</v>
      </c>
      <c r="O72">
        <v>1</v>
      </c>
      <c r="P72">
        <v>2</v>
      </c>
      <c r="Q72">
        <v>-99</v>
      </c>
      <c r="R72" t="s">
        <v>689</v>
      </c>
    </row>
    <row r="73" spans="1:18" x14ac:dyDescent="0.2">
      <c r="A73">
        <v>72</v>
      </c>
      <c r="B73">
        <v>114</v>
      </c>
      <c r="C73" t="s">
        <v>178</v>
      </c>
      <c r="D73" t="s">
        <v>54</v>
      </c>
      <c r="E73" t="s">
        <v>613</v>
      </c>
      <c r="F73" t="s">
        <v>614</v>
      </c>
      <c r="G73" t="s">
        <v>665</v>
      </c>
      <c r="H73" t="s">
        <v>393</v>
      </c>
      <c r="I73">
        <v>382</v>
      </c>
      <c r="J73">
        <v>33</v>
      </c>
      <c r="K73" t="s">
        <v>392</v>
      </c>
      <c r="L73">
        <v>8207</v>
      </c>
      <c r="M73" t="s">
        <v>322</v>
      </c>
      <c r="N73" t="s">
        <v>418</v>
      </c>
      <c r="O73">
        <v>1</v>
      </c>
      <c r="P73">
        <v>2</v>
      </c>
      <c r="Q73">
        <v>-99</v>
      </c>
      <c r="R73" t="s">
        <v>689</v>
      </c>
    </row>
    <row r="74" spans="1:18" x14ac:dyDescent="0.2">
      <c r="A74">
        <v>73</v>
      </c>
      <c r="B74">
        <v>115</v>
      </c>
      <c r="C74" t="s">
        <v>179</v>
      </c>
      <c r="D74" t="s">
        <v>27</v>
      </c>
      <c r="E74" t="s">
        <v>615</v>
      </c>
      <c r="F74" t="s">
        <v>616</v>
      </c>
      <c r="G74" t="s">
        <v>665</v>
      </c>
      <c r="H74" t="s">
        <v>393</v>
      </c>
      <c r="I74">
        <v>382</v>
      </c>
      <c r="J74">
        <v>33</v>
      </c>
      <c r="K74" t="s">
        <v>392</v>
      </c>
      <c r="L74">
        <v>8208</v>
      </c>
      <c r="M74" t="s">
        <v>345</v>
      </c>
      <c r="N74" t="s">
        <v>419</v>
      </c>
      <c r="O74">
        <v>1</v>
      </c>
      <c r="P74">
        <v>2</v>
      </c>
      <c r="Q74">
        <v>-99</v>
      </c>
      <c r="R74" t="s">
        <v>689</v>
      </c>
    </row>
    <row r="75" spans="1:18" x14ac:dyDescent="0.2">
      <c r="A75">
        <v>74</v>
      </c>
      <c r="B75">
        <v>116</v>
      </c>
      <c r="C75" t="s">
        <v>180</v>
      </c>
      <c r="D75" t="s">
        <v>71</v>
      </c>
      <c r="E75" t="s">
        <v>617</v>
      </c>
      <c r="F75" t="s">
        <v>618</v>
      </c>
      <c r="G75" t="s">
        <v>667</v>
      </c>
      <c r="H75" t="s">
        <v>409</v>
      </c>
      <c r="I75">
        <v>383</v>
      </c>
      <c r="J75">
        <v>34</v>
      </c>
      <c r="K75" t="s">
        <v>411</v>
      </c>
      <c r="L75">
        <v>8210</v>
      </c>
      <c r="M75" t="s">
        <v>335</v>
      </c>
      <c r="N75" t="s">
        <v>420</v>
      </c>
      <c r="O75">
        <v>1</v>
      </c>
      <c r="P75">
        <v>2</v>
      </c>
      <c r="Q75">
        <v>-99</v>
      </c>
      <c r="R75" t="s">
        <v>689</v>
      </c>
    </row>
    <row r="76" spans="1:18" x14ac:dyDescent="0.2">
      <c r="A76">
        <v>75</v>
      </c>
      <c r="B76">
        <v>197</v>
      </c>
      <c r="C76" t="s">
        <v>181</v>
      </c>
      <c r="D76" t="s">
        <v>75</v>
      </c>
      <c r="E76" t="s">
        <v>619</v>
      </c>
      <c r="F76" t="s">
        <v>620</v>
      </c>
      <c r="G76" t="s">
        <v>664</v>
      </c>
      <c r="H76" t="s">
        <v>384</v>
      </c>
      <c r="I76">
        <v>381</v>
      </c>
      <c r="J76">
        <v>31</v>
      </c>
      <c r="K76" t="s">
        <v>387</v>
      </c>
      <c r="L76">
        <v>8211</v>
      </c>
      <c r="M76" t="s">
        <v>338</v>
      </c>
      <c r="N76" t="s">
        <v>434</v>
      </c>
      <c r="O76">
        <v>1</v>
      </c>
      <c r="P76">
        <v>2</v>
      </c>
      <c r="Q76">
        <v>-99</v>
      </c>
      <c r="R76" t="s">
        <v>689</v>
      </c>
    </row>
    <row r="77" spans="1:18" x14ac:dyDescent="0.2">
      <c r="A77">
        <v>76</v>
      </c>
      <c r="B77">
        <v>119</v>
      </c>
      <c r="C77" t="s">
        <v>182</v>
      </c>
      <c r="D77" t="s">
        <v>58</v>
      </c>
      <c r="E77" t="s">
        <v>621</v>
      </c>
      <c r="F77" t="s">
        <v>622</v>
      </c>
      <c r="G77" t="s">
        <v>667</v>
      </c>
      <c r="H77" t="s">
        <v>409</v>
      </c>
      <c r="I77">
        <v>383</v>
      </c>
      <c r="J77">
        <v>34</v>
      </c>
      <c r="K77" t="s">
        <v>411</v>
      </c>
      <c r="L77">
        <v>8223</v>
      </c>
      <c r="M77" t="s">
        <v>623</v>
      </c>
      <c r="N77" t="s">
        <v>624</v>
      </c>
      <c r="O77">
        <v>1</v>
      </c>
      <c r="P77">
        <v>2</v>
      </c>
      <c r="Q77">
        <v>-99</v>
      </c>
      <c r="R77" t="s">
        <v>689</v>
      </c>
    </row>
    <row r="78" spans="1:18" x14ac:dyDescent="0.2">
      <c r="A78">
        <v>77</v>
      </c>
      <c r="B78">
        <v>131</v>
      </c>
      <c r="C78" t="s">
        <v>183</v>
      </c>
      <c r="D78" t="s">
        <v>49</v>
      </c>
      <c r="E78" t="s">
        <v>625</v>
      </c>
      <c r="F78" t="s">
        <v>626</v>
      </c>
      <c r="G78" t="s">
        <v>665</v>
      </c>
      <c r="H78" t="s">
        <v>393</v>
      </c>
      <c r="I78">
        <v>382</v>
      </c>
      <c r="J78">
        <v>33</v>
      </c>
      <c r="K78" t="s">
        <v>392</v>
      </c>
      <c r="L78">
        <v>8226</v>
      </c>
      <c r="M78" t="s">
        <v>334</v>
      </c>
      <c r="N78" t="s">
        <v>417</v>
      </c>
      <c r="O78">
        <v>1</v>
      </c>
      <c r="P78">
        <v>2</v>
      </c>
      <c r="Q78">
        <v>-99</v>
      </c>
      <c r="R78" t="s">
        <v>689</v>
      </c>
    </row>
    <row r="79" spans="1:18" x14ac:dyDescent="0.2">
      <c r="A79">
        <v>78</v>
      </c>
      <c r="B79">
        <v>132</v>
      </c>
      <c r="C79" t="s">
        <v>676</v>
      </c>
      <c r="D79" t="s">
        <v>437</v>
      </c>
      <c r="E79" t="s">
        <v>627</v>
      </c>
      <c r="F79" t="s">
        <v>677</v>
      </c>
      <c r="G79" t="s">
        <v>664</v>
      </c>
      <c r="H79" t="s">
        <v>384</v>
      </c>
      <c r="I79">
        <v>381</v>
      </c>
      <c r="J79">
        <v>30</v>
      </c>
      <c r="K79" t="s">
        <v>376</v>
      </c>
      <c r="L79">
        <v>8229</v>
      </c>
      <c r="M79" t="s">
        <v>353</v>
      </c>
      <c r="N79" t="s">
        <v>421</v>
      </c>
      <c r="O79">
        <v>1</v>
      </c>
      <c r="P79">
        <v>2</v>
      </c>
      <c r="Q79">
        <v>-99</v>
      </c>
      <c r="R79" t="s">
        <v>689</v>
      </c>
    </row>
    <row r="80" spans="1:18" x14ac:dyDescent="0.2">
      <c r="A80">
        <v>79</v>
      </c>
      <c r="B80">
        <v>143</v>
      </c>
      <c r="C80" t="s">
        <v>184</v>
      </c>
      <c r="D80" t="s">
        <v>57</v>
      </c>
      <c r="E80" t="s">
        <v>628</v>
      </c>
      <c r="F80" t="s">
        <v>629</v>
      </c>
      <c r="G80" t="s">
        <v>663</v>
      </c>
      <c r="H80" t="s">
        <v>377</v>
      </c>
      <c r="I80">
        <v>380</v>
      </c>
      <c r="J80">
        <v>30</v>
      </c>
      <c r="K80" t="s">
        <v>376</v>
      </c>
      <c r="L80">
        <v>8230</v>
      </c>
      <c r="M80" t="s">
        <v>366</v>
      </c>
      <c r="N80" t="s">
        <v>422</v>
      </c>
      <c r="O80">
        <v>1</v>
      </c>
      <c r="P80">
        <v>2</v>
      </c>
      <c r="Q80">
        <v>-99</v>
      </c>
      <c r="R80" t="s">
        <v>689</v>
      </c>
    </row>
    <row r="81" spans="1:18" x14ac:dyDescent="0.2">
      <c r="A81">
        <v>80</v>
      </c>
      <c r="B81">
        <v>144</v>
      </c>
      <c r="C81" t="s">
        <v>678</v>
      </c>
      <c r="D81" t="s">
        <v>496</v>
      </c>
      <c r="E81" t="s">
        <v>678</v>
      </c>
      <c r="F81" t="s">
        <v>496</v>
      </c>
      <c r="G81" t="s">
        <v>675</v>
      </c>
      <c r="H81" t="s">
        <v>8</v>
      </c>
      <c r="I81">
        <v>-99</v>
      </c>
      <c r="J81">
        <v>35</v>
      </c>
      <c r="K81" t="s">
        <v>8</v>
      </c>
      <c r="L81">
        <v>8215</v>
      </c>
      <c r="M81" t="s">
        <v>346</v>
      </c>
      <c r="N81" t="s">
        <v>404</v>
      </c>
      <c r="O81">
        <v>1</v>
      </c>
      <c r="P81">
        <v>2</v>
      </c>
      <c r="Q81">
        <v>-99</v>
      </c>
      <c r="R81" t="s">
        <v>661</v>
      </c>
    </row>
    <row r="82" spans="1:18" x14ac:dyDescent="0.2">
      <c r="A82">
        <v>81</v>
      </c>
      <c r="B82">
        <v>145</v>
      </c>
      <c r="C82" t="s">
        <v>185</v>
      </c>
      <c r="D82" t="s">
        <v>74</v>
      </c>
      <c r="E82" t="s">
        <v>630</v>
      </c>
      <c r="F82" t="s">
        <v>631</v>
      </c>
      <c r="G82" t="s">
        <v>667</v>
      </c>
      <c r="H82" t="s">
        <v>409</v>
      </c>
      <c r="I82">
        <v>383</v>
      </c>
      <c r="J82">
        <v>34</v>
      </c>
      <c r="K82" t="s">
        <v>411</v>
      </c>
      <c r="L82">
        <v>8231</v>
      </c>
      <c r="M82" t="s">
        <v>339</v>
      </c>
      <c r="N82" t="s">
        <v>414</v>
      </c>
      <c r="O82">
        <v>1</v>
      </c>
      <c r="P82">
        <v>1</v>
      </c>
      <c r="Q82">
        <v>-99</v>
      </c>
      <c r="R82" t="s">
        <v>689</v>
      </c>
    </row>
    <row r="83" spans="1:18" x14ac:dyDescent="0.2">
      <c r="A83">
        <v>82</v>
      </c>
      <c r="B83">
        <v>-99</v>
      </c>
      <c r="C83" t="s">
        <v>185</v>
      </c>
      <c r="D83" t="s">
        <v>74</v>
      </c>
      <c r="E83" t="s">
        <v>632</v>
      </c>
      <c r="F83" t="s">
        <v>963</v>
      </c>
      <c r="G83" t="s">
        <v>667</v>
      </c>
      <c r="H83" t="s">
        <v>409</v>
      </c>
      <c r="I83">
        <v>383</v>
      </c>
      <c r="J83">
        <v>34</v>
      </c>
      <c r="K83" t="s">
        <v>411</v>
      </c>
      <c r="L83">
        <v>8231</v>
      </c>
      <c r="M83" t="s">
        <v>339</v>
      </c>
      <c r="N83" t="s">
        <v>414</v>
      </c>
      <c r="O83">
        <v>-99</v>
      </c>
      <c r="P83">
        <v>1</v>
      </c>
      <c r="Q83">
        <v>-99</v>
      </c>
      <c r="R83" t="s">
        <v>687</v>
      </c>
    </row>
    <row r="84" spans="1:18" x14ac:dyDescent="0.2">
      <c r="A84">
        <v>83</v>
      </c>
      <c r="B84">
        <v>151</v>
      </c>
      <c r="C84" t="s">
        <v>679</v>
      </c>
      <c r="D84" t="s">
        <v>1064</v>
      </c>
      <c r="E84" t="s">
        <v>679</v>
      </c>
      <c r="F84" t="s">
        <v>497</v>
      </c>
      <c r="G84" t="s">
        <v>675</v>
      </c>
      <c r="H84" t="s">
        <v>8</v>
      </c>
      <c r="I84">
        <v>380</v>
      </c>
      <c r="J84">
        <v>35</v>
      </c>
      <c r="K84" t="s">
        <v>8</v>
      </c>
      <c r="L84">
        <v>3180155</v>
      </c>
      <c r="M84" t="s">
        <v>353</v>
      </c>
      <c r="N84" t="s">
        <v>421</v>
      </c>
      <c r="O84">
        <v>1</v>
      </c>
      <c r="P84">
        <v>2</v>
      </c>
      <c r="Q84">
        <v>-99</v>
      </c>
      <c r="R84" t="s">
        <v>661</v>
      </c>
    </row>
    <row r="85" spans="1:18" x14ac:dyDescent="0.2">
      <c r="A85">
        <v>84</v>
      </c>
      <c r="B85">
        <v>152</v>
      </c>
      <c r="C85" t="s">
        <v>186</v>
      </c>
      <c r="D85" t="s">
        <v>81</v>
      </c>
      <c r="E85" t="s">
        <v>633</v>
      </c>
      <c r="F85" t="s">
        <v>634</v>
      </c>
      <c r="G85" t="s">
        <v>663</v>
      </c>
      <c r="H85" t="s">
        <v>377</v>
      </c>
      <c r="I85">
        <v>380</v>
      </c>
      <c r="J85">
        <v>30</v>
      </c>
      <c r="K85" t="s">
        <v>376</v>
      </c>
      <c r="L85">
        <v>8234</v>
      </c>
      <c r="M85" t="s">
        <v>359</v>
      </c>
      <c r="N85" t="s">
        <v>423</v>
      </c>
      <c r="O85">
        <v>1</v>
      </c>
      <c r="P85">
        <v>2</v>
      </c>
      <c r="Q85">
        <v>-99</v>
      </c>
      <c r="R85" t="s">
        <v>689</v>
      </c>
    </row>
    <row r="86" spans="1:18" x14ac:dyDescent="0.2">
      <c r="A86">
        <v>85</v>
      </c>
      <c r="B86">
        <v>153</v>
      </c>
      <c r="C86" t="s">
        <v>92</v>
      </c>
      <c r="D86" t="s">
        <v>141</v>
      </c>
      <c r="E86" t="s">
        <v>635</v>
      </c>
      <c r="F86" t="s">
        <v>636</v>
      </c>
      <c r="G86" t="s">
        <v>663</v>
      </c>
      <c r="H86" t="s">
        <v>377</v>
      </c>
      <c r="I86">
        <v>380</v>
      </c>
      <c r="J86">
        <v>30</v>
      </c>
      <c r="K86" t="s">
        <v>376</v>
      </c>
      <c r="L86">
        <v>8236</v>
      </c>
      <c r="M86" t="s">
        <v>372</v>
      </c>
      <c r="N86" t="s">
        <v>424</v>
      </c>
      <c r="O86">
        <v>1</v>
      </c>
      <c r="P86">
        <v>2</v>
      </c>
      <c r="Q86">
        <v>-99</v>
      </c>
      <c r="R86" t="s">
        <v>689</v>
      </c>
    </row>
    <row r="87" spans="1:18" x14ac:dyDescent="0.2">
      <c r="A87">
        <v>86</v>
      </c>
      <c r="B87">
        <v>154</v>
      </c>
      <c r="C87" t="s">
        <v>188</v>
      </c>
      <c r="D87" t="s">
        <v>187</v>
      </c>
      <c r="E87" t="s">
        <v>637</v>
      </c>
      <c r="F87" t="s">
        <v>638</v>
      </c>
      <c r="G87" t="s">
        <v>667</v>
      </c>
      <c r="H87" t="s">
        <v>409</v>
      </c>
      <c r="I87">
        <v>383</v>
      </c>
      <c r="J87">
        <v>33</v>
      </c>
      <c r="K87" t="s">
        <v>392</v>
      </c>
      <c r="L87">
        <v>8265</v>
      </c>
      <c r="M87" t="s">
        <v>365</v>
      </c>
      <c r="N87" t="s">
        <v>425</v>
      </c>
      <c r="O87">
        <v>1</v>
      </c>
      <c r="P87">
        <v>2</v>
      </c>
      <c r="Q87">
        <v>-99</v>
      </c>
      <c r="R87" t="s">
        <v>689</v>
      </c>
    </row>
    <row r="88" spans="1:18" x14ac:dyDescent="0.2">
      <c r="A88">
        <v>87</v>
      </c>
      <c r="B88">
        <v>155</v>
      </c>
      <c r="C88" t="s">
        <v>189</v>
      </c>
      <c r="D88" t="s">
        <v>46</v>
      </c>
      <c r="E88" t="s">
        <v>639</v>
      </c>
      <c r="F88" t="s">
        <v>640</v>
      </c>
      <c r="G88" t="s">
        <v>665</v>
      </c>
      <c r="H88" t="s">
        <v>393</v>
      </c>
      <c r="I88">
        <v>382</v>
      </c>
      <c r="J88">
        <v>32</v>
      </c>
      <c r="K88" t="s">
        <v>397</v>
      </c>
      <c r="L88">
        <v>8266</v>
      </c>
      <c r="M88" t="s">
        <v>330</v>
      </c>
      <c r="N88" t="s">
        <v>426</v>
      </c>
      <c r="O88">
        <v>1</v>
      </c>
      <c r="P88">
        <v>2</v>
      </c>
      <c r="Q88">
        <v>-99</v>
      </c>
      <c r="R88" t="s">
        <v>689</v>
      </c>
    </row>
    <row r="89" spans="1:18" x14ac:dyDescent="0.2">
      <c r="A89">
        <v>88</v>
      </c>
      <c r="B89">
        <v>156</v>
      </c>
      <c r="C89" t="s">
        <v>190</v>
      </c>
      <c r="D89" t="s">
        <v>77</v>
      </c>
      <c r="E89" t="s">
        <v>641</v>
      </c>
      <c r="F89" t="s">
        <v>642</v>
      </c>
      <c r="G89" t="s">
        <v>665</v>
      </c>
      <c r="H89" t="s">
        <v>393</v>
      </c>
      <c r="I89">
        <v>382</v>
      </c>
      <c r="J89">
        <v>32</v>
      </c>
      <c r="K89" t="s">
        <v>397</v>
      </c>
      <c r="L89">
        <v>8267</v>
      </c>
      <c r="M89" t="s">
        <v>348</v>
      </c>
      <c r="N89" t="s">
        <v>427</v>
      </c>
      <c r="O89">
        <v>1</v>
      </c>
      <c r="P89">
        <v>2</v>
      </c>
      <c r="Q89">
        <v>-99</v>
      </c>
      <c r="R89" t="s">
        <v>689</v>
      </c>
    </row>
    <row r="90" spans="1:18" x14ac:dyDescent="0.2">
      <c r="A90">
        <v>89</v>
      </c>
      <c r="B90">
        <v>157</v>
      </c>
      <c r="C90" t="s">
        <v>680</v>
      </c>
      <c r="D90" t="s">
        <v>39</v>
      </c>
      <c r="E90" t="s">
        <v>643</v>
      </c>
      <c r="F90" t="s">
        <v>644</v>
      </c>
      <c r="G90" t="s">
        <v>667</v>
      </c>
      <c r="H90" t="s">
        <v>409</v>
      </c>
      <c r="I90">
        <v>383</v>
      </c>
      <c r="J90">
        <v>33</v>
      </c>
      <c r="K90" t="s">
        <v>392</v>
      </c>
      <c r="L90">
        <v>8271</v>
      </c>
      <c r="M90" t="s">
        <v>326</v>
      </c>
      <c r="N90" t="s">
        <v>428</v>
      </c>
      <c r="O90">
        <v>1</v>
      </c>
      <c r="P90">
        <v>2</v>
      </c>
      <c r="Q90">
        <v>-99</v>
      </c>
      <c r="R90" t="s">
        <v>689</v>
      </c>
    </row>
    <row r="91" spans="1:18" x14ac:dyDescent="0.2">
      <c r="A91">
        <v>90</v>
      </c>
      <c r="B91">
        <v>158</v>
      </c>
      <c r="C91" t="s">
        <v>191</v>
      </c>
      <c r="D91" t="s">
        <v>84</v>
      </c>
      <c r="E91" t="s">
        <v>645</v>
      </c>
      <c r="F91" t="s">
        <v>646</v>
      </c>
      <c r="G91" t="s">
        <v>665</v>
      </c>
      <c r="H91" t="s">
        <v>393</v>
      </c>
      <c r="I91">
        <v>382</v>
      </c>
      <c r="J91">
        <v>32</v>
      </c>
      <c r="K91" t="s">
        <v>397</v>
      </c>
      <c r="L91">
        <v>8209</v>
      </c>
      <c r="M91" t="s">
        <v>371</v>
      </c>
      <c r="N91" t="s">
        <v>429</v>
      </c>
      <c r="O91">
        <v>1</v>
      </c>
      <c r="P91">
        <v>2</v>
      </c>
      <c r="Q91">
        <v>-99</v>
      </c>
      <c r="R91" t="s">
        <v>689</v>
      </c>
    </row>
    <row r="92" spans="1:18" x14ac:dyDescent="0.2">
      <c r="A92">
        <v>91</v>
      </c>
      <c r="B92">
        <v>198</v>
      </c>
      <c r="C92" t="s">
        <v>192</v>
      </c>
      <c r="D92" t="s">
        <v>48</v>
      </c>
      <c r="E92" t="s">
        <v>647</v>
      </c>
      <c r="F92" t="s">
        <v>648</v>
      </c>
      <c r="G92" t="s">
        <v>667</v>
      </c>
      <c r="H92" t="s">
        <v>409</v>
      </c>
      <c r="I92">
        <v>383</v>
      </c>
      <c r="J92">
        <v>34</v>
      </c>
      <c r="K92" t="s">
        <v>411</v>
      </c>
      <c r="L92">
        <v>8224</v>
      </c>
      <c r="M92" t="s">
        <v>368</v>
      </c>
      <c r="N92" t="s">
        <v>435</v>
      </c>
      <c r="O92">
        <v>1</v>
      </c>
      <c r="P92">
        <v>2</v>
      </c>
      <c r="Q92">
        <v>-99</v>
      </c>
      <c r="R92" t="s">
        <v>689</v>
      </c>
    </row>
    <row r="93" spans="1:18" x14ac:dyDescent="0.2">
      <c r="A93">
        <v>92</v>
      </c>
      <c r="B93">
        <v>161</v>
      </c>
      <c r="C93" t="s">
        <v>193</v>
      </c>
      <c r="D93" t="s">
        <v>85</v>
      </c>
      <c r="E93" t="s">
        <v>649</v>
      </c>
      <c r="F93" t="s">
        <v>650</v>
      </c>
      <c r="G93" t="s">
        <v>663</v>
      </c>
      <c r="H93" t="s">
        <v>377</v>
      </c>
      <c r="I93">
        <v>380</v>
      </c>
      <c r="J93">
        <v>30</v>
      </c>
      <c r="K93" t="s">
        <v>376</v>
      </c>
      <c r="L93">
        <v>8225</v>
      </c>
      <c r="M93" t="s">
        <v>331</v>
      </c>
      <c r="N93" t="s">
        <v>430</v>
      </c>
      <c r="O93">
        <v>1</v>
      </c>
      <c r="P93">
        <v>2</v>
      </c>
      <c r="Q93">
        <v>-99</v>
      </c>
      <c r="R93" t="s">
        <v>689</v>
      </c>
    </row>
    <row r="94" spans="1:18" x14ac:dyDescent="0.2">
      <c r="A94">
        <v>93</v>
      </c>
      <c r="B94">
        <v>162</v>
      </c>
      <c r="C94" t="s">
        <v>194</v>
      </c>
      <c r="D94" t="s">
        <v>35</v>
      </c>
      <c r="E94" t="s">
        <v>651</v>
      </c>
      <c r="F94" t="s">
        <v>652</v>
      </c>
      <c r="G94" t="s">
        <v>667</v>
      </c>
      <c r="H94" t="s">
        <v>409</v>
      </c>
      <c r="I94">
        <v>383</v>
      </c>
      <c r="J94">
        <v>34</v>
      </c>
      <c r="K94" t="s">
        <v>411</v>
      </c>
      <c r="L94">
        <v>8227</v>
      </c>
      <c r="M94" t="s">
        <v>484</v>
      </c>
      <c r="N94" t="s">
        <v>431</v>
      </c>
      <c r="O94">
        <v>1</v>
      </c>
      <c r="P94">
        <v>2</v>
      </c>
      <c r="Q94">
        <v>-99</v>
      </c>
      <c r="R94" t="s">
        <v>689</v>
      </c>
    </row>
    <row r="95" spans="1:18" x14ac:dyDescent="0.2">
      <c r="A95">
        <v>94</v>
      </c>
      <c r="B95">
        <v>-99</v>
      </c>
      <c r="C95" t="s">
        <v>681</v>
      </c>
      <c r="D95" t="s">
        <v>8</v>
      </c>
      <c r="E95" t="s">
        <v>682</v>
      </c>
      <c r="F95" t="s">
        <v>230</v>
      </c>
      <c r="G95" t="s">
        <v>661</v>
      </c>
      <c r="H95" t="s">
        <v>8</v>
      </c>
      <c r="I95">
        <v>-99</v>
      </c>
      <c r="J95">
        <v>-99</v>
      </c>
      <c r="K95" t="s">
        <v>8</v>
      </c>
      <c r="L95">
        <v>-99</v>
      </c>
      <c r="M95" t="s">
        <v>661</v>
      </c>
      <c r="N95" t="s">
        <v>661</v>
      </c>
      <c r="O95">
        <v>-99</v>
      </c>
      <c r="P95">
        <v>-99</v>
      </c>
      <c r="Q95">
        <v>-99</v>
      </c>
      <c r="R95" t="s">
        <v>214</v>
      </c>
    </row>
    <row r="96" spans="1:18" x14ac:dyDescent="0.2">
      <c r="A96">
        <v>95</v>
      </c>
      <c r="B96">
        <v>-99</v>
      </c>
      <c r="C96" t="s">
        <v>681</v>
      </c>
      <c r="D96" t="s">
        <v>8</v>
      </c>
      <c r="E96" t="s">
        <v>683</v>
      </c>
      <c r="F96" t="s">
        <v>314</v>
      </c>
      <c r="G96" t="s">
        <v>661</v>
      </c>
      <c r="H96" t="s">
        <v>8</v>
      </c>
      <c r="I96">
        <v>-99</v>
      </c>
      <c r="J96">
        <v>-99</v>
      </c>
      <c r="K96" t="s">
        <v>8</v>
      </c>
      <c r="L96">
        <v>-99</v>
      </c>
      <c r="M96" t="s">
        <v>661</v>
      </c>
      <c r="N96" t="s">
        <v>661</v>
      </c>
      <c r="O96">
        <v>-99</v>
      </c>
      <c r="P96">
        <v>-99</v>
      </c>
      <c r="Q96">
        <v>-99</v>
      </c>
      <c r="R96" t="s">
        <v>686</v>
      </c>
    </row>
    <row r="97" spans="1:18" x14ac:dyDescent="0.2">
      <c r="A97">
        <v>96</v>
      </c>
      <c r="B97">
        <v>-99</v>
      </c>
      <c r="C97" t="s">
        <v>681</v>
      </c>
      <c r="D97" t="s">
        <v>8</v>
      </c>
      <c r="E97" t="s">
        <v>684</v>
      </c>
      <c r="F97" t="s">
        <v>313</v>
      </c>
      <c r="G97" t="s">
        <v>661</v>
      </c>
      <c r="H97" t="s">
        <v>8</v>
      </c>
      <c r="I97">
        <v>-99</v>
      </c>
      <c r="J97">
        <v>-99</v>
      </c>
      <c r="K97" t="s">
        <v>8</v>
      </c>
      <c r="L97">
        <v>-99</v>
      </c>
      <c r="M97" t="s">
        <v>661</v>
      </c>
      <c r="N97" t="s">
        <v>661</v>
      </c>
      <c r="O97">
        <v>-99</v>
      </c>
      <c r="P97">
        <v>-99</v>
      </c>
      <c r="Q97">
        <v>-99</v>
      </c>
      <c r="R97" t="s">
        <v>687</v>
      </c>
    </row>
    <row r="98" spans="1:18" x14ac:dyDescent="0.2">
      <c r="A98">
        <v>97</v>
      </c>
      <c r="B98">
        <v>-99</v>
      </c>
      <c r="C98" t="s">
        <v>673</v>
      </c>
      <c r="D98" t="s">
        <v>1063</v>
      </c>
      <c r="E98" t="s">
        <v>673</v>
      </c>
      <c r="F98" t="s">
        <v>1063</v>
      </c>
      <c r="G98" t="s">
        <v>661</v>
      </c>
      <c r="H98" t="s">
        <v>661</v>
      </c>
      <c r="I98">
        <v>-99</v>
      </c>
      <c r="J98">
        <v>35</v>
      </c>
      <c r="K98" t="s">
        <v>8</v>
      </c>
      <c r="L98">
        <v>-99</v>
      </c>
      <c r="M98" t="s">
        <v>661</v>
      </c>
      <c r="N98" t="s">
        <v>661</v>
      </c>
      <c r="O98">
        <v>-99</v>
      </c>
      <c r="P98">
        <v>-99</v>
      </c>
      <c r="Q98">
        <v>3</v>
      </c>
      <c r="R98" t="s">
        <v>661</v>
      </c>
    </row>
    <row r="99" spans="1:18" x14ac:dyDescent="0.2">
      <c r="A99">
        <v>98</v>
      </c>
      <c r="B99">
        <v>-99</v>
      </c>
      <c r="C99" t="s">
        <v>681</v>
      </c>
      <c r="D99" t="s">
        <v>8</v>
      </c>
      <c r="E99" t="s">
        <v>692</v>
      </c>
      <c r="F99" t="s">
        <v>693</v>
      </c>
      <c r="G99" t="s">
        <v>661</v>
      </c>
      <c r="H99" t="s">
        <v>8</v>
      </c>
      <c r="I99">
        <v>-99</v>
      </c>
      <c r="J99">
        <v>-99</v>
      </c>
      <c r="K99" t="s">
        <v>8</v>
      </c>
      <c r="L99">
        <v>-99</v>
      </c>
      <c r="M99" t="s">
        <v>661</v>
      </c>
      <c r="N99" t="s">
        <v>661</v>
      </c>
      <c r="O99">
        <v>-99</v>
      </c>
      <c r="P99">
        <v>-99</v>
      </c>
      <c r="Q99">
        <v>-99</v>
      </c>
      <c r="R99" t="s">
        <v>689</v>
      </c>
    </row>
    <row r="100" spans="1:18" x14ac:dyDescent="0.2">
      <c r="A100">
        <v>99</v>
      </c>
      <c r="B100">
        <v>250</v>
      </c>
      <c r="C100" t="s">
        <v>661</v>
      </c>
      <c r="D100" t="s">
        <v>35</v>
      </c>
      <c r="E100" t="s">
        <v>728</v>
      </c>
      <c r="F100" t="s">
        <v>694</v>
      </c>
      <c r="G100" t="s">
        <v>661</v>
      </c>
      <c r="H100" t="s">
        <v>409</v>
      </c>
      <c r="I100">
        <v>-99</v>
      </c>
      <c r="J100">
        <v>-99</v>
      </c>
      <c r="K100" t="s">
        <v>411</v>
      </c>
      <c r="L100">
        <v>-99</v>
      </c>
      <c r="M100" t="s">
        <v>661</v>
      </c>
      <c r="N100" t="s">
        <v>661</v>
      </c>
      <c r="O100">
        <v>-99</v>
      </c>
      <c r="P100">
        <v>-99</v>
      </c>
      <c r="Q100">
        <v>-99</v>
      </c>
      <c r="R100" t="s">
        <v>695</v>
      </c>
    </row>
    <row r="101" spans="1:18" x14ac:dyDescent="0.2">
      <c r="A101">
        <v>100</v>
      </c>
      <c r="B101">
        <v>256</v>
      </c>
      <c r="C101" t="s">
        <v>661</v>
      </c>
      <c r="D101" t="s">
        <v>218</v>
      </c>
      <c r="E101" t="s">
        <v>729</v>
      </c>
      <c r="F101" t="s">
        <v>696</v>
      </c>
      <c r="G101" t="s">
        <v>661</v>
      </c>
      <c r="H101" t="s">
        <v>393</v>
      </c>
      <c r="I101">
        <v>-99</v>
      </c>
      <c r="J101">
        <v>-99</v>
      </c>
      <c r="K101" t="s">
        <v>397</v>
      </c>
      <c r="L101">
        <v>-99</v>
      </c>
      <c r="M101" t="s">
        <v>661</v>
      </c>
      <c r="N101" t="s">
        <v>661</v>
      </c>
      <c r="O101">
        <v>-99</v>
      </c>
      <c r="P101">
        <v>-99</v>
      </c>
      <c r="Q101">
        <v>-99</v>
      </c>
      <c r="R101" t="s">
        <v>695</v>
      </c>
    </row>
    <row r="102" spans="1:18" x14ac:dyDescent="0.2">
      <c r="A102">
        <v>101</v>
      </c>
      <c r="B102">
        <v>257</v>
      </c>
      <c r="C102" t="s">
        <v>661</v>
      </c>
      <c r="D102" t="s">
        <v>215</v>
      </c>
      <c r="E102" t="s">
        <v>730</v>
      </c>
      <c r="F102" t="s">
        <v>697</v>
      </c>
      <c r="G102" t="s">
        <v>661</v>
      </c>
      <c r="H102" t="s">
        <v>393</v>
      </c>
      <c r="I102">
        <v>-99</v>
      </c>
      <c r="J102">
        <v>-99</v>
      </c>
      <c r="K102" t="s">
        <v>397</v>
      </c>
      <c r="L102">
        <v>-99</v>
      </c>
      <c r="M102" t="s">
        <v>661</v>
      </c>
      <c r="N102" t="s">
        <v>661</v>
      </c>
      <c r="O102">
        <v>-99</v>
      </c>
      <c r="P102">
        <v>-99</v>
      </c>
      <c r="Q102">
        <v>-99</v>
      </c>
      <c r="R102" t="s">
        <v>695</v>
      </c>
    </row>
    <row r="103" spans="1:18" x14ac:dyDescent="0.2">
      <c r="A103">
        <v>102</v>
      </c>
      <c r="B103">
        <v>258</v>
      </c>
      <c r="C103" t="s">
        <v>661</v>
      </c>
      <c r="D103" t="s">
        <v>216</v>
      </c>
      <c r="E103" t="s">
        <v>731</v>
      </c>
      <c r="F103" t="s">
        <v>698</v>
      </c>
      <c r="G103" t="s">
        <v>661</v>
      </c>
      <c r="H103" t="s">
        <v>377</v>
      </c>
      <c r="I103">
        <v>-99</v>
      </c>
      <c r="J103">
        <v>-99</v>
      </c>
      <c r="K103" t="s">
        <v>376</v>
      </c>
      <c r="L103">
        <v>-99</v>
      </c>
      <c r="M103" t="s">
        <v>661</v>
      </c>
      <c r="N103" t="s">
        <v>661</v>
      </c>
      <c r="O103">
        <v>-99</v>
      </c>
      <c r="P103">
        <v>-99</v>
      </c>
      <c r="Q103">
        <v>-99</v>
      </c>
      <c r="R103" t="s">
        <v>695</v>
      </c>
    </row>
    <row r="104" spans="1:18" x14ac:dyDescent="0.2">
      <c r="A104">
        <v>103</v>
      </c>
      <c r="B104">
        <v>259</v>
      </c>
      <c r="C104" t="s">
        <v>661</v>
      </c>
      <c r="D104" t="s">
        <v>141</v>
      </c>
      <c r="E104" t="s">
        <v>732</v>
      </c>
      <c r="F104" t="s">
        <v>699</v>
      </c>
      <c r="G104" t="s">
        <v>661</v>
      </c>
      <c r="H104" t="s">
        <v>377</v>
      </c>
      <c r="I104">
        <v>-99</v>
      </c>
      <c r="J104">
        <v>-99</v>
      </c>
      <c r="K104" t="s">
        <v>376</v>
      </c>
      <c r="L104">
        <v>-99</v>
      </c>
      <c r="M104" t="s">
        <v>661</v>
      </c>
      <c r="N104" t="s">
        <v>661</v>
      </c>
      <c r="O104">
        <v>-99</v>
      </c>
      <c r="P104">
        <v>-99</v>
      </c>
      <c r="Q104">
        <v>-99</v>
      </c>
      <c r="R104" t="s">
        <v>695</v>
      </c>
    </row>
    <row r="105" spans="1:18" x14ac:dyDescent="0.2">
      <c r="A105">
        <v>104</v>
      </c>
      <c r="B105">
        <v>260</v>
      </c>
      <c r="C105" t="s">
        <v>661</v>
      </c>
      <c r="D105" t="s">
        <v>49</v>
      </c>
      <c r="E105" t="s">
        <v>733</v>
      </c>
      <c r="F105" t="s">
        <v>700</v>
      </c>
      <c r="G105" t="s">
        <v>661</v>
      </c>
      <c r="H105" t="s">
        <v>393</v>
      </c>
      <c r="I105">
        <v>-99</v>
      </c>
      <c r="J105">
        <v>-99</v>
      </c>
      <c r="K105" t="s">
        <v>392</v>
      </c>
      <c r="L105">
        <v>-99</v>
      </c>
      <c r="M105" t="s">
        <v>661</v>
      </c>
      <c r="N105" t="s">
        <v>661</v>
      </c>
      <c r="O105">
        <v>-99</v>
      </c>
      <c r="P105">
        <v>-99</v>
      </c>
      <c r="Q105">
        <v>-99</v>
      </c>
      <c r="R105" t="s">
        <v>695</v>
      </c>
    </row>
    <row r="106" spans="1:18" x14ac:dyDescent="0.2">
      <c r="A106">
        <v>105</v>
      </c>
      <c r="B106">
        <v>261</v>
      </c>
      <c r="C106" t="s">
        <v>661</v>
      </c>
      <c r="D106" t="s">
        <v>68</v>
      </c>
      <c r="E106" t="s">
        <v>734</v>
      </c>
      <c r="F106" t="s">
        <v>701</v>
      </c>
      <c r="G106" t="s">
        <v>661</v>
      </c>
      <c r="H106" t="s">
        <v>377</v>
      </c>
      <c r="I106">
        <v>-99</v>
      </c>
      <c r="J106">
        <v>-99</v>
      </c>
      <c r="K106" t="s">
        <v>376</v>
      </c>
      <c r="L106">
        <v>-99</v>
      </c>
      <c r="M106" t="s">
        <v>661</v>
      </c>
      <c r="N106" t="s">
        <v>661</v>
      </c>
      <c r="O106">
        <v>-99</v>
      </c>
      <c r="P106">
        <v>-99</v>
      </c>
      <c r="Q106">
        <v>-99</v>
      </c>
      <c r="R106" t="s">
        <v>695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470</v>
      </c>
      <c r="B1" t="s">
        <v>464</v>
      </c>
      <c r="C1" t="s">
        <v>471</v>
      </c>
      <c r="D1" t="s">
        <v>472</v>
      </c>
      <c r="E1" t="s">
        <v>499</v>
      </c>
    </row>
    <row r="2" spans="1:5" x14ac:dyDescent="0.2">
      <c r="A2" t="s">
        <v>332</v>
      </c>
      <c r="B2" t="s">
        <v>378</v>
      </c>
      <c r="C2" t="s">
        <v>378</v>
      </c>
      <c r="D2" t="s">
        <v>473</v>
      </c>
      <c r="E2" t="s">
        <v>376</v>
      </c>
    </row>
    <row r="3" spans="1:5" x14ac:dyDescent="0.2">
      <c r="A3" t="s">
        <v>364</v>
      </c>
      <c r="B3" t="s">
        <v>381</v>
      </c>
      <c r="C3" t="s">
        <v>381</v>
      </c>
      <c r="D3" t="s">
        <v>473</v>
      </c>
      <c r="E3" t="s">
        <v>376</v>
      </c>
    </row>
    <row r="4" spans="1:5" x14ac:dyDescent="0.2">
      <c r="A4" t="s">
        <v>359</v>
      </c>
      <c r="B4" t="s">
        <v>423</v>
      </c>
      <c r="C4" t="s">
        <v>423</v>
      </c>
      <c r="D4" t="s">
        <v>473</v>
      </c>
      <c r="E4" t="s">
        <v>376</v>
      </c>
    </row>
    <row r="5" spans="1:5" x14ac:dyDescent="0.2">
      <c r="A5" t="s">
        <v>338</v>
      </c>
      <c r="B5" t="s">
        <v>434</v>
      </c>
      <c r="C5" t="s">
        <v>434</v>
      </c>
      <c r="D5" t="s">
        <v>474</v>
      </c>
      <c r="E5" t="s">
        <v>387</v>
      </c>
    </row>
    <row r="6" spans="1:5" x14ac:dyDescent="0.2">
      <c r="A6" t="s">
        <v>362</v>
      </c>
      <c r="B6" t="s">
        <v>396</v>
      </c>
      <c r="C6" t="s">
        <v>396</v>
      </c>
      <c r="D6" t="s">
        <v>474</v>
      </c>
      <c r="E6" t="s">
        <v>392</v>
      </c>
    </row>
    <row r="7" spans="1:5" x14ac:dyDescent="0.2">
      <c r="A7" t="s">
        <v>365</v>
      </c>
      <c r="B7" t="s">
        <v>425</v>
      </c>
      <c r="C7" t="s">
        <v>425</v>
      </c>
      <c r="D7" t="s">
        <v>476</v>
      </c>
      <c r="E7" t="s">
        <v>392</v>
      </c>
    </row>
    <row r="8" spans="1:5" x14ac:dyDescent="0.2">
      <c r="A8" t="s">
        <v>340</v>
      </c>
      <c r="B8" t="s">
        <v>408</v>
      </c>
      <c r="C8" t="s">
        <v>408</v>
      </c>
      <c r="D8" t="s">
        <v>477</v>
      </c>
      <c r="E8" t="s">
        <v>397</v>
      </c>
    </row>
    <row r="9" spans="1:5" x14ac:dyDescent="0.2">
      <c r="A9" t="s">
        <v>357</v>
      </c>
      <c r="B9" t="s">
        <v>410</v>
      </c>
      <c r="C9" t="s">
        <v>410</v>
      </c>
      <c r="D9" t="s">
        <v>476</v>
      </c>
      <c r="E9" t="s">
        <v>392</v>
      </c>
    </row>
    <row r="10" spans="1:5" x14ac:dyDescent="0.2">
      <c r="A10" t="s">
        <v>485</v>
      </c>
      <c r="B10" t="s">
        <v>486</v>
      </c>
      <c r="C10" t="s">
        <v>315</v>
      </c>
      <c r="D10" t="s">
        <v>461</v>
      </c>
      <c r="E10" t="s">
        <v>8</v>
      </c>
    </row>
    <row r="11" spans="1:5" x14ac:dyDescent="0.2">
      <c r="A11" t="s">
        <v>366</v>
      </c>
      <c r="B11" t="s">
        <v>422</v>
      </c>
      <c r="C11" t="s">
        <v>422</v>
      </c>
      <c r="D11" t="s">
        <v>473</v>
      </c>
      <c r="E11" t="s">
        <v>376</v>
      </c>
    </row>
    <row r="12" spans="1:5" x14ac:dyDescent="0.2">
      <c r="A12" t="s">
        <v>344</v>
      </c>
      <c r="B12" t="s">
        <v>386</v>
      </c>
      <c r="C12" t="s">
        <v>386</v>
      </c>
      <c r="D12" t="s">
        <v>474</v>
      </c>
      <c r="E12" t="s">
        <v>376</v>
      </c>
    </row>
    <row r="13" spans="1:5" x14ac:dyDescent="0.2">
      <c r="A13" t="s">
        <v>349</v>
      </c>
      <c r="B13" t="s">
        <v>383</v>
      </c>
      <c r="C13" t="s">
        <v>383</v>
      </c>
      <c r="D13" t="s">
        <v>473</v>
      </c>
      <c r="E13" t="s">
        <v>376</v>
      </c>
    </row>
    <row r="14" spans="1:5" x14ac:dyDescent="0.2">
      <c r="A14" t="s">
        <v>347</v>
      </c>
      <c r="B14" t="s">
        <v>390</v>
      </c>
      <c r="C14" t="s">
        <v>390</v>
      </c>
      <c r="D14" t="s">
        <v>474</v>
      </c>
      <c r="E14" t="s">
        <v>387</v>
      </c>
    </row>
    <row r="15" spans="1:5" x14ac:dyDescent="0.2">
      <c r="A15" t="s">
        <v>337</v>
      </c>
      <c r="B15" t="s">
        <v>399</v>
      </c>
      <c r="C15" t="s">
        <v>399</v>
      </c>
      <c r="D15" t="s">
        <v>473</v>
      </c>
      <c r="E15" t="s">
        <v>397</v>
      </c>
    </row>
    <row r="16" spans="1:5" x14ac:dyDescent="0.2">
      <c r="A16" t="s">
        <v>351</v>
      </c>
      <c r="B16" t="s">
        <v>413</v>
      </c>
      <c r="C16" t="s">
        <v>413</v>
      </c>
      <c r="D16" t="s">
        <v>476</v>
      </c>
      <c r="E16" t="s">
        <v>392</v>
      </c>
    </row>
    <row r="17" spans="1:5" x14ac:dyDescent="0.2">
      <c r="A17" t="s">
        <v>487</v>
      </c>
      <c r="B17" t="s">
        <v>488</v>
      </c>
      <c r="C17" t="s">
        <v>315</v>
      </c>
      <c r="D17" t="s">
        <v>461</v>
      </c>
      <c r="E17" t="s">
        <v>8</v>
      </c>
    </row>
    <row r="18" spans="1:5" x14ac:dyDescent="0.2">
      <c r="A18" t="s">
        <v>363</v>
      </c>
      <c r="B18" t="s">
        <v>398</v>
      </c>
      <c r="C18" t="s">
        <v>398</v>
      </c>
      <c r="D18" t="s">
        <v>473</v>
      </c>
      <c r="E18" t="s">
        <v>397</v>
      </c>
    </row>
    <row r="19" spans="1:5" x14ac:dyDescent="0.2">
      <c r="A19" t="s">
        <v>356</v>
      </c>
      <c r="B19" t="s">
        <v>401</v>
      </c>
      <c r="C19" t="s">
        <v>401</v>
      </c>
      <c r="D19" t="s">
        <v>477</v>
      </c>
      <c r="E19" t="s">
        <v>397</v>
      </c>
    </row>
    <row r="20" spans="1:5" x14ac:dyDescent="0.2">
      <c r="A20" t="s">
        <v>346</v>
      </c>
      <c r="B20" t="s">
        <v>404</v>
      </c>
      <c r="C20" t="s">
        <v>404</v>
      </c>
      <c r="D20" t="s">
        <v>477</v>
      </c>
      <c r="E20" t="s">
        <v>397</v>
      </c>
    </row>
    <row r="21" spans="1:5" x14ac:dyDescent="0.2">
      <c r="A21" t="s">
        <v>371</v>
      </c>
      <c r="B21" t="s">
        <v>429</v>
      </c>
      <c r="C21" t="s">
        <v>429</v>
      </c>
      <c r="D21" t="s">
        <v>477</v>
      </c>
      <c r="E21" t="s">
        <v>397</v>
      </c>
    </row>
    <row r="22" spans="1:5" x14ac:dyDescent="0.2">
      <c r="A22" t="s">
        <v>342</v>
      </c>
      <c r="B22" t="s">
        <v>63</v>
      </c>
      <c r="C22" t="s">
        <v>63</v>
      </c>
      <c r="D22" t="s">
        <v>473</v>
      </c>
      <c r="E22" t="s">
        <v>376</v>
      </c>
    </row>
    <row r="23" spans="1:5" x14ac:dyDescent="0.2">
      <c r="A23" t="s">
        <v>355</v>
      </c>
      <c r="B23" t="s">
        <v>389</v>
      </c>
      <c r="C23" t="s">
        <v>389</v>
      </c>
      <c r="D23" t="s">
        <v>315</v>
      </c>
      <c r="E23" t="s">
        <v>376</v>
      </c>
    </row>
    <row r="24" spans="1:5" x14ac:dyDescent="0.2">
      <c r="A24" t="s">
        <v>350</v>
      </c>
      <c r="B24" t="s">
        <v>391</v>
      </c>
      <c r="C24" t="s">
        <v>391</v>
      </c>
      <c r="D24" t="s">
        <v>474</v>
      </c>
      <c r="E24" t="s">
        <v>387</v>
      </c>
    </row>
    <row r="25" spans="1:5" x14ac:dyDescent="0.2">
      <c r="A25" t="s">
        <v>348</v>
      </c>
      <c r="B25" t="s">
        <v>427</v>
      </c>
      <c r="C25" t="s">
        <v>427</v>
      </c>
      <c r="D25" t="s">
        <v>477</v>
      </c>
      <c r="E25" t="s">
        <v>397</v>
      </c>
    </row>
    <row r="26" spans="1:5" x14ac:dyDescent="0.2">
      <c r="A26" t="s">
        <v>325</v>
      </c>
      <c r="B26" t="s">
        <v>412</v>
      </c>
      <c r="C26" t="s">
        <v>412</v>
      </c>
      <c r="D26" t="s">
        <v>476</v>
      </c>
      <c r="E26" t="s">
        <v>411</v>
      </c>
    </row>
    <row r="27" spans="1:5" x14ac:dyDescent="0.2">
      <c r="A27" t="s">
        <v>326</v>
      </c>
      <c r="B27" t="s">
        <v>428</v>
      </c>
      <c r="C27" t="s">
        <v>428</v>
      </c>
      <c r="D27" t="s">
        <v>476</v>
      </c>
      <c r="E27" t="s">
        <v>392</v>
      </c>
    </row>
    <row r="28" spans="1:5" x14ac:dyDescent="0.2">
      <c r="A28" t="s">
        <v>360</v>
      </c>
      <c r="B28" t="s">
        <v>380</v>
      </c>
      <c r="C28" t="s">
        <v>380</v>
      </c>
      <c r="D28" t="s">
        <v>473</v>
      </c>
      <c r="E28" t="s">
        <v>376</v>
      </c>
    </row>
    <row r="29" spans="1:5" x14ac:dyDescent="0.2">
      <c r="A29" t="s">
        <v>475</v>
      </c>
      <c r="B29" t="s">
        <v>461</v>
      </c>
      <c r="C29" t="s">
        <v>315</v>
      </c>
      <c r="D29" t="s">
        <v>461</v>
      </c>
      <c r="E29" t="s">
        <v>8</v>
      </c>
    </row>
    <row r="30" spans="1:5" x14ac:dyDescent="0.2">
      <c r="A30" t="s">
        <v>372</v>
      </c>
      <c r="B30" t="s">
        <v>424</v>
      </c>
      <c r="C30" t="s">
        <v>424</v>
      </c>
      <c r="D30" t="s">
        <v>473</v>
      </c>
      <c r="E30" t="s">
        <v>376</v>
      </c>
    </row>
    <row r="31" spans="1:5" x14ac:dyDescent="0.2">
      <c r="A31" t="s">
        <v>353</v>
      </c>
      <c r="B31" t="s">
        <v>421</v>
      </c>
      <c r="C31" t="s">
        <v>421</v>
      </c>
      <c r="D31" t="s">
        <v>315</v>
      </c>
      <c r="E31" t="s">
        <v>376</v>
      </c>
    </row>
    <row r="32" spans="1:5" x14ac:dyDescent="0.2">
      <c r="A32" t="s">
        <v>333</v>
      </c>
      <c r="B32" t="s">
        <v>402</v>
      </c>
      <c r="C32" t="s">
        <v>402</v>
      </c>
      <c r="D32" t="s">
        <v>473</v>
      </c>
      <c r="E32" t="s">
        <v>397</v>
      </c>
    </row>
    <row r="33" spans="1:5" x14ac:dyDescent="0.2">
      <c r="A33" t="s">
        <v>330</v>
      </c>
      <c r="B33" t="s">
        <v>426</v>
      </c>
      <c r="C33" t="s">
        <v>426</v>
      </c>
      <c r="D33" t="s">
        <v>477</v>
      </c>
      <c r="E33" t="s">
        <v>397</v>
      </c>
    </row>
    <row r="34" spans="1:5" x14ac:dyDescent="0.2">
      <c r="A34" t="s">
        <v>352</v>
      </c>
      <c r="B34" t="s">
        <v>433</v>
      </c>
      <c r="C34" t="s">
        <v>433</v>
      </c>
      <c r="D34" t="s">
        <v>476</v>
      </c>
      <c r="E34" t="s">
        <v>411</v>
      </c>
    </row>
    <row r="35" spans="1:5" x14ac:dyDescent="0.2">
      <c r="A35" t="s">
        <v>341</v>
      </c>
      <c r="B35" t="s">
        <v>415</v>
      </c>
      <c r="C35" t="s">
        <v>415</v>
      </c>
      <c r="D35" t="s">
        <v>476</v>
      </c>
      <c r="E35" t="s">
        <v>411</v>
      </c>
    </row>
    <row r="36" spans="1:5" x14ac:dyDescent="0.2">
      <c r="A36" t="s">
        <v>368</v>
      </c>
      <c r="B36" t="s">
        <v>435</v>
      </c>
      <c r="C36" t="s">
        <v>435</v>
      </c>
      <c r="D36" t="s">
        <v>476</v>
      </c>
      <c r="E36" t="s">
        <v>411</v>
      </c>
    </row>
    <row r="37" spans="1:5" x14ac:dyDescent="0.2">
      <c r="A37" t="s">
        <v>484</v>
      </c>
      <c r="B37" t="s">
        <v>431</v>
      </c>
      <c r="C37" t="s">
        <v>431</v>
      </c>
      <c r="D37" t="s">
        <v>476</v>
      </c>
      <c r="E37" t="s">
        <v>411</v>
      </c>
    </row>
    <row r="38" spans="1:5" x14ac:dyDescent="0.2">
      <c r="A38" t="s">
        <v>482</v>
      </c>
      <c r="B38" t="s">
        <v>483</v>
      </c>
      <c r="C38" t="s">
        <v>315</v>
      </c>
      <c r="D38" t="s">
        <v>461</v>
      </c>
      <c r="E38" t="s">
        <v>8</v>
      </c>
    </row>
    <row r="39" spans="1:5" x14ac:dyDescent="0.2">
      <c r="A39" t="s">
        <v>358</v>
      </c>
      <c r="B39" t="s">
        <v>416</v>
      </c>
      <c r="C39" t="s">
        <v>416</v>
      </c>
      <c r="D39" t="s">
        <v>476</v>
      </c>
      <c r="E39" t="s">
        <v>411</v>
      </c>
    </row>
    <row r="40" spans="1:5" x14ac:dyDescent="0.2">
      <c r="A40" t="s">
        <v>491</v>
      </c>
      <c r="B40" t="s">
        <v>492</v>
      </c>
      <c r="C40" t="s">
        <v>315</v>
      </c>
      <c r="D40" t="s">
        <v>461</v>
      </c>
      <c r="E40" t="s">
        <v>8</v>
      </c>
    </row>
    <row r="41" spans="1:5" x14ac:dyDescent="0.2">
      <c r="A41" t="s">
        <v>478</v>
      </c>
      <c r="B41" t="s">
        <v>479</v>
      </c>
      <c r="C41" t="s">
        <v>315</v>
      </c>
      <c r="D41" t="s">
        <v>461</v>
      </c>
      <c r="E41" t="s">
        <v>8</v>
      </c>
    </row>
    <row r="42" spans="1:5" x14ac:dyDescent="0.2">
      <c r="A42" t="s">
        <v>367</v>
      </c>
      <c r="B42" t="s">
        <v>379</v>
      </c>
      <c r="C42" t="s">
        <v>379</v>
      </c>
      <c r="D42" t="s">
        <v>473</v>
      </c>
      <c r="E42" t="s">
        <v>376</v>
      </c>
    </row>
    <row r="43" spans="1:5" x14ac:dyDescent="0.2">
      <c r="A43" t="s">
        <v>328</v>
      </c>
      <c r="B43" t="s">
        <v>385</v>
      </c>
      <c r="C43" t="s">
        <v>385</v>
      </c>
      <c r="D43" t="s">
        <v>474</v>
      </c>
      <c r="E43" t="s">
        <v>376</v>
      </c>
    </row>
    <row r="44" spans="1:5" x14ac:dyDescent="0.2">
      <c r="A44" t="s">
        <v>331</v>
      </c>
      <c r="B44" t="s">
        <v>430</v>
      </c>
      <c r="C44" t="s">
        <v>430</v>
      </c>
      <c r="D44" t="s">
        <v>473</v>
      </c>
      <c r="E44" t="s">
        <v>376</v>
      </c>
    </row>
    <row r="45" spans="1:5" x14ac:dyDescent="0.2">
      <c r="A45" t="s">
        <v>361</v>
      </c>
      <c r="B45" t="s">
        <v>395</v>
      </c>
      <c r="C45" t="s">
        <v>395</v>
      </c>
      <c r="D45" t="s">
        <v>474</v>
      </c>
      <c r="E45" t="s">
        <v>387</v>
      </c>
    </row>
    <row r="46" spans="1:5" x14ac:dyDescent="0.2">
      <c r="A46" t="s">
        <v>343</v>
      </c>
      <c r="B46" t="s">
        <v>400</v>
      </c>
      <c r="C46" t="s">
        <v>400</v>
      </c>
      <c r="D46" t="s">
        <v>474</v>
      </c>
      <c r="E46" t="s">
        <v>387</v>
      </c>
    </row>
    <row r="47" spans="1:5" x14ac:dyDescent="0.2">
      <c r="A47" t="s">
        <v>370</v>
      </c>
      <c r="B47" t="s">
        <v>406</v>
      </c>
      <c r="C47" t="s">
        <v>406</v>
      </c>
      <c r="D47" t="s">
        <v>477</v>
      </c>
      <c r="E47" t="s">
        <v>397</v>
      </c>
    </row>
    <row r="48" spans="1:5" x14ac:dyDescent="0.2">
      <c r="A48" t="s">
        <v>345</v>
      </c>
      <c r="B48" t="s">
        <v>419</v>
      </c>
      <c r="C48" t="s">
        <v>419</v>
      </c>
      <c r="D48" t="s">
        <v>477</v>
      </c>
      <c r="E48" t="s">
        <v>392</v>
      </c>
    </row>
    <row r="49" spans="1:5" x14ac:dyDescent="0.2">
      <c r="A49" t="s">
        <v>334</v>
      </c>
      <c r="B49" t="s">
        <v>417</v>
      </c>
      <c r="C49" t="s">
        <v>417</v>
      </c>
      <c r="D49" t="s">
        <v>477</v>
      </c>
      <c r="E49" t="s">
        <v>392</v>
      </c>
    </row>
    <row r="50" spans="1:5" x14ac:dyDescent="0.2">
      <c r="A50" t="s">
        <v>339</v>
      </c>
      <c r="B50" t="s">
        <v>414</v>
      </c>
      <c r="C50" t="s">
        <v>414</v>
      </c>
      <c r="D50" t="s">
        <v>476</v>
      </c>
      <c r="E50" t="s">
        <v>411</v>
      </c>
    </row>
    <row r="51" spans="1:5" x14ac:dyDescent="0.2">
      <c r="A51" t="s">
        <v>327</v>
      </c>
      <c r="B51" t="s">
        <v>394</v>
      </c>
      <c r="C51" t="s">
        <v>394</v>
      </c>
      <c r="D51" t="s">
        <v>477</v>
      </c>
      <c r="E51" t="s">
        <v>392</v>
      </c>
    </row>
    <row r="52" spans="1:5" x14ac:dyDescent="0.2">
      <c r="A52" t="s">
        <v>480</v>
      </c>
      <c r="B52" t="s">
        <v>481</v>
      </c>
      <c r="C52" t="s">
        <v>315</v>
      </c>
      <c r="D52" t="s">
        <v>461</v>
      </c>
      <c r="E52" t="s">
        <v>8</v>
      </c>
    </row>
    <row r="53" spans="1:5" x14ac:dyDescent="0.2">
      <c r="A53" t="s">
        <v>489</v>
      </c>
      <c r="B53" t="s">
        <v>490</v>
      </c>
      <c r="C53" t="s">
        <v>315</v>
      </c>
      <c r="D53" t="s">
        <v>461</v>
      </c>
      <c r="E53" t="s">
        <v>8</v>
      </c>
    </row>
    <row r="54" spans="1:5" x14ac:dyDescent="0.2">
      <c r="A54" t="s">
        <v>354</v>
      </c>
      <c r="B54" t="s">
        <v>382</v>
      </c>
      <c r="C54" t="s">
        <v>382</v>
      </c>
      <c r="D54" t="s">
        <v>473</v>
      </c>
      <c r="E54" t="s">
        <v>376</v>
      </c>
    </row>
    <row r="55" spans="1:5" x14ac:dyDescent="0.2">
      <c r="A55" t="s">
        <v>369</v>
      </c>
      <c r="B55" t="s">
        <v>388</v>
      </c>
      <c r="C55" t="s">
        <v>388</v>
      </c>
      <c r="D55" t="s">
        <v>474</v>
      </c>
      <c r="E55" t="s">
        <v>387</v>
      </c>
    </row>
    <row r="56" spans="1:5" x14ac:dyDescent="0.2">
      <c r="A56" t="s">
        <v>324</v>
      </c>
      <c r="B56" t="s">
        <v>432</v>
      </c>
      <c r="C56" t="s">
        <v>432</v>
      </c>
      <c r="D56" t="s">
        <v>474</v>
      </c>
      <c r="E56" t="s">
        <v>387</v>
      </c>
    </row>
    <row r="57" spans="1:5" x14ac:dyDescent="0.2">
      <c r="A57" t="s">
        <v>323</v>
      </c>
      <c r="B57" t="s">
        <v>403</v>
      </c>
      <c r="C57" t="s">
        <v>403</v>
      </c>
      <c r="D57" t="s">
        <v>477</v>
      </c>
      <c r="E57" t="s">
        <v>397</v>
      </c>
    </row>
    <row r="58" spans="1:5" x14ac:dyDescent="0.2">
      <c r="A58" t="s">
        <v>329</v>
      </c>
      <c r="B58" t="s">
        <v>407</v>
      </c>
      <c r="C58" t="s">
        <v>407</v>
      </c>
      <c r="D58" t="s">
        <v>477</v>
      </c>
      <c r="E58" t="s">
        <v>397</v>
      </c>
    </row>
    <row r="59" spans="1:5" x14ac:dyDescent="0.2">
      <c r="A59" t="s">
        <v>335</v>
      </c>
      <c r="B59" t="s">
        <v>420</v>
      </c>
      <c r="C59" t="s">
        <v>420</v>
      </c>
      <c r="D59" t="s">
        <v>476</v>
      </c>
      <c r="E59" t="s">
        <v>411</v>
      </c>
    </row>
    <row r="60" spans="1:5" x14ac:dyDescent="0.2">
      <c r="A60" t="s">
        <v>322</v>
      </c>
      <c r="B60" t="s">
        <v>418</v>
      </c>
      <c r="C60" t="s">
        <v>418</v>
      </c>
      <c r="D60" t="s">
        <v>477</v>
      </c>
      <c r="E60" t="s">
        <v>392</v>
      </c>
    </row>
    <row r="61" spans="1:5" x14ac:dyDescent="0.2">
      <c r="A61" t="s">
        <v>336</v>
      </c>
      <c r="B61" t="s">
        <v>83</v>
      </c>
      <c r="C61" t="s">
        <v>83</v>
      </c>
      <c r="D61" t="s">
        <v>476</v>
      </c>
      <c r="E61" t="s">
        <v>411</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1042</v>
      </c>
      <c r="C2" t="s">
        <v>444</v>
      </c>
      <c r="D2" t="s">
        <v>445</v>
      </c>
      <c r="E2" t="s">
        <v>446</v>
      </c>
      <c r="F2" t="s">
        <v>447</v>
      </c>
      <c r="G2" t="s">
        <v>448</v>
      </c>
      <c r="H2" t="s">
        <v>449</v>
      </c>
      <c r="I2" t="s">
        <v>450</v>
      </c>
      <c r="J2" t="s">
        <v>451</v>
      </c>
      <c r="K2" t="s">
        <v>452</v>
      </c>
      <c r="L2" t="s">
        <v>453</v>
      </c>
      <c r="M2" t="s">
        <v>454</v>
      </c>
      <c r="N2" t="s">
        <v>455</v>
      </c>
      <c r="O2" t="s">
        <v>456</v>
      </c>
      <c r="P2" t="s">
        <v>457</v>
      </c>
      <c r="Q2" t="s">
        <v>459</v>
      </c>
    </row>
    <row r="3" spans="2:33" x14ac:dyDescent="0.2">
      <c r="B3" t="s">
        <v>392</v>
      </c>
      <c r="C3" t="s">
        <v>418</v>
      </c>
      <c r="D3" t="s">
        <v>410</v>
      </c>
      <c r="E3" t="s">
        <v>394</v>
      </c>
      <c r="F3" t="s">
        <v>396</v>
      </c>
      <c r="G3" t="s">
        <v>425</v>
      </c>
      <c r="H3" t="s">
        <v>419</v>
      </c>
      <c r="I3" t="s">
        <v>417</v>
      </c>
      <c r="J3" t="s">
        <v>413</v>
      </c>
      <c r="K3" t="s">
        <v>428</v>
      </c>
      <c r="L3" t="s">
        <v>458</v>
      </c>
      <c r="M3" t="s">
        <v>458</v>
      </c>
      <c r="N3" t="s">
        <v>458</v>
      </c>
      <c r="O3" t="s">
        <v>458</v>
      </c>
      <c r="P3" t="s">
        <v>458</v>
      </c>
      <c r="Q3" t="s">
        <v>458</v>
      </c>
      <c r="S3" s="14" t="s">
        <v>418</v>
      </c>
      <c r="T3" s="14" t="s">
        <v>410</v>
      </c>
      <c r="U3" s="14" t="s">
        <v>394</v>
      </c>
      <c r="V3" s="14" t="s">
        <v>396</v>
      </c>
      <c r="W3" s="14" t="s">
        <v>425</v>
      </c>
      <c r="X3" s="14" t="s">
        <v>419</v>
      </c>
      <c r="Y3" s="14" t="s">
        <v>417</v>
      </c>
      <c r="Z3" s="14" t="s">
        <v>413</v>
      </c>
      <c r="AA3" s="14" t="s">
        <v>428</v>
      </c>
      <c r="AB3" s="14"/>
      <c r="AC3" s="14"/>
      <c r="AD3" s="14"/>
      <c r="AE3" s="14"/>
      <c r="AF3" s="15"/>
      <c r="AG3" s="15"/>
    </row>
    <row r="4" spans="2:33" x14ac:dyDescent="0.2">
      <c r="B4" t="s">
        <v>397</v>
      </c>
      <c r="C4" t="s">
        <v>401</v>
      </c>
      <c r="D4" t="s">
        <v>399</v>
      </c>
      <c r="E4" t="s">
        <v>406</v>
      </c>
      <c r="F4" t="s">
        <v>429</v>
      </c>
      <c r="G4" t="s">
        <v>402</v>
      </c>
      <c r="H4" t="s">
        <v>408</v>
      </c>
      <c r="I4" t="s">
        <v>404</v>
      </c>
      <c r="J4" t="s">
        <v>407</v>
      </c>
      <c r="K4" t="s">
        <v>426</v>
      </c>
      <c r="L4" t="s">
        <v>398</v>
      </c>
      <c r="M4" t="s">
        <v>427</v>
      </c>
      <c r="N4" t="s">
        <v>403</v>
      </c>
      <c r="O4" t="s">
        <v>458</v>
      </c>
      <c r="P4" t="s">
        <v>458</v>
      </c>
      <c r="Q4" t="s">
        <v>458</v>
      </c>
      <c r="S4" s="14" t="s">
        <v>401</v>
      </c>
      <c r="T4" s="14" t="s">
        <v>399</v>
      </c>
      <c r="U4" s="14" t="s">
        <v>406</v>
      </c>
      <c r="V4" s="14" t="s">
        <v>429</v>
      </c>
      <c r="W4" s="14" t="s">
        <v>402</v>
      </c>
      <c r="X4" s="14" t="s">
        <v>408</v>
      </c>
      <c r="Y4" s="14" t="s">
        <v>404</v>
      </c>
      <c r="Z4" s="14" t="s">
        <v>407</v>
      </c>
      <c r="AA4" s="14" t="s">
        <v>426</v>
      </c>
      <c r="AB4" s="14" t="s">
        <v>398</v>
      </c>
      <c r="AC4" s="14" t="s">
        <v>427</v>
      </c>
      <c r="AD4" s="14" t="s">
        <v>403</v>
      </c>
      <c r="AE4" s="14"/>
      <c r="AF4" s="15"/>
      <c r="AG4" s="15"/>
    </row>
    <row r="5" spans="2:33" x14ac:dyDescent="0.2">
      <c r="B5" t="s">
        <v>376</v>
      </c>
      <c r="C5" t="s">
        <v>380</v>
      </c>
      <c r="D5" t="s">
        <v>430</v>
      </c>
      <c r="E5" t="s">
        <v>421</v>
      </c>
      <c r="F5" t="s">
        <v>423</v>
      </c>
      <c r="G5" t="s">
        <v>383</v>
      </c>
      <c r="H5" t="s">
        <v>378</v>
      </c>
      <c r="I5" t="s">
        <v>422</v>
      </c>
      <c r="J5" t="s">
        <v>381</v>
      </c>
      <c r="K5" t="s">
        <v>63</v>
      </c>
      <c r="L5" t="s">
        <v>389</v>
      </c>
      <c r="M5" t="s">
        <v>382</v>
      </c>
      <c r="N5" t="s">
        <v>379</v>
      </c>
      <c r="O5" t="s">
        <v>424</v>
      </c>
      <c r="P5" t="s">
        <v>385</v>
      </c>
      <c r="Q5" t="s">
        <v>386</v>
      </c>
      <c r="S5" s="14" t="s">
        <v>380</v>
      </c>
      <c r="T5" s="14" t="s">
        <v>430</v>
      </c>
      <c r="U5" s="14" t="s">
        <v>421</v>
      </c>
      <c r="V5" s="14" t="s">
        <v>423</v>
      </c>
      <c r="W5" s="14" t="s">
        <v>383</v>
      </c>
      <c r="X5" s="14" t="s">
        <v>378</v>
      </c>
      <c r="Y5" s="14" t="s">
        <v>422</v>
      </c>
      <c r="Z5" s="14" t="s">
        <v>381</v>
      </c>
      <c r="AA5" s="14" t="s">
        <v>63</v>
      </c>
      <c r="AB5" s="14" t="s">
        <v>389</v>
      </c>
      <c r="AC5" s="14" t="s">
        <v>382</v>
      </c>
      <c r="AD5" s="14" t="s">
        <v>379</v>
      </c>
      <c r="AE5" s="14" t="s">
        <v>424</v>
      </c>
      <c r="AF5" s="15" t="s">
        <v>385</v>
      </c>
      <c r="AG5" s="15" t="s">
        <v>386</v>
      </c>
    </row>
    <row r="6" spans="2:33" x14ac:dyDescent="0.2">
      <c r="B6" t="s">
        <v>411</v>
      </c>
      <c r="C6" t="s">
        <v>431</v>
      </c>
      <c r="D6" t="s">
        <v>433</v>
      </c>
      <c r="E6" t="s">
        <v>414</v>
      </c>
      <c r="F6" t="s">
        <v>435</v>
      </c>
      <c r="G6" t="s">
        <v>415</v>
      </c>
      <c r="H6" t="s">
        <v>420</v>
      </c>
      <c r="I6" t="s">
        <v>412</v>
      </c>
      <c r="J6" t="s">
        <v>416</v>
      </c>
      <c r="K6" t="s">
        <v>83</v>
      </c>
      <c r="L6" t="s">
        <v>458</v>
      </c>
      <c r="M6" t="s">
        <v>458</v>
      </c>
      <c r="N6" t="s">
        <v>458</v>
      </c>
      <c r="O6" t="s">
        <v>458</v>
      </c>
      <c r="P6" t="s">
        <v>458</v>
      </c>
      <c r="Q6" t="s">
        <v>458</v>
      </c>
      <c r="S6" s="14" t="s">
        <v>431</v>
      </c>
      <c r="T6" s="14" t="s">
        <v>433</v>
      </c>
      <c r="U6" s="14" t="s">
        <v>414</v>
      </c>
      <c r="V6" s="14" t="s">
        <v>435</v>
      </c>
      <c r="W6" s="14" t="s">
        <v>415</v>
      </c>
      <c r="X6" s="14" t="s">
        <v>420</v>
      </c>
      <c r="Y6" s="14" t="s">
        <v>412</v>
      </c>
      <c r="Z6" s="14" t="s">
        <v>416</v>
      </c>
      <c r="AA6" s="14" t="s">
        <v>83</v>
      </c>
      <c r="AB6" s="14"/>
      <c r="AC6" s="14"/>
      <c r="AD6" s="14"/>
      <c r="AE6" s="14"/>
      <c r="AF6" s="15"/>
      <c r="AG6" s="15"/>
    </row>
    <row r="7" spans="2:33" x14ac:dyDescent="0.2">
      <c r="B7" t="s">
        <v>387</v>
      </c>
      <c r="C7" t="s">
        <v>395</v>
      </c>
      <c r="D7" t="s">
        <v>432</v>
      </c>
      <c r="E7" t="s">
        <v>388</v>
      </c>
      <c r="F7" t="s">
        <v>400</v>
      </c>
      <c r="G7" t="s">
        <v>434</v>
      </c>
      <c r="H7" t="s">
        <v>390</v>
      </c>
      <c r="I7" t="s">
        <v>391</v>
      </c>
      <c r="J7" t="s">
        <v>458</v>
      </c>
      <c r="K7" t="s">
        <v>458</v>
      </c>
      <c r="L7" t="s">
        <v>458</v>
      </c>
      <c r="M7" t="s">
        <v>458</v>
      </c>
      <c r="N7" t="s">
        <v>458</v>
      </c>
      <c r="O7" t="s">
        <v>458</v>
      </c>
      <c r="P7" t="s">
        <v>458</v>
      </c>
      <c r="Q7" t="s">
        <v>458</v>
      </c>
      <c r="S7" s="14" t="s">
        <v>395</v>
      </c>
      <c r="T7" s="14" t="s">
        <v>432</v>
      </c>
      <c r="U7" s="14" t="s">
        <v>388</v>
      </c>
      <c r="V7" s="14" t="s">
        <v>400</v>
      </c>
      <c r="W7" s="14" t="s">
        <v>434</v>
      </c>
      <c r="X7" s="14" t="s">
        <v>390</v>
      </c>
      <c r="Y7" s="14" t="s">
        <v>391</v>
      </c>
      <c r="Z7" s="14"/>
      <c r="AA7" s="14"/>
      <c r="AB7" s="14"/>
      <c r="AC7" s="14"/>
      <c r="AD7" s="14"/>
      <c r="AE7" s="14"/>
      <c r="AF7" s="15"/>
      <c r="AG7" s="15"/>
    </row>
    <row r="8" spans="2:33" x14ac:dyDescent="0.2">
      <c r="B8" t="s">
        <v>8</v>
      </c>
      <c r="C8" t="s">
        <v>8</v>
      </c>
      <c r="D8" t="s">
        <v>458</v>
      </c>
      <c r="E8" t="s">
        <v>458</v>
      </c>
      <c r="F8" t="s">
        <v>458</v>
      </c>
      <c r="G8" t="s">
        <v>458</v>
      </c>
      <c r="H8" t="s">
        <v>458</v>
      </c>
      <c r="I8" t="s">
        <v>458</v>
      </c>
      <c r="J8" t="s">
        <v>458</v>
      </c>
      <c r="K8" t="s">
        <v>458</v>
      </c>
      <c r="L8" t="s">
        <v>458</v>
      </c>
      <c r="M8" t="s">
        <v>458</v>
      </c>
      <c r="N8" t="s">
        <v>458</v>
      </c>
      <c r="O8" t="s">
        <v>458</v>
      </c>
      <c r="P8" t="s">
        <v>458</v>
      </c>
      <c r="Q8" t="s">
        <v>458</v>
      </c>
      <c r="S8" s="16" t="s">
        <v>8</v>
      </c>
      <c r="T8" s="16"/>
      <c r="U8" s="16"/>
      <c r="V8" s="16"/>
      <c r="W8" s="16"/>
      <c r="X8" s="16"/>
      <c r="Y8" s="16"/>
      <c r="Z8" s="16"/>
      <c r="AA8" s="16"/>
      <c r="AB8" s="16"/>
      <c r="AC8" s="16"/>
      <c r="AD8" s="16"/>
      <c r="AE8" s="16"/>
      <c r="AF8" s="17"/>
      <c r="AG8" s="17"/>
    </row>
    <row r="10" spans="2:33" x14ac:dyDescent="0.2">
      <c r="B10" t="s">
        <v>443</v>
      </c>
      <c r="C10" t="s">
        <v>444</v>
      </c>
      <c r="D10" t="s">
        <v>445</v>
      </c>
      <c r="E10" t="s">
        <v>446</v>
      </c>
      <c r="F10" t="s">
        <v>447</v>
      </c>
      <c r="G10" t="s">
        <v>448</v>
      </c>
      <c r="H10" t="s">
        <v>449</v>
      </c>
      <c r="I10" t="s">
        <v>450</v>
      </c>
      <c r="J10" t="s">
        <v>451</v>
      </c>
      <c r="K10" t="s">
        <v>452</v>
      </c>
      <c r="L10" t="s">
        <v>453</v>
      </c>
      <c r="M10" t="s">
        <v>454</v>
      </c>
      <c r="N10" t="s">
        <v>455</v>
      </c>
      <c r="O10" t="s">
        <v>456</v>
      </c>
      <c r="P10" t="s">
        <v>457</v>
      </c>
      <c r="Q10" t="s">
        <v>459</v>
      </c>
      <c r="R10" t="s">
        <v>460</v>
      </c>
    </row>
    <row r="11" spans="2:33" x14ac:dyDescent="0.2">
      <c r="B11" t="s">
        <v>392</v>
      </c>
      <c r="C11" t="s">
        <v>644</v>
      </c>
      <c r="D11" t="s">
        <v>591</v>
      </c>
      <c r="E11" t="s">
        <v>638</v>
      </c>
      <c r="F11" t="s">
        <v>626</v>
      </c>
      <c r="G11" t="s">
        <v>562</v>
      </c>
      <c r="H11" t="s">
        <v>614</v>
      </c>
      <c r="I11" t="s">
        <v>616</v>
      </c>
      <c r="J11" t="s">
        <v>558</v>
      </c>
      <c r="K11" t="s">
        <v>595</v>
      </c>
      <c r="L11" t="s">
        <v>612</v>
      </c>
      <c r="M11" t="s">
        <v>458</v>
      </c>
      <c r="N11" t="s">
        <v>458</v>
      </c>
      <c r="O11" t="s">
        <v>458</v>
      </c>
      <c r="P11" t="s">
        <v>458</v>
      </c>
      <c r="Q11" t="s">
        <v>458</v>
      </c>
      <c r="R11" t="s">
        <v>458</v>
      </c>
    </row>
    <row r="12" spans="2:33" x14ac:dyDescent="0.2">
      <c r="B12" t="s">
        <v>397</v>
      </c>
      <c r="C12" t="s">
        <v>574</v>
      </c>
      <c r="D12" t="s">
        <v>566</v>
      </c>
      <c r="E12" t="s">
        <v>583</v>
      </c>
      <c r="F12" t="s">
        <v>576</v>
      </c>
      <c r="G12" t="s">
        <v>640</v>
      </c>
      <c r="H12" t="s">
        <v>568</v>
      </c>
      <c r="I12" t="s">
        <v>585</v>
      </c>
      <c r="J12" t="s">
        <v>578</v>
      </c>
      <c r="K12" t="s">
        <v>642</v>
      </c>
      <c r="L12" t="s">
        <v>581</v>
      </c>
      <c r="M12" t="s">
        <v>587</v>
      </c>
      <c r="N12" t="s">
        <v>646</v>
      </c>
      <c r="O12" t="s">
        <v>458</v>
      </c>
      <c r="P12" t="s">
        <v>458</v>
      </c>
      <c r="Q12" t="s">
        <v>458</v>
      </c>
      <c r="R12" t="s">
        <v>458</v>
      </c>
    </row>
    <row r="13" spans="2:33" x14ac:dyDescent="0.2">
      <c r="B13" t="s">
        <v>376</v>
      </c>
      <c r="C13" t="s">
        <v>540</v>
      </c>
      <c r="D13" t="s">
        <v>519</v>
      </c>
      <c r="E13" t="s">
        <v>527</v>
      </c>
      <c r="F13" t="s">
        <v>529</v>
      </c>
      <c r="G13" t="s">
        <v>544</v>
      </c>
      <c r="H13" t="s">
        <v>629</v>
      </c>
      <c r="I13" t="s">
        <v>525</v>
      </c>
      <c r="J13" t="s">
        <v>531</v>
      </c>
      <c r="K13" t="s">
        <v>533</v>
      </c>
      <c r="L13" t="s">
        <v>536</v>
      </c>
      <c r="M13" t="s">
        <v>521</v>
      </c>
      <c r="N13" t="s">
        <v>542</v>
      </c>
      <c r="O13" t="s">
        <v>634</v>
      </c>
      <c r="P13" t="s">
        <v>636</v>
      </c>
      <c r="Q13" t="s">
        <v>650</v>
      </c>
      <c r="R13" t="s">
        <v>550</v>
      </c>
    </row>
    <row r="14" spans="2:33" x14ac:dyDescent="0.2">
      <c r="B14" t="s">
        <v>411</v>
      </c>
      <c r="C14" t="s">
        <v>593</v>
      </c>
      <c r="D14" t="s">
        <v>652</v>
      </c>
      <c r="E14" t="s">
        <v>608</v>
      </c>
      <c r="F14" t="s">
        <v>648</v>
      </c>
      <c r="G14" t="s">
        <v>600</v>
      </c>
      <c r="H14" t="s">
        <v>622</v>
      </c>
      <c r="I14" t="s">
        <v>598</v>
      </c>
      <c r="J14" t="s">
        <v>602</v>
      </c>
      <c r="K14" t="s">
        <v>610</v>
      </c>
      <c r="L14" t="s">
        <v>618</v>
      </c>
      <c r="M14" t="s">
        <v>631</v>
      </c>
      <c r="N14" t="s">
        <v>604</v>
      </c>
      <c r="O14" t="s">
        <v>458</v>
      </c>
      <c r="P14" t="s">
        <v>458</v>
      </c>
      <c r="Q14" t="s">
        <v>458</v>
      </c>
      <c r="R14" t="s">
        <v>458</v>
      </c>
    </row>
    <row r="15" spans="2:33" x14ac:dyDescent="0.2">
      <c r="B15" t="s">
        <v>387</v>
      </c>
      <c r="C15" t="s">
        <v>546</v>
      </c>
      <c r="D15" t="s">
        <v>554</v>
      </c>
      <c r="E15" t="s">
        <v>570</v>
      </c>
      <c r="F15" t="s">
        <v>560</v>
      </c>
      <c r="G15" t="s">
        <v>556</v>
      </c>
      <c r="H15" t="s">
        <v>620</v>
      </c>
      <c r="I15" t="s">
        <v>548</v>
      </c>
      <c r="J15" t="s">
        <v>458</v>
      </c>
      <c r="K15" t="s">
        <v>458</v>
      </c>
      <c r="L15" t="s">
        <v>458</v>
      </c>
      <c r="M15" t="s">
        <v>458</v>
      </c>
      <c r="N15" t="s">
        <v>458</v>
      </c>
      <c r="O15" t="s">
        <v>458</v>
      </c>
      <c r="P15" t="s">
        <v>458</v>
      </c>
      <c r="Q15" t="s">
        <v>458</v>
      </c>
      <c r="R15" t="s">
        <v>458</v>
      </c>
    </row>
    <row r="16" spans="2:33" x14ac:dyDescent="0.2">
      <c r="B16" t="s">
        <v>8</v>
      </c>
      <c r="C16" t="s">
        <v>458</v>
      </c>
      <c r="D16" t="s">
        <v>458</v>
      </c>
      <c r="E16" t="s">
        <v>458</v>
      </c>
      <c r="F16" t="s">
        <v>458</v>
      </c>
      <c r="G16" t="s">
        <v>458</v>
      </c>
      <c r="H16" t="s">
        <v>458</v>
      </c>
      <c r="I16" t="s">
        <v>458</v>
      </c>
      <c r="J16" t="s">
        <v>458</v>
      </c>
      <c r="K16" t="s">
        <v>458</v>
      </c>
      <c r="L16" t="s">
        <v>458</v>
      </c>
      <c r="M16" t="s">
        <v>458</v>
      </c>
      <c r="N16" t="s">
        <v>458</v>
      </c>
      <c r="O16" t="s">
        <v>458</v>
      </c>
      <c r="P16" t="s">
        <v>458</v>
      </c>
      <c r="Q16" t="s">
        <v>458</v>
      </c>
      <c r="R16" t="s">
        <v>458</v>
      </c>
    </row>
    <row r="19" spans="2:4" x14ac:dyDescent="0.2">
      <c r="B19" t="s">
        <v>980</v>
      </c>
      <c r="C19" t="s">
        <v>981</v>
      </c>
      <c r="D19" t="s">
        <v>982</v>
      </c>
    </row>
    <row r="20" spans="2:4" x14ac:dyDescent="0.2">
      <c r="B20" s="152">
        <v>42280</v>
      </c>
      <c r="C20">
        <v>24017</v>
      </c>
      <c r="D20">
        <v>10</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0" t="s">
        <v>986</v>
      </c>
      <c r="C2" s="311"/>
      <c r="D2" s="311"/>
      <c r="E2" s="311"/>
      <c r="F2" s="311"/>
      <c r="G2" s="312"/>
      <c r="H2" s="135" t="s">
        <v>5</v>
      </c>
      <c r="I2" s="136" t="s">
        <v>2</v>
      </c>
      <c r="J2" s="136" t="s">
        <v>234</v>
      </c>
      <c r="K2" s="134"/>
    </row>
    <row r="3" spans="1:11" ht="59.25" customHeight="1" x14ac:dyDescent="0.2">
      <c r="A3" s="130"/>
      <c r="B3" s="313"/>
      <c r="C3" s="314"/>
      <c r="D3" s="314"/>
      <c r="E3" s="314"/>
      <c r="F3" s="314"/>
      <c r="G3" s="314"/>
      <c r="H3" s="306">
        <f>SUM(H5,H10)</f>
        <v>368771</v>
      </c>
      <c r="I3" s="306">
        <f>SUM(I5,I10)</f>
        <v>72623</v>
      </c>
      <c r="J3" s="308">
        <f>ROUND(I3/H3,5)</f>
        <v>0.19692999999999999</v>
      </c>
      <c r="K3" s="134"/>
    </row>
    <row r="4" spans="1:11" ht="33" customHeight="1" thickBot="1" x14ac:dyDescent="0.25">
      <c r="A4" s="130"/>
      <c r="B4" s="317" t="str">
        <f>"As of: "&amp;TEXT(INDEX(MMWR_DATES[],1,1),"MMMM DD, YYYY")</f>
        <v>As of: October 03, 2015</v>
      </c>
      <c r="C4" s="318"/>
      <c r="D4" s="318"/>
      <c r="E4" s="318"/>
      <c r="F4" s="318"/>
      <c r="G4" s="319"/>
      <c r="H4" s="307"/>
      <c r="I4" s="307"/>
      <c r="J4" s="309"/>
      <c r="K4" s="137"/>
    </row>
    <row r="5" spans="1:11" ht="16.5" customHeight="1" thickBot="1" x14ac:dyDescent="0.25">
      <c r="A5" s="130"/>
      <c r="B5" s="315" t="s">
        <v>239</v>
      </c>
      <c r="C5" s="316"/>
      <c r="D5" s="316"/>
      <c r="E5" s="316"/>
      <c r="F5" s="316"/>
      <c r="G5" s="138" t="s">
        <v>250</v>
      </c>
      <c r="H5" s="160">
        <f>SUM(H6:H9)</f>
        <v>139156</v>
      </c>
      <c r="I5" s="160">
        <f>SUM(I6:I9)</f>
        <v>33232</v>
      </c>
      <c r="J5" s="161">
        <f t="shared" ref="J5:J15" si="0">IF(H5=0, 0,I5/H5)</f>
        <v>0.23881111845698352</v>
      </c>
      <c r="K5" s="134"/>
    </row>
    <row r="6" spans="1:11" ht="16.5" customHeight="1" x14ac:dyDescent="0.2">
      <c r="A6" s="130"/>
      <c r="B6" s="320" t="s">
        <v>16</v>
      </c>
      <c r="C6" s="321"/>
      <c r="D6" s="321"/>
      <c r="E6" s="321"/>
      <c r="F6" s="321"/>
      <c r="G6" s="139" t="s">
        <v>196</v>
      </c>
      <c r="H6" s="162">
        <f>IFERROR(VLOOKUP(MID($G6,4,3),MMWR_TRAD_AGG_NATIONAL[],2,0),0)</f>
        <v>41495</v>
      </c>
      <c r="I6" s="162">
        <f>IFERROR(VLOOKUP(MID($G6,4,3),MMWR_TRAD_AGG_NATIONAL[],3,0),0)</f>
        <v>10767</v>
      </c>
      <c r="J6" s="163">
        <f t="shared" si="0"/>
        <v>0.25947704542715988</v>
      </c>
      <c r="K6" s="134"/>
    </row>
    <row r="7" spans="1:11" ht="16.5" customHeight="1" x14ac:dyDescent="0.2">
      <c r="A7" s="130"/>
      <c r="B7" s="322" t="s">
        <v>0</v>
      </c>
      <c r="C7" s="323"/>
      <c r="D7" s="323"/>
      <c r="E7" s="323"/>
      <c r="F7" s="323"/>
      <c r="G7" s="140" t="s">
        <v>197</v>
      </c>
      <c r="H7" s="162">
        <f>IFERROR(VLOOKUP(MID($G7,4,3),MMWR_TRAD_AGG_NATIONAL[],2,0),0)</f>
        <v>84543</v>
      </c>
      <c r="I7" s="162">
        <f>IFERROR(VLOOKUP(MID($G7,4,3),MMWR_TRAD_AGG_NATIONAL[],3,0),0)</f>
        <v>21224</v>
      </c>
      <c r="J7" s="163">
        <f t="shared" si="0"/>
        <v>0.25104384750955133</v>
      </c>
      <c r="K7" s="134"/>
    </row>
    <row r="8" spans="1:11" ht="16.5" customHeight="1" x14ac:dyDescent="0.2">
      <c r="A8" s="130"/>
      <c r="B8" s="324" t="s">
        <v>240</v>
      </c>
      <c r="C8" s="325"/>
      <c r="D8" s="325"/>
      <c r="E8" s="325"/>
      <c r="F8" s="325"/>
      <c r="G8" s="141" t="s">
        <v>199</v>
      </c>
      <c r="H8" s="162">
        <f>IFERROR(VLOOKUP(MID($G8,4,3),MMWR_TRAD_AGG_NATIONAL[],2,0),0)</f>
        <v>6255</v>
      </c>
      <c r="I8" s="162">
        <f>IFERROR(VLOOKUP(MID($G8,4,3),MMWR_TRAD_AGG_NATIONAL[],3,0),0)</f>
        <v>227</v>
      </c>
      <c r="J8" s="163">
        <f t="shared" si="0"/>
        <v>3.6290967226219023E-2</v>
      </c>
      <c r="K8" s="134"/>
    </row>
    <row r="9" spans="1:11" ht="16.5" customHeight="1" thickBot="1" x14ac:dyDescent="0.25">
      <c r="A9" s="130"/>
      <c r="B9" s="326" t="s">
        <v>17</v>
      </c>
      <c r="C9" s="327"/>
      <c r="D9" s="327"/>
      <c r="E9" s="327"/>
      <c r="F9" s="327"/>
      <c r="G9" s="140" t="s">
        <v>201</v>
      </c>
      <c r="H9" s="162">
        <f>IFERROR(VLOOKUP(MID($G9,4,3),MMWR_TRAD_AGG_NATIONAL[],2,0),0)</f>
        <v>6863</v>
      </c>
      <c r="I9" s="162">
        <f>IFERROR(VLOOKUP(MID($G9,4,3),MMWR_TRAD_AGG_NATIONAL[],3,0),0)</f>
        <v>1014</v>
      </c>
      <c r="J9" s="163">
        <f t="shared" si="0"/>
        <v>0.14774879790179221</v>
      </c>
      <c r="K9" s="134"/>
    </row>
    <row r="10" spans="1:11" ht="17.25" thickBot="1" x14ac:dyDescent="0.25">
      <c r="A10" s="130"/>
      <c r="B10" s="315" t="s">
        <v>1</v>
      </c>
      <c r="C10" s="316"/>
      <c r="D10" s="316"/>
      <c r="E10" s="316"/>
      <c r="F10" s="316"/>
      <c r="G10" s="138" t="s">
        <v>250</v>
      </c>
      <c r="H10" s="160">
        <f>SUM(H11:H18)</f>
        <v>229615</v>
      </c>
      <c r="I10" s="160">
        <f>SUM(I11:I18)</f>
        <v>39391</v>
      </c>
      <c r="J10" s="161">
        <f t="shared" si="0"/>
        <v>0.17155238115976743</v>
      </c>
      <c r="K10" s="134"/>
    </row>
    <row r="11" spans="1:11" ht="16.5" customHeight="1" x14ac:dyDescent="0.2">
      <c r="A11" s="130"/>
      <c r="B11" s="320" t="s">
        <v>205</v>
      </c>
      <c r="C11" s="321"/>
      <c r="D11" s="321"/>
      <c r="E11" s="321"/>
      <c r="F11" s="321"/>
      <c r="G11" s="142" t="s">
        <v>200</v>
      </c>
      <c r="H11" s="164">
        <f>IFERROR(VLOOKUP(MID($G11,4,3),MMWR_TRAD_AGG_NATIONAL[],2,0),0)</f>
        <v>6591</v>
      </c>
      <c r="I11" s="162">
        <f>IFERROR(VLOOKUP(MID($G11,4,3),MMWR_TRAD_AGG_NATIONAL[],3,0),0)</f>
        <v>209</v>
      </c>
      <c r="J11" s="163">
        <f t="shared" si="0"/>
        <v>3.1709907449552419E-2</v>
      </c>
      <c r="K11" s="134"/>
    </row>
    <row r="12" spans="1:11" ht="16.5" customHeight="1" x14ac:dyDescent="0.2">
      <c r="A12" s="130"/>
      <c r="B12" s="322" t="s">
        <v>18</v>
      </c>
      <c r="C12" s="323"/>
      <c r="D12" s="323"/>
      <c r="E12" s="323"/>
      <c r="F12" s="323"/>
      <c r="G12" s="143" t="s">
        <v>198</v>
      </c>
      <c r="H12" s="165">
        <f>IFERROR(VLOOKUP(MID($G12,4,3),MMWR_TRAD_AGG_NATIONAL[],2,0),0)</f>
        <v>206858</v>
      </c>
      <c r="I12" s="162">
        <f>IFERROR(VLOOKUP(MID($G12,4,3),MMWR_TRAD_AGG_NATIONAL[],3,0),0)</f>
        <v>36857</v>
      </c>
      <c r="J12" s="163">
        <f t="shared" si="0"/>
        <v>0.17817536667665743</v>
      </c>
      <c r="K12" s="134"/>
    </row>
    <row r="13" spans="1:11" ht="16.5" customHeight="1" x14ac:dyDescent="0.2">
      <c r="A13" s="130"/>
      <c r="B13" s="322" t="s">
        <v>14</v>
      </c>
      <c r="C13" s="323"/>
      <c r="D13" s="323"/>
      <c r="E13" s="323"/>
      <c r="F13" s="323"/>
      <c r="G13" s="143" t="s">
        <v>202</v>
      </c>
      <c r="H13" s="165">
        <f>IFERROR(VLOOKUP(MID($G13,4,3),MMWR_TRAD_AGG_NATIONAL[],2,0),0)</f>
        <v>15904</v>
      </c>
      <c r="I13" s="162">
        <f>IFERROR(VLOOKUP(MID($G13,4,3),MMWR_TRAD_AGG_NATIONAL[],3,0),0)</f>
        <v>2301</v>
      </c>
      <c r="J13" s="163">
        <f t="shared" si="0"/>
        <v>0.14468058350100604</v>
      </c>
      <c r="K13" s="134"/>
    </row>
    <row r="14" spans="1:11" ht="16.5" customHeight="1" x14ac:dyDescent="0.2">
      <c r="A14" s="130"/>
      <c r="B14" s="324" t="s">
        <v>19</v>
      </c>
      <c r="C14" s="325"/>
      <c r="D14" s="325"/>
      <c r="E14" s="325"/>
      <c r="F14" s="325"/>
      <c r="G14" s="142" t="s">
        <v>203</v>
      </c>
      <c r="H14" s="165">
        <f>IFERROR(VLOOKUP(MID($G14,4,3),MMWR_TRAD_AGG_NATIONAL[],2,0),0)</f>
        <v>241</v>
      </c>
      <c r="I14" s="162">
        <f>IFERROR(VLOOKUP(MID($G14,4,3),MMWR_TRAD_AGG_NATIONAL[],3,0),0)</f>
        <v>16</v>
      </c>
      <c r="J14" s="163">
        <f t="shared" si="0"/>
        <v>6.6390041493775934E-2</v>
      </c>
      <c r="K14" s="134"/>
    </row>
    <row r="15" spans="1:11" ht="16.5" customHeight="1" x14ac:dyDescent="0.2">
      <c r="A15" s="130"/>
      <c r="B15" s="324" t="s">
        <v>87</v>
      </c>
      <c r="C15" s="325"/>
      <c r="D15" s="325"/>
      <c r="E15" s="325"/>
      <c r="F15" s="325"/>
      <c r="G15" s="142" t="s">
        <v>206</v>
      </c>
      <c r="H15" s="165">
        <f>IFERROR(VLOOKUP(MID($G15,4,3),MMWR_TRAD_AGG_NATIONAL[],2,0),0)</f>
        <v>9</v>
      </c>
      <c r="I15" s="162">
        <f>IFERROR(VLOOKUP(MID($G15,4,3),MMWR_TRAD_AGG_NATIONAL[],3,0),0)</f>
        <v>5</v>
      </c>
      <c r="J15" s="163">
        <f t="shared" si="0"/>
        <v>0.55555555555555558</v>
      </c>
      <c r="K15" s="134"/>
    </row>
    <row r="16" spans="1:11" ht="15" x14ac:dyDescent="0.2">
      <c r="A16" s="130"/>
      <c r="B16" s="324" t="s">
        <v>88</v>
      </c>
      <c r="C16" s="325"/>
      <c r="D16" s="325"/>
      <c r="E16" s="325"/>
      <c r="F16" s="325"/>
      <c r="G16" s="142" t="s">
        <v>207</v>
      </c>
      <c r="H16" s="165">
        <f>IFERROR(VLOOKUP(MID($G16,4,3),MMWR_TRAD_AGG_NATIONAL[],2,0),0)</f>
        <v>4</v>
      </c>
      <c r="I16" s="162">
        <f>IFERROR(VLOOKUP(MID($G16,4,3),MMWR_TRAD_AGG_NATIONAL[],3,0),0)</f>
        <v>1</v>
      </c>
      <c r="J16" s="163">
        <f>IF(H16=0, 0,I16/H16)</f>
        <v>0.25</v>
      </c>
      <c r="K16" s="134"/>
    </row>
    <row r="17" spans="1:11" ht="16.5" customHeight="1" x14ac:dyDescent="0.2">
      <c r="A17" s="130"/>
      <c r="B17" s="324" t="s">
        <v>90</v>
      </c>
      <c r="C17" s="325"/>
      <c r="D17" s="325"/>
      <c r="E17" s="325"/>
      <c r="F17" s="325"/>
      <c r="G17" s="142" t="s">
        <v>208</v>
      </c>
      <c r="H17" s="165">
        <f>IFERROR(VLOOKUP(MID($G17,4,3),MMWR_TRAD_AGG_NATIONAL[],2,0),0)</f>
        <v>4</v>
      </c>
      <c r="I17" s="162">
        <f>IFERROR(VLOOKUP(MID($G17,4,3),MMWR_TRAD_AGG_NATIONAL[],3,0),0)</f>
        <v>2</v>
      </c>
      <c r="J17" s="163">
        <f>IF(H17=0, 0,I17/H17)</f>
        <v>0.5</v>
      </c>
      <c r="K17" s="134"/>
    </row>
    <row r="18" spans="1:11" ht="16.5" customHeight="1" thickBot="1" x14ac:dyDescent="0.25">
      <c r="A18" s="130"/>
      <c r="B18" s="326" t="s">
        <v>89</v>
      </c>
      <c r="C18" s="327"/>
      <c r="D18" s="327"/>
      <c r="E18" s="327"/>
      <c r="F18" s="327"/>
      <c r="G18" s="142" t="s">
        <v>209</v>
      </c>
      <c r="H18" s="166">
        <f>IFERROR(VLOOKUP(MID($G18,4,3),MMWR_TRAD_AGG_NATIONAL[],2,0),0)</f>
        <v>4</v>
      </c>
      <c r="I18" s="162">
        <f>IFERROR(VLOOKUP(MID($G18,4,3),MMWR_TRAD_AGG_NATIONAL[],3,0),0)</f>
        <v>0</v>
      </c>
      <c r="J18" s="167">
        <f>IF(H18=0, 0,I18/H18)</f>
        <v>0</v>
      </c>
      <c r="K18" s="134"/>
    </row>
    <row r="19" spans="1:11" ht="16.5" customHeight="1" x14ac:dyDescent="0.2">
      <c r="A19" s="130"/>
      <c r="B19" s="331" t="s">
        <v>976</v>
      </c>
      <c r="C19" s="332"/>
      <c r="D19" s="332"/>
      <c r="E19" s="332"/>
      <c r="F19" s="332"/>
      <c r="G19" s="332"/>
      <c r="H19" s="332"/>
      <c r="I19" s="332"/>
      <c r="J19" s="333"/>
      <c r="K19" s="134"/>
    </row>
    <row r="20" spans="1:11" ht="36" customHeight="1" thickBot="1" x14ac:dyDescent="0.25">
      <c r="A20" s="130"/>
      <c r="B20" s="334"/>
      <c r="C20" s="335"/>
      <c r="D20" s="335"/>
      <c r="E20" s="335"/>
      <c r="F20" s="335"/>
      <c r="G20" s="335"/>
      <c r="H20" s="335"/>
      <c r="I20" s="335"/>
      <c r="J20" s="336"/>
      <c r="K20" s="134"/>
    </row>
    <row r="21" spans="1:11" ht="36" customHeight="1" x14ac:dyDescent="0.2">
      <c r="A21" s="130"/>
      <c r="B21" s="283" t="s">
        <v>967</v>
      </c>
      <c r="C21" s="284"/>
      <c r="D21" s="285"/>
      <c r="E21" s="283" t="s">
        <v>968</v>
      </c>
      <c r="F21" s="284"/>
      <c r="G21" s="285"/>
      <c r="H21" s="283" t="s">
        <v>969</v>
      </c>
      <c r="I21" s="284"/>
      <c r="J21" s="285"/>
      <c r="K21" s="134"/>
    </row>
    <row r="22" spans="1:11" ht="29.25" customHeight="1" thickBot="1" x14ac:dyDescent="0.25">
      <c r="A22" s="130"/>
      <c r="B22" s="286"/>
      <c r="C22" s="287"/>
      <c r="D22" s="288"/>
      <c r="E22" s="286"/>
      <c r="F22" s="287"/>
      <c r="G22" s="288"/>
      <c r="H22" s="286"/>
      <c r="I22" s="287"/>
      <c r="J22" s="288"/>
      <c r="K22" s="134"/>
    </row>
    <row r="23" spans="1:11" ht="36" customHeight="1" x14ac:dyDescent="0.35">
      <c r="A23" s="130"/>
      <c r="B23" s="283" t="s">
        <v>961</v>
      </c>
      <c r="C23" s="284"/>
      <c r="D23" s="285"/>
      <c r="E23" s="283" t="s">
        <v>962</v>
      </c>
      <c r="F23" s="284"/>
      <c r="G23" s="285"/>
      <c r="H23" s="144"/>
      <c r="I23" s="144"/>
      <c r="J23" s="144"/>
      <c r="K23" s="134"/>
    </row>
    <row r="24" spans="1:11" ht="29.25" customHeight="1" thickBot="1" x14ac:dyDescent="0.4">
      <c r="A24" s="130"/>
      <c r="B24" s="286"/>
      <c r="C24" s="287"/>
      <c r="D24" s="288"/>
      <c r="E24" s="286"/>
      <c r="F24" s="287"/>
      <c r="G24" s="288"/>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04"/>
      <c r="D26" s="304"/>
      <c r="E26" s="304"/>
      <c r="F26" s="305"/>
      <c r="G26" s="49" t="s">
        <v>28</v>
      </c>
      <c r="H26" s="49" t="s">
        <v>29</v>
      </c>
      <c r="I26" s="49" t="s">
        <v>30</v>
      </c>
      <c r="J26" s="149" t="s">
        <v>31</v>
      </c>
      <c r="K26" s="134"/>
    </row>
    <row r="27" spans="1:11" ht="16.5" x14ac:dyDescent="0.2">
      <c r="A27" s="130"/>
      <c r="B27" s="301" t="s">
        <v>970</v>
      </c>
      <c r="C27" s="302"/>
      <c r="D27" s="302"/>
      <c r="E27" s="302"/>
      <c r="F27" s="303"/>
      <c r="G27" s="258">
        <v>11021</v>
      </c>
      <c r="H27" s="258">
        <v>12690</v>
      </c>
      <c r="I27" s="258">
        <v>-1669</v>
      </c>
      <c r="J27" s="262">
        <v>-0.13200000000000001</v>
      </c>
      <c r="K27" s="134"/>
    </row>
    <row r="28" spans="1:11" ht="15" x14ac:dyDescent="0.2">
      <c r="A28" s="130"/>
      <c r="B28" s="289" t="s">
        <v>24</v>
      </c>
      <c r="C28" s="290"/>
      <c r="D28" s="290"/>
      <c r="E28" s="290"/>
      <c r="F28" s="291"/>
      <c r="G28" s="259">
        <v>2625</v>
      </c>
      <c r="H28" s="259">
        <v>2795</v>
      </c>
      <c r="I28" s="259">
        <v>-170</v>
      </c>
      <c r="J28" s="255">
        <v>-6.0999999999999999E-2</v>
      </c>
      <c r="K28" s="134"/>
    </row>
    <row r="29" spans="1:11" ht="15" x14ac:dyDescent="0.2">
      <c r="A29" s="130"/>
      <c r="B29" s="292" t="s">
        <v>25</v>
      </c>
      <c r="C29" s="293"/>
      <c r="D29" s="293"/>
      <c r="E29" s="293"/>
      <c r="F29" s="294"/>
      <c r="G29" s="260">
        <v>894</v>
      </c>
      <c r="H29" s="260">
        <v>1035</v>
      </c>
      <c r="I29" s="260">
        <v>-141</v>
      </c>
      <c r="J29" s="256">
        <v>-0.13600000000000001</v>
      </c>
      <c r="K29" s="134"/>
    </row>
    <row r="30" spans="1:11" ht="15" x14ac:dyDescent="0.2">
      <c r="A30" s="130"/>
      <c r="B30" s="295" t="s">
        <v>26</v>
      </c>
      <c r="C30" s="296"/>
      <c r="D30" s="296"/>
      <c r="E30" s="296"/>
      <c r="F30" s="297"/>
      <c r="G30" s="260">
        <v>2515</v>
      </c>
      <c r="H30" s="260">
        <v>2889</v>
      </c>
      <c r="I30" s="260">
        <v>-374</v>
      </c>
      <c r="J30" s="256">
        <v>-0.129</v>
      </c>
      <c r="K30" s="134"/>
    </row>
    <row r="31" spans="1:11" ht="15" x14ac:dyDescent="0.2">
      <c r="A31" s="130"/>
      <c r="B31" s="298" t="s">
        <v>27</v>
      </c>
      <c r="C31" s="299"/>
      <c r="D31" s="299"/>
      <c r="E31" s="299"/>
      <c r="F31" s="300"/>
      <c r="G31" s="261">
        <v>4987</v>
      </c>
      <c r="H31" s="261">
        <v>5971</v>
      </c>
      <c r="I31" s="261">
        <v>-984</v>
      </c>
      <c r="J31" s="257">
        <v>-0.16500000000000001</v>
      </c>
      <c r="K31" s="134"/>
    </row>
    <row r="32" spans="1:11" ht="16.5" x14ac:dyDescent="0.2">
      <c r="A32" s="130"/>
      <c r="B32" s="301" t="s">
        <v>241</v>
      </c>
      <c r="C32" s="302"/>
      <c r="D32" s="302"/>
      <c r="E32" s="302"/>
      <c r="F32" s="303"/>
      <c r="G32" s="258">
        <v>133027</v>
      </c>
      <c r="H32" s="258">
        <v>148983</v>
      </c>
      <c r="I32" s="258">
        <v>-15956</v>
      </c>
      <c r="J32" s="262">
        <v>-0.107</v>
      </c>
      <c r="K32" s="134"/>
    </row>
    <row r="33" spans="1:11" ht="15" x14ac:dyDescent="0.2">
      <c r="A33" s="130"/>
      <c r="B33" s="289" t="s">
        <v>24</v>
      </c>
      <c r="C33" s="290"/>
      <c r="D33" s="290"/>
      <c r="E33" s="290"/>
      <c r="F33" s="291"/>
      <c r="G33" s="259">
        <v>32735</v>
      </c>
      <c r="H33" s="259">
        <v>34831</v>
      </c>
      <c r="I33" s="259">
        <v>-2096</v>
      </c>
      <c r="J33" s="255">
        <v>-0.06</v>
      </c>
      <c r="K33" s="134"/>
    </row>
    <row r="34" spans="1:11" ht="15" x14ac:dyDescent="0.2">
      <c r="A34" s="130"/>
      <c r="B34" s="292" t="s">
        <v>25</v>
      </c>
      <c r="C34" s="293"/>
      <c r="D34" s="293"/>
      <c r="E34" s="293"/>
      <c r="F34" s="294"/>
      <c r="G34" s="260">
        <v>9516</v>
      </c>
      <c r="H34" s="260">
        <v>10519</v>
      </c>
      <c r="I34" s="260">
        <v>-1003</v>
      </c>
      <c r="J34" s="256">
        <v>-9.5000000000000001E-2</v>
      </c>
      <c r="K34" s="134"/>
    </row>
    <row r="35" spans="1:11" ht="15" x14ac:dyDescent="0.2">
      <c r="A35" s="130"/>
      <c r="B35" s="295" t="s">
        <v>26</v>
      </c>
      <c r="C35" s="296"/>
      <c r="D35" s="296"/>
      <c r="E35" s="296"/>
      <c r="F35" s="297"/>
      <c r="G35" s="260">
        <v>46998</v>
      </c>
      <c r="H35" s="260">
        <v>52669</v>
      </c>
      <c r="I35" s="260">
        <v>-5671</v>
      </c>
      <c r="J35" s="256">
        <v>-0.108</v>
      </c>
      <c r="K35" s="134"/>
    </row>
    <row r="36" spans="1:11" ht="15.75" thickBot="1" x14ac:dyDescent="0.25">
      <c r="A36" s="130"/>
      <c r="B36" s="337" t="s">
        <v>27</v>
      </c>
      <c r="C36" s="338"/>
      <c r="D36" s="338"/>
      <c r="E36" s="338"/>
      <c r="F36" s="339"/>
      <c r="G36" s="260">
        <v>43778</v>
      </c>
      <c r="H36" s="260">
        <v>50964</v>
      </c>
      <c r="I36" s="260">
        <v>-7186</v>
      </c>
      <c r="J36" s="256">
        <v>-0.14099999999999999</v>
      </c>
      <c r="K36" s="134"/>
    </row>
    <row r="37" spans="1:11" ht="15.75" customHeight="1" thickBot="1" x14ac:dyDescent="0.25">
      <c r="A37" s="130"/>
      <c r="B37" s="328" t="s">
        <v>975</v>
      </c>
      <c r="C37" s="329"/>
      <c r="D37" s="329"/>
      <c r="E37" s="329"/>
      <c r="F37" s="329"/>
      <c r="G37" s="329"/>
      <c r="H37" s="329"/>
      <c r="I37" s="329"/>
      <c r="J37" s="330"/>
      <c r="K37" s="134"/>
    </row>
    <row r="38" spans="1:11" ht="15" customHeight="1" x14ac:dyDescent="0.2">
      <c r="A38" s="150"/>
      <c r="B38" s="151"/>
      <c r="C38" s="151"/>
      <c r="D38" s="151"/>
      <c r="E38" s="151"/>
      <c r="F38" s="151"/>
      <c r="G38" s="151"/>
      <c r="H38" s="151"/>
      <c r="I38" s="151"/>
      <c r="J38" s="151"/>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5" t="s">
        <v>301</v>
      </c>
      <c r="D2" s="356"/>
      <c r="E2" s="356"/>
      <c r="F2" s="356"/>
      <c r="G2" s="356"/>
      <c r="H2" s="356"/>
      <c r="I2" s="356"/>
      <c r="J2" s="356"/>
      <c r="K2" s="357"/>
      <c r="L2" s="355" t="s">
        <v>306</v>
      </c>
      <c r="M2" s="356"/>
      <c r="N2" s="356"/>
      <c r="O2" s="357"/>
      <c r="P2" s="28"/>
    </row>
    <row r="3" spans="1:16" ht="24" customHeight="1" thickBot="1" x14ac:dyDescent="0.4">
      <c r="A3" s="25"/>
      <c r="B3" s="29"/>
      <c r="C3" s="358"/>
      <c r="D3" s="359"/>
      <c r="E3" s="359"/>
      <c r="F3" s="359"/>
      <c r="G3" s="359"/>
      <c r="H3" s="359"/>
      <c r="I3" s="359"/>
      <c r="J3" s="359"/>
      <c r="K3" s="360"/>
      <c r="L3" s="358" t="str">
        <f>Transformation!B4</f>
        <v>As of: October 03, 2015</v>
      </c>
      <c r="M3" s="359"/>
      <c r="N3" s="359"/>
      <c r="O3" s="360"/>
      <c r="P3" s="28"/>
    </row>
    <row r="4" spans="1:16" ht="51.75" customHeight="1" thickBot="1" x14ac:dyDescent="0.35">
      <c r="A4" s="30"/>
      <c r="B4" s="248" t="s">
        <v>462</v>
      </c>
      <c r="C4" s="361" t="s">
        <v>310</v>
      </c>
      <c r="D4" s="362"/>
      <c r="E4" s="362"/>
      <c r="F4" s="362"/>
      <c r="G4" s="362"/>
      <c r="H4" s="362"/>
      <c r="I4" s="362"/>
      <c r="J4" s="362"/>
      <c r="K4" s="362"/>
      <c r="L4" s="362"/>
      <c r="M4" s="362"/>
      <c r="N4" s="362"/>
      <c r="O4" s="363"/>
      <c r="P4" s="28"/>
    </row>
    <row r="5" spans="1:16" ht="27" customHeight="1" thickBot="1" x14ac:dyDescent="0.25">
      <c r="A5" s="30"/>
      <c r="B5" s="26"/>
      <c r="C5" s="364" t="s">
        <v>1049</v>
      </c>
      <c r="D5" s="365"/>
      <c r="E5" s="365"/>
      <c r="F5" s="365"/>
      <c r="G5" s="365"/>
      <c r="H5" s="365"/>
      <c r="I5" s="365"/>
      <c r="J5" s="365"/>
      <c r="K5" s="365"/>
      <c r="L5" s="365"/>
      <c r="M5" s="365"/>
      <c r="N5" s="365"/>
      <c r="O5" s="366"/>
      <c r="P5" s="28"/>
    </row>
    <row r="6" spans="1:16" ht="55.5" customHeight="1" x14ac:dyDescent="0.2">
      <c r="A6" s="30"/>
      <c r="B6" s="31"/>
      <c r="C6" s="32" t="s">
        <v>196</v>
      </c>
      <c r="D6" s="367" t="s">
        <v>16</v>
      </c>
      <c r="E6" s="368"/>
      <c r="F6" s="33" t="s">
        <v>199</v>
      </c>
      <c r="G6" s="367" t="s">
        <v>204</v>
      </c>
      <c r="H6" s="369"/>
      <c r="I6" s="33" t="s">
        <v>202</v>
      </c>
      <c r="J6" s="373" t="s">
        <v>14</v>
      </c>
      <c r="K6" s="374"/>
      <c r="L6" s="33" t="s">
        <v>207</v>
      </c>
      <c r="M6" s="370" t="s">
        <v>88</v>
      </c>
      <c r="N6" s="371"/>
      <c r="O6" s="372"/>
      <c r="P6" s="28"/>
    </row>
    <row r="7" spans="1:16" ht="51.75" customHeight="1" x14ac:dyDescent="0.2">
      <c r="A7" s="30"/>
      <c r="B7" s="34"/>
      <c r="C7" s="35" t="s">
        <v>197</v>
      </c>
      <c r="D7" s="343" t="s">
        <v>0</v>
      </c>
      <c r="E7" s="344"/>
      <c r="F7" s="36" t="s">
        <v>200</v>
      </c>
      <c r="G7" s="345" t="s">
        <v>205</v>
      </c>
      <c r="H7" s="345"/>
      <c r="I7" s="36" t="s">
        <v>203</v>
      </c>
      <c r="J7" s="375" t="s">
        <v>19</v>
      </c>
      <c r="K7" s="376"/>
      <c r="L7" s="36" t="s">
        <v>208</v>
      </c>
      <c r="M7" s="379" t="s">
        <v>90</v>
      </c>
      <c r="N7" s="380"/>
      <c r="O7" s="381"/>
      <c r="P7" s="28"/>
    </row>
    <row r="8" spans="1:16" ht="51.75" customHeight="1" thickBot="1" x14ac:dyDescent="0.25">
      <c r="A8" s="25"/>
      <c r="B8" s="28"/>
      <c r="C8" s="37" t="s">
        <v>198</v>
      </c>
      <c r="D8" s="346" t="s">
        <v>18</v>
      </c>
      <c r="E8" s="347"/>
      <c r="F8" s="38" t="s">
        <v>201</v>
      </c>
      <c r="G8" s="348" t="s">
        <v>17</v>
      </c>
      <c r="H8" s="348"/>
      <c r="I8" s="38" t="s">
        <v>206</v>
      </c>
      <c r="J8" s="377" t="s">
        <v>87</v>
      </c>
      <c r="K8" s="378"/>
      <c r="L8" s="38" t="s">
        <v>209</v>
      </c>
      <c r="M8" s="352" t="s">
        <v>89</v>
      </c>
      <c r="N8" s="353"/>
      <c r="O8" s="354"/>
      <c r="P8" s="28"/>
    </row>
    <row r="9" spans="1:16" x14ac:dyDescent="0.2">
      <c r="A9" s="28"/>
      <c r="B9" s="28"/>
      <c r="C9" s="39" t="s">
        <v>711</v>
      </c>
      <c r="D9" s="39" t="s">
        <v>713</v>
      </c>
      <c r="E9" s="39" t="s">
        <v>712</v>
      </c>
      <c r="F9" s="39" t="s">
        <v>715</v>
      </c>
      <c r="G9" s="39" t="s">
        <v>714</v>
      </c>
      <c r="H9" s="39" t="s">
        <v>717</v>
      </c>
      <c r="I9" s="39" t="s">
        <v>716</v>
      </c>
      <c r="J9" s="39" t="s">
        <v>927</v>
      </c>
      <c r="K9" s="39" t="s">
        <v>928</v>
      </c>
      <c r="L9" s="39" t="s">
        <v>930</v>
      </c>
      <c r="M9" s="39" t="s">
        <v>1050</v>
      </c>
      <c r="N9" s="39" t="s">
        <v>931</v>
      </c>
      <c r="O9" s="39" t="s">
        <v>932</v>
      </c>
      <c r="P9" s="28"/>
    </row>
    <row r="10" spans="1:16" ht="15.75" customHeight="1" x14ac:dyDescent="0.2">
      <c r="A10" s="25"/>
      <c r="B10" s="26"/>
      <c r="C10" s="349" t="s">
        <v>299</v>
      </c>
      <c r="D10" s="349"/>
      <c r="E10" s="349"/>
      <c r="F10" s="349"/>
      <c r="G10" s="349"/>
      <c r="H10" s="349"/>
      <c r="I10" s="349"/>
      <c r="J10" s="349"/>
      <c r="K10" s="349"/>
      <c r="L10" s="349"/>
      <c r="M10" s="349"/>
      <c r="N10" s="349"/>
      <c r="O10" s="349"/>
      <c r="P10" s="28"/>
    </row>
    <row r="11" spans="1:16" ht="32.25" customHeight="1" x14ac:dyDescent="0.2">
      <c r="A11" s="25"/>
      <c r="B11" s="26"/>
      <c r="C11" s="350" t="s">
        <v>232</v>
      </c>
      <c r="D11" s="350" t="s">
        <v>140</v>
      </c>
      <c r="E11" s="350" t="s">
        <v>233</v>
      </c>
      <c r="F11" s="350" t="s">
        <v>195</v>
      </c>
      <c r="G11" s="350" t="s">
        <v>210</v>
      </c>
      <c r="H11" s="350" t="s">
        <v>212</v>
      </c>
      <c r="I11" s="350" t="s">
        <v>213</v>
      </c>
      <c r="J11" s="384" t="s">
        <v>1061</v>
      </c>
      <c r="K11" s="384" t="s">
        <v>1062</v>
      </c>
      <c r="L11" s="382" t="s">
        <v>1059</v>
      </c>
      <c r="M11" s="383"/>
      <c r="N11" s="382" t="s">
        <v>1060</v>
      </c>
      <c r="O11" s="383"/>
      <c r="P11" s="28"/>
    </row>
    <row r="12" spans="1:16" ht="32.25" customHeight="1" x14ac:dyDescent="0.2">
      <c r="A12" s="25"/>
      <c r="B12" s="26"/>
      <c r="C12" s="351"/>
      <c r="D12" s="351"/>
      <c r="E12" s="351"/>
      <c r="F12" s="351"/>
      <c r="G12" s="351"/>
      <c r="H12" s="351"/>
      <c r="I12" s="351"/>
      <c r="J12" s="385"/>
      <c r="K12" s="385"/>
      <c r="L12" s="40" t="s">
        <v>933</v>
      </c>
      <c r="M12" s="40" t="s">
        <v>938</v>
      </c>
      <c r="N12" s="40" t="s">
        <v>933</v>
      </c>
      <c r="O12" s="40" t="s">
        <v>938</v>
      </c>
      <c r="P12" s="28"/>
    </row>
    <row r="13" spans="1:16" x14ac:dyDescent="0.2">
      <c r="A13" s="25"/>
      <c r="B13" s="41" t="s">
        <v>1057</v>
      </c>
      <c r="C13" s="155">
        <f>IF($B13=" ","",IFERROR(INDEX(MMWR_RATING_RO_ROLLUP[],MATCH($B13,MMWR_RATING_RO_ROLLUP[MMWR_RATING_RO_ROLLUP],0),MATCH(C$9,MMWR_RATING_RO_ROLLUP[#Headers],0)),"ERROR"))</f>
        <v>368771</v>
      </c>
      <c r="D13" s="156">
        <f>IF($B13=" ","",IFERROR(INDEX(MMWR_RATING_RO_ROLLUP[],MATCH($B13,MMWR_RATING_RO_ROLLUP[MMWR_RATING_RO_ROLLUP],0),MATCH(D$9,MMWR_RATING_RO_ROLLUP[#Headers],0)),"ERROR"))</f>
        <v>91.908528598999993</v>
      </c>
      <c r="E13" s="157">
        <f>IF($B13=" ","",IFERROR(INDEX(MMWR_RATING_RO_ROLLUP[],MATCH($B13,MMWR_RATING_RO_ROLLUP[MMWR_RATING_RO_ROLLUP],0),MATCH(E$9,MMWR_RATING_RO_ROLLUP[#Headers],0))/$C13,"ERROR"))</f>
        <v>0.19693251367379755</v>
      </c>
      <c r="F13" s="155">
        <f>IF($B13=" ","",IFERROR(INDEX(MMWR_RATING_RO_ROLLUP[],MATCH($B13,MMWR_RATING_RO_ROLLUP[MMWR_RATING_RO_ROLLUP],0),MATCH(F$9,MMWR_RATING_RO_ROLLUP[#Headers],0)),"ERROR"))</f>
        <v>8836</v>
      </c>
      <c r="G13" s="155">
        <f>IF($B13=" ","",IFERROR(INDEX(MMWR_RATING_RO_ROLLUP[],MATCH($B13,MMWR_RATING_RO_ROLLUP[MMWR_RATING_RO_ROLLUP],0),MATCH(G$9,MMWR_RATING_RO_ROLLUP[#Headers],0)),"ERROR"))</f>
        <v>8836</v>
      </c>
      <c r="H13" s="156">
        <f>IF($B13=" ","",IFERROR(INDEX(MMWR_RATING_RO_ROLLUP[],MATCH($B13,MMWR_RATING_RO_ROLLUP[MMWR_RATING_RO_ROLLUP],0),MATCH(H$9,MMWR_RATING_RO_ROLLUP[#Headers],0)),"ERROR"))</f>
        <v>129.0985740154</v>
      </c>
      <c r="I13" s="156">
        <f>IF($B13=" ","",IFERROR(INDEX(MMWR_RATING_RO_ROLLUP[],MATCH($B13,MMWR_RATING_RO_ROLLUP[MMWR_RATING_RO_ROLLUP],0),MATCH(I$9,MMWR_RATING_RO_ROLLUP[#Headers],0)),"ERROR"))</f>
        <v>129.0985740154</v>
      </c>
      <c r="J13" s="42"/>
      <c r="K13" s="42"/>
      <c r="L13" s="42"/>
      <c r="M13" s="42"/>
      <c r="N13" s="42"/>
      <c r="O13" s="42"/>
      <c r="P13" s="28"/>
    </row>
    <row r="14" spans="1:16" x14ac:dyDescent="0.2">
      <c r="A14" s="25"/>
      <c r="B14" s="341" t="s">
        <v>739</v>
      </c>
      <c r="C14" s="342"/>
      <c r="D14" s="342"/>
      <c r="E14" s="342"/>
      <c r="F14" s="342"/>
      <c r="G14" s="342"/>
      <c r="H14" s="342"/>
      <c r="I14" s="342"/>
      <c r="J14" s="342"/>
      <c r="K14" s="342"/>
      <c r="L14" s="342"/>
      <c r="M14" s="342"/>
      <c r="N14" s="342"/>
      <c r="O14" s="342"/>
      <c r="P14" s="28"/>
    </row>
    <row r="15" spans="1:16" x14ac:dyDescent="0.2">
      <c r="A15" s="25"/>
      <c r="B15" s="41" t="s">
        <v>735</v>
      </c>
      <c r="C15" s="155">
        <f>IF($B15=" ","",IFERROR(INDEX(MMWR_RATING_RO_ROLLUP[],MATCH($B15,MMWR_RATING_RO_ROLLUP[MMWR_RATING_RO_ROLLUP],0),MATCH(C$9,MMWR_RATING_RO_ROLLUP[#Headers],0)),"ERROR"))</f>
        <v>325890</v>
      </c>
      <c r="D15" s="156">
        <f>IF($B15=" ","",IFERROR(INDEX(MMWR_RATING_RO_ROLLUP[],MATCH($B15,MMWR_RATING_RO_ROLLUP[MMWR_RATING_RO_ROLLUP],0),MATCH(D$9,MMWR_RATING_RO_ROLLUP[#Headers],0)),"ERROR"))</f>
        <v>95.979462395300004</v>
      </c>
      <c r="E15" s="157">
        <f>IF($B15=" ","",IFERROR(INDEX(MMWR_RATING_RO_ROLLUP[],MATCH($B15,MMWR_RATING_RO_ROLLUP[MMWR_RATING_RO_ROLLUP],0),MATCH(E$9,MMWR_RATING_RO_ROLLUP[#Headers],0))/$C15,"ERROR"))</f>
        <v>0.21309644358525884</v>
      </c>
      <c r="F15" s="155">
        <f>IF($B15=" ","",IFERROR(INDEX(MMWR_RATING_RO_ROLLUP[],MATCH($B15,MMWR_RATING_RO_ROLLUP[MMWR_RATING_RO_ROLLUP],0),MATCH(F$9,MMWR_RATING_RO_ROLLUP[#Headers],0)),"ERROR"))</f>
        <v>7725</v>
      </c>
      <c r="G15" s="155">
        <f>IF($B15=" ","",IFERROR(INDEX(MMWR_RATING_RO_ROLLUP[],MATCH($B15,MMWR_RATING_RO_ROLLUP[MMWR_RATING_RO_ROLLUP],0),MATCH(G$9,MMWR_RATING_RO_ROLLUP[#Headers],0)),"ERROR"))</f>
        <v>7725</v>
      </c>
      <c r="H15" s="156">
        <f>IF($B15=" ","",IFERROR(INDEX(MMWR_RATING_RO_ROLLUP[],MATCH($B15,MMWR_RATING_RO_ROLLUP[MMWR_RATING_RO_ROLLUP],0),MATCH(H$9,MMWR_RATING_RO_ROLLUP[#Headers],0)),"ERROR"))</f>
        <v>135.94796116500001</v>
      </c>
      <c r="I15" s="156">
        <f>IF($B15=" ","",IFERROR(INDEX(MMWR_RATING_RO_ROLLUP[],MATCH($B15,MMWR_RATING_RO_ROLLUP[MMWR_RATING_RO_ROLLUP],0),MATCH(I$9,MMWR_RATING_RO_ROLLUP[#Headers],0)),"ERROR"))</f>
        <v>135.94796116500001</v>
      </c>
      <c r="J15" s="158">
        <f>VLOOKUP($B$13,MMWR_ACCURACY_RO[],MATCH(J$9,MMWR_ACCURACY_RO[#Headers],0),0)</f>
        <v>0.95953654011001632</v>
      </c>
      <c r="K15" s="158">
        <f>VLOOKUP($B$13,MMWR_ACCURACY_RO[],MATCH(K$9,MMWR_ACCURACY_RO[#Headers],0),0)</f>
        <v>0.89012810386967411</v>
      </c>
      <c r="L15" s="158">
        <f>VLOOKUP($B$13,MMWR_ACCURACY_RO[],MATCH(L$9,MMWR_ACCURACY_RO[#Headers],0),0)</f>
        <v>0.9069563648847605</v>
      </c>
      <c r="M15" s="158">
        <f>VLOOKUP($B$13,MMWR_ACCURACY_RO[],MATCH(M$9,MMWR_ACCURACY_RO[#Headers],0),0)</f>
        <v>7.1656685642629012E-3</v>
      </c>
      <c r="N15" s="158">
        <f>VLOOKUP($B$13,MMWR_ACCURACY_RO[],MATCH(N$9,MMWR_ACCURACY_RO[#Headers],0),0)</f>
        <v>0.91196585287708043</v>
      </c>
      <c r="O15" s="158">
        <f>VLOOKUP($B$13,MMWR_ACCURACY_RO[],MATCH(O$9,MMWR_ACCURACY_RO[#Headers],0),0)</f>
        <v>8.6070797000832051E-3</v>
      </c>
      <c r="P15" s="28"/>
    </row>
    <row r="16" spans="1:16" x14ac:dyDescent="0.2">
      <c r="A16" s="25"/>
      <c r="B16" s="249" t="s">
        <v>376</v>
      </c>
      <c r="C16" s="155">
        <f>IF($B16=" ","",IFERROR(INDEX(MMWR_RATING_RO_ROLLUP[],MATCH($B16,MMWR_RATING_RO_ROLLUP[MMWR_RATING_RO_ROLLUP],0),MATCH(C$9,MMWR_RATING_RO_ROLLUP[#Headers],0)),"ERROR"))</f>
        <v>70769</v>
      </c>
      <c r="D16" s="156">
        <f>IF($B16=" ","",IFERROR(INDEX(MMWR_RATING_RO_ROLLUP[],MATCH($B16,MMWR_RATING_RO_ROLLUP[MMWR_RATING_RO_ROLLUP],0),MATCH(D$9,MMWR_RATING_RO_ROLLUP[#Headers],0)),"ERROR"))</f>
        <v>95.855883225699998</v>
      </c>
      <c r="E16" s="157">
        <f>IF($B16=" ","",IFERROR(INDEX(MMWR_RATING_RO_ROLLUP[],MATCH($B16,MMWR_RATING_RO_ROLLUP[MMWR_RATING_RO_ROLLUP],0),MATCH(E$9,MMWR_RATING_RO_ROLLUP[#Headers],0))/$C16,"ERROR"))</f>
        <v>0.20664415210049597</v>
      </c>
      <c r="F16" s="155">
        <f>IF($B16=" ","",IFERROR(INDEX(MMWR_RATING_RO_ROLLUP[],MATCH($B16,MMWR_RATING_RO_ROLLUP[MMWR_RATING_RO_ROLLUP],0),MATCH(F$9,MMWR_RATING_RO_ROLLUP[#Headers],0)),"ERROR"))</f>
        <v>1670</v>
      </c>
      <c r="G16" s="155">
        <f>IF($B16=" ","",IFERROR(INDEX(MMWR_RATING_RO_ROLLUP[],MATCH($B16,MMWR_RATING_RO_ROLLUP[MMWR_RATING_RO_ROLLUP],0),MATCH(G$9,MMWR_RATING_RO_ROLLUP[#Headers],0)),"ERROR"))</f>
        <v>1670</v>
      </c>
      <c r="H16" s="156">
        <f>IF($B16=" ","",IFERROR(INDEX(MMWR_RATING_RO_ROLLUP[],MATCH($B16,MMWR_RATING_RO_ROLLUP[MMWR_RATING_RO_ROLLUP],0),MATCH(H$9,MMWR_RATING_RO_ROLLUP[#Headers],0)),"ERROR"))</f>
        <v>136.35149700599999</v>
      </c>
      <c r="I16" s="156">
        <f>IF($B16=" ","",IFERROR(INDEX(MMWR_RATING_RO_ROLLUP[],MATCH($B16,MMWR_RATING_RO_ROLLUP[MMWR_RATING_RO_ROLLUP],0),MATCH(I$9,MMWR_RATING_RO_ROLLUP[#Headers],0)),"ERROR"))</f>
        <v>136.35149700599999</v>
      </c>
      <c r="J16" s="159">
        <f>IF($B16=" ","",IFERROR(VLOOKUP($B16,MMWR_ACCURACY_RO[],MATCH(J$9,MMWR_ACCURACY_RO[#Headers],0),0),"ERROR"))</f>
        <v>0.95566149543916568</v>
      </c>
      <c r="K16" s="159">
        <f>IF($B16=" ","",IFERROR(VLOOKUP($B16,MMWR_ACCURACY_RO[],MATCH(K$9,MMWR_ACCURACY_RO[#Headers],0),0),"ERROR"))</f>
        <v>0.87261636065690129</v>
      </c>
      <c r="L16" s="159">
        <f>IF($B16=" ","",IFERROR(VLOOKUP($B16,MMWR_ACCURACY_RO[],MATCH(L$9,MMWR_ACCURACY_RO[#Headers],0),0),"ERROR"))</f>
        <v>0.87970467698610177</v>
      </c>
      <c r="M16" s="159">
        <f>IF($B16=" ","",IFERROR(VLOOKUP($B16,MMWR_ACCURACY_RO[],MATCH(M$9,MMWR_ACCURACY_RO[#Headers],0),0),"ERROR"))</f>
        <v>1.5909832645357155E-2</v>
      </c>
      <c r="N16" s="159">
        <f>IF($B16=" ","",IFERROR(VLOOKUP($B16,MMWR_ACCURACY_RO[],MATCH(N$9,MMWR_ACCURACY_RO[#Headers],0),0),"ERROR"))</f>
        <v>0.90187379843879556</v>
      </c>
      <c r="O16" s="159">
        <f>IF($B16=" ","",IFERROR(VLOOKUP($B16,MMWR_ACCURACY_RO[],MATCH(O$9,MMWR_ACCURACY_RO[#Headers],0),0),"ERROR"))</f>
        <v>1.4862588137023919E-2</v>
      </c>
      <c r="P16" s="28"/>
    </row>
    <row r="17" spans="1:16" x14ac:dyDescent="0.2">
      <c r="A17" s="25"/>
      <c r="B17" s="8" t="str">
        <f>VLOOKUP($B$16,DISTRICT_RO[],2,0)</f>
        <v>Baltimore VSC</v>
      </c>
      <c r="C17" s="155">
        <f>IF($B17=" ","",IFERROR(INDEX(MMWR_RATING_RO_ROLLUP[],MATCH($B17,MMWR_RATING_RO_ROLLUP[MMWR_RATING_RO_ROLLUP],0),MATCH(C$9,MMWR_RATING_RO_ROLLUP[#Headers],0)),"ERROR"))</f>
        <v>3224</v>
      </c>
      <c r="D17" s="156">
        <f>IF($B17=" ","",IFERROR(INDEX(MMWR_RATING_RO_ROLLUP[],MATCH($B17,MMWR_RATING_RO_ROLLUP[MMWR_RATING_RO_ROLLUP],0),MATCH(D$9,MMWR_RATING_RO_ROLLUP[#Headers],0)),"ERROR"))</f>
        <v>76.703163771700005</v>
      </c>
      <c r="E17" s="157">
        <f>IF($B17=" ","",IFERROR(INDEX(MMWR_RATING_RO_ROLLUP[],MATCH($B17,MMWR_RATING_RO_ROLLUP[MMWR_RATING_RO_ROLLUP],0),MATCH(E$9,MMWR_RATING_RO_ROLLUP[#Headers],0))/$C17,"ERROR"))</f>
        <v>0.12655086848635236</v>
      </c>
      <c r="F17" s="155">
        <f>IF($B17=" ","",IFERROR(INDEX(MMWR_RATING_RO_ROLLUP[],MATCH($B17,MMWR_RATING_RO_ROLLUP[MMWR_RATING_RO_ROLLUP],0),MATCH(F$9,MMWR_RATING_RO_ROLLUP[#Headers],0)),"ERROR"))</f>
        <v>83</v>
      </c>
      <c r="G17" s="155">
        <f>IF($B17=" ","",IFERROR(INDEX(MMWR_RATING_RO_ROLLUP[],MATCH($B17,MMWR_RATING_RO_ROLLUP[MMWR_RATING_RO_ROLLUP],0),MATCH(G$9,MMWR_RATING_RO_ROLLUP[#Headers],0)),"ERROR"))</f>
        <v>83</v>
      </c>
      <c r="H17" s="156">
        <f>IF($B17=" ","",IFERROR(INDEX(MMWR_RATING_RO_ROLLUP[],MATCH($B17,MMWR_RATING_RO_ROLLUP[MMWR_RATING_RO_ROLLUP],0),MATCH(H$9,MMWR_RATING_RO_ROLLUP[#Headers],0)),"ERROR"))</f>
        <v>115.3493975904</v>
      </c>
      <c r="I17" s="156">
        <f>IF($B17=" ","",IFERROR(INDEX(MMWR_RATING_RO_ROLLUP[],MATCH($B17,MMWR_RATING_RO_ROLLUP[MMWR_RATING_RO_ROLLUP],0),MATCH(I$9,MMWR_RATING_RO_ROLLUP[#Headers],0)),"ERROR"))</f>
        <v>115.3493975904</v>
      </c>
      <c r="J17" s="159">
        <f>IF($B17=" ","",IFERROR(VLOOKUP($B17,MMWR_ACCURACY_RO[],MATCH(J$9,MMWR_ACCURACY_RO[#Headers],0),0),"ERROR"))</f>
        <v>0.94848971413170813</v>
      </c>
      <c r="K17" s="159">
        <f>IF($B17=" ","",IFERROR(VLOOKUP($B17,MMWR_ACCURACY_RO[],MATCH(K$9,MMWR_ACCURACY_RO[#Headers],0),0),"ERROR"))</f>
        <v>0.81051553268534404</v>
      </c>
      <c r="L17" s="159">
        <f>IF($B17=" ","",IFERROR(VLOOKUP($B17,MMWR_ACCURACY_RO[],MATCH(L$9,MMWR_ACCURACY_RO[#Headers],0),0),"ERROR"))</f>
        <v>0.83324962708019168</v>
      </c>
      <c r="M17" s="159">
        <f>IF($B17=" ","",IFERROR(VLOOKUP($B17,MMWR_ACCURACY_RO[],MATCH(M$9,MMWR_ACCURACY_RO[#Headers],0),0),"ERROR"))</f>
        <v>4.8290081345219706E-2</v>
      </c>
      <c r="N17" s="159">
        <f>IF($B17=" ","",IFERROR(VLOOKUP($B17,MMWR_ACCURACY_RO[],MATCH(N$9,MMWR_ACCURACY_RO[#Headers],0),0),"ERROR"))</f>
        <v>0.84338225152880331</v>
      </c>
      <c r="O17" s="159">
        <f>IF($B17=" ","",IFERROR(VLOOKUP($B17,MMWR_ACCURACY_RO[],MATCH(O$9,MMWR_ACCURACY_RO[#Headers],0),0),"ERROR"))</f>
        <v>5.365842347724744E-2</v>
      </c>
      <c r="P17" s="28"/>
    </row>
    <row r="18" spans="1:16" x14ac:dyDescent="0.2">
      <c r="A18" s="25"/>
      <c r="B18" s="8" t="str">
        <f>VLOOKUP($B$16,DISTRICT_RO[],3,0)</f>
        <v>Boston VSC</v>
      </c>
      <c r="C18" s="155">
        <f>IF($B18=" ","",IFERROR(INDEX(MMWR_RATING_RO_ROLLUP[],MATCH($B18,MMWR_RATING_RO_ROLLUP[MMWR_RATING_RO_ROLLUP],0),MATCH(C$9,MMWR_RATING_RO_ROLLUP[#Headers],0)),"ERROR"))</f>
        <v>3128</v>
      </c>
      <c r="D18" s="156">
        <f>IF($B18=" ","",IFERROR(INDEX(MMWR_RATING_RO_ROLLUP[],MATCH($B18,MMWR_RATING_RO_ROLLUP[MMWR_RATING_RO_ROLLUP],0),MATCH(D$9,MMWR_RATING_RO_ROLLUP[#Headers],0)),"ERROR"))</f>
        <v>86.783248081799996</v>
      </c>
      <c r="E18" s="157">
        <f>IF($B18=" ","",IFERROR(INDEX(MMWR_RATING_RO_ROLLUP[],MATCH($B18,MMWR_RATING_RO_ROLLUP[MMWR_RATING_RO_ROLLUP],0),MATCH(E$9,MMWR_RATING_RO_ROLLUP[#Headers],0))/$C18,"ERROR"))</f>
        <v>0.22794117647058823</v>
      </c>
      <c r="F18" s="155">
        <f>IF($B18=" ","",IFERROR(INDEX(MMWR_RATING_RO_ROLLUP[],MATCH($B18,MMWR_RATING_RO_ROLLUP[MMWR_RATING_RO_ROLLUP],0),MATCH(F$9,MMWR_RATING_RO_ROLLUP[#Headers],0)),"ERROR"))</f>
        <v>93</v>
      </c>
      <c r="G18" s="155">
        <f>IF($B18=" ","",IFERROR(INDEX(MMWR_RATING_RO_ROLLUP[],MATCH($B18,MMWR_RATING_RO_ROLLUP[MMWR_RATING_RO_ROLLUP],0),MATCH(G$9,MMWR_RATING_RO_ROLLUP[#Headers],0)),"ERROR"))</f>
        <v>93</v>
      </c>
      <c r="H18" s="156">
        <f>IF($B18=" ","",IFERROR(INDEX(MMWR_RATING_RO_ROLLUP[],MATCH($B18,MMWR_RATING_RO_ROLLUP[MMWR_RATING_RO_ROLLUP],0),MATCH(H$9,MMWR_RATING_RO_ROLLUP[#Headers],0)),"ERROR"))</f>
        <v>103.9032258065</v>
      </c>
      <c r="I18" s="156">
        <f>IF($B18=" ","",IFERROR(INDEX(MMWR_RATING_RO_ROLLUP[],MATCH($B18,MMWR_RATING_RO_ROLLUP[MMWR_RATING_RO_ROLLUP],0),MATCH(I$9,MMWR_RATING_RO_ROLLUP[#Headers],0)),"ERROR"))</f>
        <v>103.9032258065</v>
      </c>
      <c r="J18" s="159">
        <f>IF($B18=" ","",IFERROR(VLOOKUP($B18,MMWR_ACCURACY_RO[],MATCH(J$9,MMWR_ACCURACY_RO[#Headers],0),0),"ERROR"))</f>
        <v>0.86809564584887078</v>
      </c>
      <c r="K18" s="159">
        <f>IF($B18=" ","",IFERROR(VLOOKUP($B18,MMWR_ACCURACY_RO[],MATCH(K$9,MMWR_ACCURACY_RO[#Headers],0),0),"ERROR"))</f>
        <v>0.75807019603239822</v>
      </c>
      <c r="L18" s="159">
        <f>IF($B18=" ","",IFERROR(VLOOKUP($B18,MMWR_ACCURACY_RO[],MATCH(L$9,MMWR_ACCURACY_RO[#Headers],0),0),"ERROR"))</f>
        <v>0.83051908217150094</v>
      </c>
      <c r="M18" s="159">
        <f>IF($B18=" ","",IFERROR(VLOOKUP($B18,MMWR_ACCURACY_RO[],MATCH(M$9,MMWR_ACCURACY_RO[#Headers],0),0),"ERROR"))</f>
        <v>5.7853653568502139E-2</v>
      </c>
      <c r="N18" s="159">
        <f>IF($B18=" ","",IFERROR(VLOOKUP($B18,MMWR_ACCURACY_RO[],MATCH(N$9,MMWR_ACCURACY_RO[#Headers],0),0),"ERROR"))</f>
        <v>0.9009942095054968</v>
      </c>
      <c r="O18" s="159">
        <f>IF($B18=" ","",IFERROR(VLOOKUP($B18,MMWR_ACCURACY_RO[],MATCH(O$9,MMWR_ACCURACY_RO[#Headers],0),0),"ERROR"))</f>
        <v>5.588256051773989E-2</v>
      </c>
      <c r="P18" s="28"/>
    </row>
    <row r="19" spans="1:16" x14ac:dyDescent="0.2">
      <c r="A19" s="25"/>
      <c r="B19" s="8" t="str">
        <f>VLOOKUP($B$16,DISTRICT_RO[],4,0)</f>
        <v>Buffalo VSC</v>
      </c>
      <c r="C19" s="155">
        <f>IF($B19=" ","",IFERROR(INDEX(MMWR_RATING_RO_ROLLUP[],MATCH($B19,MMWR_RATING_RO_ROLLUP[MMWR_RATING_RO_ROLLUP],0),MATCH(C$9,MMWR_RATING_RO_ROLLUP[#Headers],0)),"ERROR"))</f>
        <v>3762</v>
      </c>
      <c r="D19" s="156">
        <f>IF($B19=" ","",IFERROR(INDEX(MMWR_RATING_RO_ROLLUP[],MATCH($B19,MMWR_RATING_RO_ROLLUP[MMWR_RATING_RO_ROLLUP],0),MATCH(D$9,MMWR_RATING_RO_ROLLUP[#Headers],0)),"ERROR"))</f>
        <v>88.060340244599999</v>
      </c>
      <c r="E19" s="157">
        <f>IF($B19=" ","",IFERROR(INDEX(MMWR_RATING_RO_ROLLUP[],MATCH($B19,MMWR_RATING_RO_ROLLUP[MMWR_RATING_RO_ROLLUP],0),MATCH(E$9,MMWR_RATING_RO_ROLLUP[#Headers],0))/$C19,"ERROR"))</f>
        <v>0.18766613503455609</v>
      </c>
      <c r="F19" s="155">
        <f>IF($B19=" ","",IFERROR(INDEX(MMWR_RATING_RO_ROLLUP[],MATCH($B19,MMWR_RATING_RO_ROLLUP[MMWR_RATING_RO_ROLLUP],0),MATCH(F$9,MMWR_RATING_RO_ROLLUP[#Headers],0)),"ERROR"))</f>
        <v>92</v>
      </c>
      <c r="G19" s="155">
        <f>IF($B19=" ","",IFERROR(INDEX(MMWR_RATING_RO_ROLLUP[],MATCH($B19,MMWR_RATING_RO_ROLLUP[MMWR_RATING_RO_ROLLUP],0),MATCH(G$9,MMWR_RATING_RO_ROLLUP[#Headers],0)),"ERROR"))</f>
        <v>92</v>
      </c>
      <c r="H19" s="156">
        <f>IF($B19=" ","",IFERROR(INDEX(MMWR_RATING_RO_ROLLUP[],MATCH($B19,MMWR_RATING_RO_ROLLUP[MMWR_RATING_RO_ROLLUP],0),MATCH(H$9,MMWR_RATING_RO_ROLLUP[#Headers],0)),"ERROR"))</f>
        <v>169.66304347830001</v>
      </c>
      <c r="I19" s="156">
        <f>IF($B19=" ","",IFERROR(INDEX(MMWR_RATING_RO_ROLLUP[],MATCH($B19,MMWR_RATING_RO_ROLLUP[MMWR_RATING_RO_ROLLUP],0),MATCH(I$9,MMWR_RATING_RO_ROLLUP[#Headers],0)),"ERROR"))</f>
        <v>169.66304347830001</v>
      </c>
      <c r="J19" s="159">
        <f>IF($B19=" ","",IFERROR(VLOOKUP($B19,MMWR_ACCURACY_RO[],MATCH(J$9,MMWR_ACCURACY_RO[#Headers],0),0),"ERROR"))</f>
        <v>0.95347640889941976</v>
      </c>
      <c r="K19" s="159">
        <f>IF($B19=" ","",IFERROR(VLOOKUP($B19,MMWR_ACCURACY_RO[],MATCH(K$9,MMWR_ACCURACY_RO[#Headers],0),0),"ERROR"))</f>
        <v>0.85593254528583529</v>
      </c>
      <c r="L19" s="159">
        <f>IF($B19=" ","",IFERROR(VLOOKUP($B19,MMWR_ACCURACY_RO[],MATCH(L$9,MMWR_ACCURACY_RO[#Headers],0),0),"ERROR"))</f>
        <v>0.88603611226754297</v>
      </c>
      <c r="M19" s="159">
        <f>IF($B19=" ","",IFERROR(VLOOKUP($B19,MMWR_ACCURACY_RO[],MATCH(M$9,MMWR_ACCURACY_RO[#Headers],0),0),"ERROR"))</f>
        <v>4.7189400750131651E-2</v>
      </c>
      <c r="N19" s="159">
        <f>IF($B19=" ","",IFERROR(VLOOKUP($B19,MMWR_ACCURACY_RO[],MATCH(N$9,MMWR_ACCURACY_RO[#Headers],0),0),"ERROR"))</f>
        <v>0.88386871550414847</v>
      </c>
      <c r="O19" s="159">
        <f>IF($B19=" ","",IFERROR(VLOOKUP($B19,MMWR_ACCURACY_RO[],MATCH(O$9,MMWR_ACCURACY_RO[#Headers],0),0),"ERROR"))</f>
        <v>4.4963005748574363E-2</v>
      </c>
      <c r="P19" s="28"/>
    </row>
    <row r="20" spans="1:16" x14ac:dyDescent="0.2">
      <c r="A20" s="25"/>
      <c r="B20" s="8" t="str">
        <f>VLOOKUP($B$16,DISTRICT_RO[],5,0)</f>
        <v>Hartford VSC</v>
      </c>
      <c r="C20" s="155">
        <f>IF($B20=" ","",IFERROR(INDEX(MMWR_RATING_RO_ROLLUP[],MATCH($B20,MMWR_RATING_RO_ROLLUP[MMWR_RATING_RO_ROLLUP],0),MATCH(C$9,MMWR_RATING_RO_ROLLUP[#Headers],0)),"ERROR"))</f>
        <v>2164</v>
      </c>
      <c r="D20" s="156">
        <f>IF($B20=" ","",IFERROR(INDEX(MMWR_RATING_RO_ROLLUP[],MATCH($B20,MMWR_RATING_RO_ROLLUP[MMWR_RATING_RO_ROLLUP],0),MATCH(D$9,MMWR_RATING_RO_ROLLUP[#Headers],0)),"ERROR"))</f>
        <v>100.4842883549</v>
      </c>
      <c r="E20" s="157">
        <f>IF($B20=" ","",IFERROR(INDEX(MMWR_RATING_RO_ROLLUP[],MATCH($B20,MMWR_RATING_RO_ROLLUP[MMWR_RATING_RO_ROLLUP],0),MATCH(E$9,MMWR_RATING_RO_ROLLUP[#Headers],0))/$C20,"ERROR"))</f>
        <v>0.22781885397412199</v>
      </c>
      <c r="F20" s="155">
        <f>IF($B20=" ","",IFERROR(INDEX(MMWR_RATING_RO_ROLLUP[],MATCH($B20,MMWR_RATING_RO_ROLLUP[MMWR_RATING_RO_ROLLUP],0),MATCH(F$9,MMWR_RATING_RO_ROLLUP[#Headers],0)),"ERROR"))</f>
        <v>66</v>
      </c>
      <c r="G20" s="155">
        <f>IF($B20=" ","",IFERROR(INDEX(MMWR_RATING_RO_ROLLUP[],MATCH($B20,MMWR_RATING_RO_ROLLUP[MMWR_RATING_RO_ROLLUP],0),MATCH(G$9,MMWR_RATING_RO_ROLLUP[#Headers],0)),"ERROR"))</f>
        <v>66</v>
      </c>
      <c r="H20" s="156">
        <f>IF($B20=" ","",IFERROR(INDEX(MMWR_RATING_RO_ROLLUP[],MATCH($B20,MMWR_RATING_RO_ROLLUP[MMWR_RATING_RO_ROLLUP],0),MATCH(H$9,MMWR_RATING_RO_ROLLUP[#Headers],0)),"ERROR"))</f>
        <v>113.6212121212</v>
      </c>
      <c r="I20" s="156">
        <f>IF($B20=" ","",IFERROR(INDEX(MMWR_RATING_RO_ROLLUP[],MATCH($B20,MMWR_RATING_RO_ROLLUP[MMWR_RATING_RO_ROLLUP],0),MATCH(I$9,MMWR_RATING_RO_ROLLUP[#Headers],0)),"ERROR"))</f>
        <v>113.6212121212</v>
      </c>
      <c r="J20" s="159">
        <f>IF($B20=" ","",IFERROR(VLOOKUP($B20,MMWR_ACCURACY_RO[],MATCH(J$9,MMWR_ACCURACY_RO[#Headers],0),0),"ERROR"))</f>
        <v>0.94957430903608731</v>
      </c>
      <c r="K20" s="159">
        <f>IF($B20=" ","",IFERROR(VLOOKUP($B20,MMWR_ACCURACY_RO[],MATCH(K$9,MMWR_ACCURACY_RO[#Headers],0),0),"ERROR"))</f>
        <v>0.84864864864864875</v>
      </c>
      <c r="L20" s="159">
        <f>IF($B20=" ","",IFERROR(VLOOKUP($B20,MMWR_ACCURACY_RO[],MATCH(L$9,MMWR_ACCURACY_RO[#Headers],0),0),"ERROR"))</f>
        <v>0.91445426890472381</v>
      </c>
      <c r="M20" s="159">
        <f>IF($B20=" ","",IFERROR(VLOOKUP($B20,MMWR_ACCURACY_RO[],MATCH(M$9,MMWR_ACCURACY_RO[#Headers],0),0),"ERROR"))</f>
        <v>4.4264182063287263E-2</v>
      </c>
      <c r="N20" s="159">
        <f>IF($B20=" ","",IFERROR(VLOOKUP($B20,MMWR_ACCURACY_RO[],MATCH(N$9,MMWR_ACCURACY_RO[#Headers],0),0),"ERROR"))</f>
        <v>0.98450809545484108</v>
      </c>
      <c r="O20" s="159">
        <f>IF($B20=" ","",IFERROR(VLOOKUP($B20,MMWR_ACCURACY_RO[],MATCH(O$9,MMWR_ACCURACY_RO[#Headers],0),0),"ERROR"))</f>
        <v>1.9352567533817505E-2</v>
      </c>
      <c r="P20" s="28"/>
    </row>
    <row r="21" spans="1:16" x14ac:dyDescent="0.2">
      <c r="A21" s="25"/>
      <c r="B21" s="8" t="str">
        <f>VLOOKUP($B$16,DISTRICT_RO[],6,0)</f>
        <v>Huntington VSC</v>
      </c>
      <c r="C21" s="155">
        <f>IF($B21=" ","",IFERROR(INDEX(MMWR_RATING_RO_ROLLUP[],MATCH($B21,MMWR_RATING_RO_ROLLUP[MMWR_RATING_RO_ROLLUP],0),MATCH(C$9,MMWR_RATING_RO_ROLLUP[#Headers],0)),"ERROR"))</f>
        <v>4574</v>
      </c>
      <c r="D21" s="156">
        <f>IF($B21=" ","",IFERROR(INDEX(MMWR_RATING_RO_ROLLUP[],MATCH($B21,MMWR_RATING_RO_ROLLUP[MMWR_RATING_RO_ROLLUP],0),MATCH(D$9,MMWR_RATING_RO_ROLLUP[#Headers],0)),"ERROR"))</f>
        <v>98.008307826800007</v>
      </c>
      <c r="E21" s="157">
        <f>IF($B21=" ","",IFERROR(INDEX(MMWR_RATING_RO_ROLLUP[],MATCH($B21,MMWR_RATING_RO_ROLLUP[MMWR_RATING_RO_ROLLUP],0),MATCH(E$9,MMWR_RATING_RO_ROLLUP[#Headers],0))/$C21,"ERROR"))</f>
        <v>0.18473983384346304</v>
      </c>
      <c r="F21" s="155">
        <f>IF($B21=" ","",IFERROR(INDEX(MMWR_RATING_RO_ROLLUP[],MATCH($B21,MMWR_RATING_RO_ROLLUP[MMWR_RATING_RO_ROLLUP],0),MATCH(F$9,MMWR_RATING_RO_ROLLUP[#Headers],0)),"ERROR"))</f>
        <v>120</v>
      </c>
      <c r="G21" s="155">
        <f>IF($B21=" ","",IFERROR(INDEX(MMWR_RATING_RO_ROLLUP[],MATCH($B21,MMWR_RATING_RO_ROLLUP[MMWR_RATING_RO_ROLLUP],0),MATCH(G$9,MMWR_RATING_RO_ROLLUP[#Headers],0)),"ERROR"))</f>
        <v>120</v>
      </c>
      <c r="H21" s="156">
        <f>IF($B21=" ","",IFERROR(INDEX(MMWR_RATING_RO_ROLLUP[],MATCH($B21,MMWR_RATING_RO_ROLLUP[MMWR_RATING_RO_ROLLUP],0),MATCH(H$9,MMWR_RATING_RO_ROLLUP[#Headers],0)),"ERROR"))</f>
        <v>159.42500000000001</v>
      </c>
      <c r="I21" s="156">
        <f>IF($B21=" ","",IFERROR(INDEX(MMWR_RATING_RO_ROLLUP[],MATCH($B21,MMWR_RATING_RO_ROLLUP[MMWR_RATING_RO_ROLLUP],0),MATCH(I$9,MMWR_RATING_RO_ROLLUP[#Headers],0)),"ERROR"))</f>
        <v>159.42500000000001</v>
      </c>
      <c r="J21" s="159">
        <f>IF($B21=" ","",IFERROR(VLOOKUP($B21,MMWR_ACCURACY_RO[],MATCH(J$9,MMWR_ACCURACY_RO[#Headers],0),0),"ERROR"))</f>
        <v>0.92705238972070947</v>
      </c>
      <c r="K21" s="159">
        <f>IF($B21=" ","",IFERROR(VLOOKUP($B21,MMWR_ACCURACY_RO[],MATCH(K$9,MMWR_ACCURACY_RO[#Headers],0),0),"ERROR"))</f>
        <v>0.83964880952380971</v>
      </c>
      <c r="L21" s="159">
        <f>IF($B21=" ","",IFERROR(VLOOKUP($B21,MMWR_ACCURACY_RO[],MATCH(L$9,MMWR_ACCURACY_RO[#Headers],0),0),"ERROR"))</f>
        <v>0.897261413005362</v>
      </c>
      <c r="M21" s="159">
        <f>IF($B21=" ","",IFERROR(VLOOKUP($B21,MMWR_ACCURACY_RO[],MATCH(M$9,MMWR_ACCURACY_RO[#Headers],0),0),"ERROR"))</f>
        <v>4.3730700715829872E-2</v>
      </c>
      <c r="N21" s="159">
        <f>IF($B21=" ","",IFERROR(VLOOKUP($B21,MMWR_ACCURACY_RO[],MATCH(N$9,MMWR_ACCURACY_RO[#Headers],0),0),"ERROR"))</f>
        <v>0.90983668876273982</v>
      </c>
      <c r="O21" s="159">
        <f>IF($B21=" ","",IFERROR(VLOOKUP($B21,MMWR_ACCURACY_RO[],MATCH(O$9,MMWR_ACCURACY_RO[#Headers],0),0),"ERROR"))</f>
        <v>4.6903178248512416E-2</v>
      </c>
      <c r="P21" s="28"/>
    </row>
    <row r="22" spans="1:16" x14ac:dyDescent="0.2">
      <c r="A22" s="25"/>
      <c r="B22" s="8" t="str">
        <f>VLOOKUP($B$16,DISTRICT_RO[],7,0)</f>
        <v>Manchester VSC</v>
      </c>
      <c r="C22" s="155">
        <f>IF($B22=" ","",IFERROR(INDEX(MMWR_RATING_RO_ROLLUP[],MATCH($B22,MMWR_RATING_RO_ROLLUP[MMWR_RATING_RO_ROLLUP],0),MATCH(C$9,MMWR_RATING_RO_ROLLUP[#Headers],0)),"ERROR"))</f>
        <v>1346</v>
      </c>
      <c r="D22" s="156">
        <f>IF($B22=" ","",IFERROR(INDEX(MMWR_RATING_RO_ROLLUP[],MATCH($B22,MMWR_RATING_RO_ROLLUP[MMWR_RATING_RO_ROLLUP],0),MATCH(D$9,MMWR_RATING_RO_ROLLUP[#Headers],0)),"ERROR"))</f>
        <v>93.975482912299995</v>
      </c>
      <c r="E22" s="157">
        <f>IF($B22=" ","",IFERROR(INDEX(MMWR_RATING_RO_ROLLUP[],MATCH($B22,MMWR_RATING_RO_ROLLUP[MMWR_RATING_RO_ROLLUP],0),MATCH(E$9,MMWR_RATING_RO_ROLLUP[#Headers],0))/$C22,"ERROR"))</f>
        <v>0.21396731054977711</v>
      </c>
      <c r="F22" s="155">
        <f>IF($B22=" ","",IFERROR(INDEX(MMWR_RATING_RO_ROLLUP[],MATCH($B22,MMWR_RATING_RO_ROLLUP[MMWR_RATING_RO_ROLLUP],0),MATCH(F$9,MMWR_RATING_RO_ROLLUP[#Headers],0)),"ERROR"))</f>
        <v>19</v>
      </c>
      <c r="G22" s="155">
        <f>IF($B22=" ","",IFERROR(INDEX(MMWR_RATING_RO_ROLLUP[],MATCH($B22,MMWR_RATING_RO_ROLLUP[MMWR_RATING_RO_ROLLUP],0),MATCH(G$9,MMWR_RATING_RO_ROLLUP[#Headers],0)),"ERROR"))</f>
        <v>19</v>
      </c>
      <c r="H22" s="156">
        <f>IF($B22=" ","",IFERROR(INDEX(MMWR_RATING_RO_ROLLUP[],MATCH($B22,MMWR_RATING_RO_ROLLUP[MMWR_RATING_RO_ROLLUP],0),MATCH(H$9,MMWR_RATING_RO_ROLLUP[#Headers],0)),"ERROR"))</f>
        <v>163.31578947369999</v>
      </c>
      <c r="I22" s="156">
        <f>IF($B22=" ","",IFERROR(INDEX(MMWR_RATING_RO_ROLLUP[],MATCH($B22,MMWR_RATING_RO_ROLLUP[MMWR_RATING_RO_ROLLUP],0),MATCH(I$9,MMWR_RATING_RO_ROLLUP[#Headers],0)),"ERROR"))</f>
        <v>163.31578947369999</v>
      </c>
      <c r="J22" s="159">
        <f>IF($B22=" ","",IFERROR(VLOOKUP($B22,MMWR_ACCURACY_RO[],MATCH(J$9,MMWR_ACCURACY_RO[#Headers],0),0),"ERROR"))</f>
        <v>0.97817487015258753</v>
      </c>
      <c r="K22" s="159">
        <f>IF($B22=" ","",IFERROR(VLOOKUP($B22,MMWR_ACCURACY_RO[],MATCH(K$9,MMWR_ACCURACY_RO[#Headers],0),0),"ERROR"))</f>
        <v>0.96179998216515061</v>
      </c>
      <c r="L22" s="159">
        <f>IF($B22=" ","",IFERROR(VLOOKUP($B22,MMWR_ACCURACY_RO[],MATCH(L$9,MMWR_ACCURACY_RO[#Headers],0),0),"ERROR"))</f>
        <v>0.91674856993204445</v>
      </c>
      <c r="M22" s="159">
        <f>IF($B22=" ","",IFERROR(VLOOKUP($B22,MMWR_ACCURACY_RO[],MATCH(M$9,MMWR_ACCURACY_RO[#Headers],0),0),"ERROR"))</f>
        <v>3.9221948038425866E-2</v>
      </c>
      <c r="N22" s="159">
        <f>IF($B22=" ","",IFERROR(VLOOKUP($B22,MMWR_ACCURACY_RO[],MATCH(N$9,MMWR_ACCURACY_RO[#Headers],0),0),"ERROR"))</f>
        <v>0.94409539311296276</v>
      </c>
      <c r="O22" s="159">
        <f>IF($B22=" ","",IFERROR(VLOOKUP($B22,MMWR_ACCURACY_RO[],MATCH(O$9,MMWR_ACCURACY_RO[#Headers],0),0),"ERROR"))</f>
        <v>2.9968566142803254E-2</v>
      </c>
      <c r="P22" s="28"/>
    </row>
    <row r="23" spans="1:16" x14ac:dyDescent="0.2">
      <c r="A23" s="25"/>
      <c r="B23" s="8" t="str">
        <f>VLOOKUP($B$16,DISTRICT_RO[],8,0)</f>
        <v>New York VSC</v>
      </c>
      <c r="C23" s="155">
        <f>IF($B23=" ","",IFERROR(INDEX(MMWR_RATING_RO_ROLLUP[],MATCH($B23,MMWR_RATING_RO_ROLLUP[MMWR_RATING_RO_ROLLUP],0),MATCH(C$9,MMWR_RATING_RO_ROLLUP[#Headers],0)),"ERROR"))</f>
        <v>4288</v>
      </c>
      <c r="D23" s="156">
        <f>IF($B23=" ","",IFERROR(INDEX(MMWR_RATING_RO_ROLLUP[],MATCH($B23,MMWR_RATING_RO_ROLLUP[MMWR_RATING_RO_ROLLUP],0),MATCH(D$9,MMWR_RATING_RO_ROLLUP[#Headers],0)),"ERROR"))</f>
        <v>82.330923507500003</v>
      </c>
      <c r="E23" s="157">
        <f>IF($B23=" ","",IFERROR(INDEX(MMWR_RATING_RO_ROLLUP[],MATCH($B23,MMWR_RATING_RO_ROLLUP[MMWR_RATING_RO_ROLLUP],0),MATCH(E$9,MMWR_RATING_RO_ROLLUP[#Headers],0))/$C23,"ERROR"))</f>
        <v>0.13176305970149255</v>
      </c>
      <c r="F23" s="155">
        <f>IF($B23=" ","",IFERROR(INDEX(MMWR_RATING_RO_ROLLUP[],MATCH($B23,MMWR_RATING_RO_ROLLUP[MMWR_RATING_RO_ROLLUP],0),MATCH(F$9,MMWR_RATING_RO_ROLLUP[#Headers],0)),"ERROR"))</f>
        <v>97</v>
      </c>
      <c r="G23" s="155">
        <f>IF($B23=" ","",IFERROR(INDEX(MMWR_RATING_RO_ROLLUP[],MATCH($B23,MMWR_RATING_RO_ROLLUP[MMWR_RATING_RO_ROLLUP],0),MATCH(G$9,MMWR_RATING_RO_ROLLUP[#Headers],0)),"ERROR"))</f>
        <v>97</v>
      </c>
      <c r="H23" s="156">
        <f>IF($B23=" ","",IFERROR(INDEX(MMWR_RATING_RO_ROLLUP[],MATCH($B23,MMWR_RATING_RO_ROLLUP[MMWR_RATING_RO_ROLLUP],0),MATCH(H$9,MMWR_RATING_RO_ROLLUP[#Headers],0)),"ERROR"))</f>
        <v>135.1237113402</v>
      </c>
      <c r="I23" s="156">
        <f>IF($B23=" ","",IFERROR(INDEX(MMWR_RATING_RO_ROLLUP[],MATCH($B23,MMWR_RATING_RO_ROLLUP[MMWR_RATING_RO_ROLLUP],0),MATCH(I$9,MMWR_RATING_RO_ROLLUP[#Headers],0)),"ERROR"))</f>
        <v>135.1237113402</v>
      </c>
      <c r="J23" s="159">
        <f>IF($B23=" ","",IFERROR(VLOOKUP($B23,MMWR_ACCURACY_RO[],MATCH(J$9,MMWR_ACCURACY_RO[#Headers],0),0),"ERROR"))</f>
        <v>0.94720431172667174</v>
      </c>
      <c r="K23" s="159">
        <f>IF($B23=" ","",IFERROR(VLOOKUP($B23,MMWR_ACCURACY_RO[],MATCH(K$9,MMWR_ACCURACY_RO[#Headers],0),0),"ERROR"))</f>
        <v>0.93088561589510344</v>
      </c>
      <c r="L23" s="159">
        <f>IF($B23=" ","",IFERROR(VLOOKUP($B23,MMWR_ACCURACY_RO[],MATCH(L$9,MMWR_ACCURACY_RO[#Headers],0),0),"ERROR"))</f>
        <v>0.92043271045637287</v>
      </c>
      <c r="M23" s="159">
        <f>IF($B23=" ","",IFERROR(VLOOKUP($B23,MMWR_ACCURACY_RO[],MATCH(M$9,MMWR_ACCURACY_RO[#Headers],0),0),"ERROR"))</f>
        <v>4.2089169272360533E-2</v>
      </c>
      <c r="N23" s="159">
        <f>IF($B23=" ","",IFERROR(VLOOKUP($B23,MMWR_ACCURACY_RO[],MATCH(N$9,MMWR_ACCURACY_RO[#Headers],0),0),"ERROR"))</f>
        <v>0.90720876302990494</v>
      </c>
      <c r="O23" s="159">
        <f>IF($B23=" ","",IFERROR(VLOOKUP($B23,MMWR_ACCURACY_RO[],MATCH(O$9,MMWR_ACCURACY_RO[#Headers],0),0),"ERROR"))</f>
        <v>4.5337460631108467E-2</v>
      </c>
      <c r="P23" s="28"/>
    </row>
    <row r="24" spans="1:16" x14ac:dyDescent="0.2">
      <c r="A24" s="25"/>
      <c r="B24" s="8" t="str">
        <f>VLOOKUP($B$16,DISTRICT_RO[],9,0)</f>
        <v>Newark VSC</v>
      </c>
      <c r="C24" s="155">
        <f>IF($B24=" ","",IFERROR(INDEX(MMWR_RATING_RO_ROLLUP[],MATCH($B24,MMWR_RATING_RO_ROLLUP[MMWR_RATING_RO_ROLLUP],0),MATCH(C$9,MMWR_RATING_RO_ROLLUP[#Headers],0)),"ERROR"))</f>
        <v>2640</v>
      </c>
      <c r="D24" s="156">
        <f>IF($B24=" ","",IFERROR(INDEX(MMWR_RATING_RO_ROLLUP[],MATCH($B24,MMWR_RATING_RO_ROLLUP[MMWR_RATING_RO_ROLLUP],0),MATCH(D$9,MMWR_RATING_RO_ROLLUP[#Headers],0)),"ERROR"))</f>
        <v>80.771969697000003</v>
      </c>
      <c r="E24" s="157">
        <f>IF($B24=" ","",IFERROR(INDEX(MMWR_RATING_RO_ROLLUP[],MATCH($B24,MMWR_RATING_RO_ROLLUP[MMWR_RATING_RO_ROLLUP],0),MATCH(E$9,MMWR_RATING_RO_ROLLUP[#Headers],0))/$C24,"ERROR"))</f>
        <v>0.11136363636363636</v>
      </c>
      <c r="F24" s="155">
        <f>IF($B24=" ","",IFERROR(INDEX(MMWR_RATING_RO_ROLLUP[],MATCH($B24,MMWR_RATING_RO_ROLLUP[MMWR_RATING_RO_ROLLUP],0),MATCH(F$9,MMWR_RATING_RO_ROLLUP[#Headers],0)),"ERROR"))</f>
        <v>71</v>
      </c>
      <c r="G24" s="155">
        <f>IF($B24=" ","",IFERROR(INDEX(MMWR_RATING_RO_ROLLUP[],MATCH($B24,MMWR_RATING_RO_ROLLUP[MMWR_RATING_RO_ROLLUP],0),MATCH(G$9,MMWR_RATING_RO_ROLLUP[#Headers],0)),"ERROR"))</f>
        <v>71</v>
      </c>
      <c r="H24" s="156">
        <f>IF($B24=" ","",IFERROR(INDEX(MMWR_RATING_RO_ROLLUP[],MATCH($B24,MMWR_RATING_RO_ROLLUP[MMWR_RATING_RO_ROLLUP],0),MATCH(H$9,MMWR_RATING_RO_ROLLUP[#Headers],0)),"ERROR"))</f>
        <v>137.0845070423</v>
      </c>
      <c r="I24" s="156">
        <f>IF($B24=" ","",IFERROR(INDEX(MMWR_RATING_RO_ROLLUP[],MATCH($B24,MMWR_RATING_RO_ROLLUP[MMWR_RATING_RO_ROLLUP],0),MATCH(I$9,MMWR_RATING_RO_ROLLUP[#Headers],0)),"ERROR"))</f>
        <v>137.0845070423</v>
      </c>
      <c r="J24" s="159">
        <f>IF($B24=" ","",IFERROR(VLOOKUP($B24,MMWR_ACCURACY_RO[],MATCH(J$9,MMWR_ACCURACY_RO[#Headers],0),0),"ERROR"))</f>
        <v>0.9686831972356329</v>
      </c>
      <c r="K24" s="159">
        <f>IF($B24=" ","",IFERROR(VLOOKUP($B24,MMWR_ACCURACY_RO[],MATCH(K$9,MMWR_ACCURACY_RO[#Headers],0),0),"ERROR"))</f>
        <v>0.92343857422391462</v>
      </c>
      <c r="L24" s="159">
        <f>IF($B24=" ","",IFERROR(VLOOKUP($B24,MMWR_ACCURACY_RO[],MATCH(L$9,MMWR_ACCURACY_RO[#Headers],0),0),"ERROR"))</f>
        <v>0.88745641472847447</v>
      </c>
      <c r="M24" s="159">
        <f>IF($B24=" ","",IFERROR(VLOOKUP($B24,MMWR_ACCURACY_RO[],MATCH(M$9,MMWR_ACCURACY_RO[#Headers],0),0),"ERROR"))</f>
        <v>4.2277160648820103E-2</v>
      </c>
      <c r="N24" s="159">
        <f>IF($B24=" ","",IFERROR(VLOOKUP($B24,MMWR_ACCURACY_RO[],MATCH(N$9,MMWR_ACCURACY_RO[#Headers],0),0),"ERROR"))</f>
        <v>0.88563274354596055</v>
      </c>
      <c r="O24" s="159">
        <f>IF($B24=" ","",IFERROR(VLOOKUP($B24,MMWR_ACCURACY_RO[],MATCH(O$9,MMWR_ACCURACY_RO[#Headers],0),0),"ERROR"))</f>
        <v>3.8629279170776909E-2</v>
      </c>
      <c r="P24" s="28"/>
    </row>
    <row r="25" spans="1:16" x14ac:dyDescent="0.2">
      <c r="A25" s="25"/>
      <c r="B25" s="8" t="str">
        <f>VLOOKUP($B$16,DISTRICT_RO[],10,0)</f>
        <v>Philadelphia VSC</v>
      </c>
      <c r="C25" s="155">
        <f>IF($B25=" ","",IFERROR(INDEX(MMWR_RATING_RO_ROLLUP[],MATCH($B25,MMWR_RATING_RO_ROLLUP[MMWR_RATING_RO_ROLLUP],0),MATCH(C$9,MMWR_RATING_RO_ROLLUP[#Headers],0)),"ERROR"))</f>
        <v>7101</v>
      </c>
      <c r="D25" s="156">
        <f>IF($B25=" ","",IFERROR(INDEX(MMWR_RATING_RO_ROLLUP[],MATCH($B25,MMWR_RATING_RO_ROLLUP[MMWR_RATING_RO_ROLLUP],0),MATCH(D$9,MMWR_RATING_RO_ROLLUP[#Headers],0)),"ERROR"))</f>
        <v>130.08984650049999</v>
      </c>
      <c r="E25" s="157">
        <f>IF($B25=" ","",IFERROR(INDEX(MMWR_RATING_RO_ROLLUP[],MATCH($B25,MMWR_RATING_RO_ROLLUP[MMWR_RATING_RO_ROLLUP],0),MATCH(E$9,MMWR_RATING_RO_ROLLUP[#Headers],0))/$C25,"ERROR"))</f>
        <v>0.35896352626390648</v>
      </c>
      <c r="F25" s="155">
        <f>IF($B25=" ","",IFERROR(INDEX(MMWR_RATING_RO_ROLLUP[],MATCH($B25,MMWR_RATING_RO_ROLLUP[MMWR_RATING_RO_ROLLUP],0),MATCH(F$9,MMWR_RATING_RO_ROLLUP[#Headers],0)),"ERROR"))</f>
        <v>207</v>
      </c>
      <c r="G25" s="155">
        <f>IF($B25=" ","",IFERROR(INDEX(MMWR_RATING_RO_ROLLUP[],MATCH($B25,MMWR_RATING_RO_ROLLUP[MMWR_RATING_RO_ROLLUP],0),MATCH(G$9,MMWR_RATING_RO_ROLLUP[#Headers],0)),"ERROR"))</f>
        <v>207</v>
      </c>
      <c r="H25" s="156">
        <f>IF($B25=" ","",IFERROR(INDEX(MMWR_RATING_RO_ROLLUP[],MATCH($B25,MMWR_RATING_RO_ROLLUP[MMWR_RATING_RO_ROLLUP],0),MATCH(H$9,MMWR_RATING_RO_ROLLUP[#Headers],0)),"ERROR"))</f>
        <v>136.26086956520001</v>
      </c>
      <c r="I25" s="156">
        <f>IF($B25=" ","",IFERROR(INDEX(MMWR_RATING_RO_ROLLUP[],MATCH($B25,MMWR_RATING_RO_ROLLUP[MMWR_RATING_RO_ROLLUP],0),MATCH(I$9,MMWR_RATING_RO_ROLLUP[#Headers],0)),"ERROR"))</f>
        <v>136.26086956520001</v>
      </c>
      <c r="J25" s="159">
        <f>IF($B25=" ","",IFERROR(VLOOKUP($B25,MMWR_ACCURACY_RO[],MATCH(J$9,MMWR_ACCURACY_RO[#Headers],0),0),"ERROR"))</f>
        <v>0.94152928425324545</v>
      </c>
      <c r="K25" s="159">
        <f>IF($B25=" ","",IFERROR(VLOOKUP($B25,MMWR_ACCURACY_RO[],MATCH(K$9,MMWR_ACCURACY_RO[#Headers],0),0),"ERROR"))</f>
        <v>0.86798344947735184</v>
      </c>
      <c r="L25" s="159">
        <f>IF($B25=" ","",IFERROR(VLOOKUP($B25,MMWR_ACCURACY_RO[],MATCH(L$9,MMWR_ACCURACY_RO[#Headers],0),0),"ERROR"))</f>
        <v>0.86358372645198767</v>
      </c>
      <c r="M25" s="159">
        <f>IF($B25=" ","",IFERROR(VLOOKUP($B25,MMWR_ACCURACY_RO[],MATCH(M$9,MMWR_ACCURACY_RO[#Headers],0),0),"ERROR"))</f>
        <v>4.9358215277094504E-2</v>
      </c>
      <c r="N25" s="159">
        <f>IF($B25=" ","",IFERROR(VLOOKUP($B25,MMWR_ACCURACY_RO[],MATCH(N$9,MMWR_ACCURACY_RO[#Headers],0),0),"ERROR"))</f>
        <v>0.89958478313619794</v>
      </c>
      <c r="O25" s="159">
        <f>IF($B25=" ","",IFERROR(VLOOKUP($B25,MMWR_ACCURACY_RO[],MATCH(O$9,MMWR_ACCURACY_RO[#Headers],0),0),"ERROR"))</f>
        <v>4.9315787865483143E-2</v>
      </c>
      <c r="P25" s="28"/>
    </row>
    <row r="26" spans="1:16" x14ac:dyDescent="0.2">
      <c r="A26" s="25"/>
      <c r="B26" s="8" t="str">
        <f>VLOOKUP($B$16,DISTRICT_RO[],11,0)</f>
        <v>Pittsburgh VSC</v>
      </c>
      <c r="C26" s="155">
        <f>IF($B26=" ","",IFERROR(INDEX(MMWR_RATING_RO_ROLLUP[],MATCH($B26,MMWR_RATING_RO_ROLLUP[MMWR_RATING_RO_ROLLUP],0),MATCH(C$9,MMWR_RATING_RO_ROLLUP[#Headers],0)),"ERROR"))</f>
        <v>4841</v>
      </c>
      <c r="D26" s="156">
        <f>IF($B26=" ","",IFERROR(INDEX(MMWR_RATING_RO_ROLLUP[],MATCH($B26,MMWR_RATING_RO_ROLLUP[MMWR_RATING_RO_ROLLUP],0),MATCH(D$9,MMWR_RATING_RO_ROLLUP[#Headers],0)),"ERROR"))</f>
        <v>126.72381739310001</v>
      </c>
      <c r="E26" s="157">
        <f>IF($B26=" ","",IFERROR(INDEX(MMWR_RATING_RO_ROLLUP[],MATCH($B26,MMWR_RATING_RO_ROLLUP[MMWR_RATING_RO_ROLLUP],0),MATCH(E$9,MMWR_RATING_RO_ROLLUP[#Headers],0))/$C26,"ERROR"))</f>
        <v>0.32534600289196447</v>
      </c>
      <c r="F26" s="155">
        <f>IF($B26=" ","",IFERROR(INDEX(MMWR_RATING_RO_ROLLUP[],MATCH($B26,MMWR_RATING_RO_ROLLUP[MMWR_RATING_RO_ROLLUP],0),MATCH(F$9,MMWR_RATING_RO_ROLLUP[#Headers],0)),"ERROR"))</f>
        <v>75</v>
      </c>
      <c r="G26" s="155">
        <f>IF($B26=" ","",IFERROR(INDEX(MMWR_RATING_RO_ROLLUP[],MATCH($B26,MMWR_RATING_RO_ROLLUP[MMWR_RATING_RO_ROLLUP],0),MATCH(G$9,MMWR_RATING_RO_ROLLUP[#Headers],0)),"ERROR"))</f>
        <v>75</v>
      </c>
      <c r="H26" s="156">
        <f>IF($B26=" ","",IFERROR(INDEX(MMWR_RATING_RO_ROLLUP[],MATCH($B26,MMWR_RATING_RO_ROLLUP[MMWR_RATING_RO_ROLLUP],0),MATCH(H$9,MMWR_RATING_RO_ROLLUP[#Headers],0)),"ERROR"))</f>
        <v>198.8</v>
      </c>
      <c r="I26" s="156">
        <f>IF($B26=" ","",IFERROR(INDEX(MMWR_RATING_RO_ROLLUP[],MATCH($B26,MMWR_RATING_RO_ROLLUP[MMWR_RATING_RO_ROLLUP],0),MATCH(I$9,MMWR_RATING_RO_ROLLUP[#Headers],0)),"ERROR"))</f>
        <v>198.8</v>
      </c>
      <c r="J26" s="159">
        <f>IF($B26=" ","",IFERROR(VLOOKUP($B26,MMWR_ACCURACY_RO[],MATCH(J$9,MMWR_ACCURACY_RO[#Headers],0),0),"ERROR"))</f>
        <v>0.9751261715933669</v>
      </c>
      <c r="K26" s="159">
        <f>IF($B26=" ","",IFERROR(VLOOKUP($B26,MMWR_ACCURACY_RO[],MATCH(K$9,MMWR_ACCURACY_RO[#Headers],0),0),"ERROR"))</f>
        <v>0.89840078477893881</v>
      </c>
      <c r="L26" s="159">
        <f>IF($B26=" ","",IFERROR(VLOOKUP($B26,MMWR_ACCURACY_RO[],MATCH(L$9,MMWR_ACCURACY_RO[#Headers],0),0),"ERROR"))</f>
        <v>0.90400027862764498</v>
      </c>
      <c r="M26" s="159">
        <f>IF($B26=" ","",IFERROR(VLOOKUP($B26,MMWR_ACCURACY_RO[],MATCH(M$9,MMWR_ACCURACY_RO[#Headers],0),0),"ERROR"))</f>
        <v>4.5121010978512642E-2</v>
      </c>
      <c r="N26" s="159">
        <f>IF($B26=" ","",IFERROR(VLOOKUP($B26,MMWR_ACCURACY_RO[],MATCH(N$9,MMWR_ACCURACY_RO[#Headers],0),0),"ERROR"))</f>
        <v>0.93871099098682609</v>
      </c>
      <c r="O26" s="159">
        <f>IF($B26=" ","",IFERROR(VLOOKUP($B26,MMWR_ACCURACY_RO[],MATCH(O$9,MMWR_ACCURACY_RO[#Headers],0),0),"ERROR"))</f>
        <v>3.8666913302825921E-2</v>
      </c>
      <c r="P26" s="28"/>
    </row>
    <row r="27" spans="1:16" x14ac:dyDescent="0.2">
      <c r="A27" s="25"/>
      <c r="B27" s="8" t="str">
        <f>VLOOKUP($B$16,DISTRICT_RO[],12,0)</f>
        <v>Providence VSC</v>
      </c>
      <c r="C27" s="155">
        <f>IF($B27=" ","",IFERROR(INDEX(MMWR_RATING_RO_ROLLUP[],MATCH($B27,MMWR_RATING_RO_ROLLUP[MMWR_RATING_RO_ROLLUP],0),MATCH(C$9,MMWR_RATING_RO_ROLLUP[#Headers],0)),"ERROR"))</f>
        <v>2855</v>
      </c>
      <c r="D27" s="156">
        <f>IF($B27=" ","",IFERROR(INDEX(MMWR_RATING_RO_ROLLUP[],MATCH($B27,MMWR_RATING_RO_ROLLUP[MMWR_RATING_RO_ROLLUP],0),MATCH(D$9,MMWR_RATING_RO_ROLLUP[#Headers],0)),"ERROR"))</f>
        <v>108.300525394</v>
      </c>
      <c r="E27" s="157">
        <f>IF($B27=" ","",IFERROR(INDEX(MMWR_RATING_RO_ROLLUP[],MATCH($B27,MMWR_RATING_RO_ROLLUP[MMWR_RATING_RO_ROLLUP],0),MATCH(E$9,MMWR_RATING_RO_ROLLUP[#Headers],0))/$C27,"ERROR"))</f>
        <v>0.28091068301225919</v>
      </c>
      <c r="F27" s="155">
        <f>IF($B27=" ","",IFERROR(INDEX(MMWR_RATING_RO_ROLLUP[],MATCH($B27,MMWR_RATING_RO_ROLLUP[MMWR_RATING_RO_ROLLUP],0),MATCH(F$9,MMWR_RATING_RO_ROLLUP[#Headers],0)),"ERROR"))</f>
        <v>156</v>
      </c>
      <c r="G27" s="155">
        <f>IF($B27=" ","",IFERROR(INDEX(MMWR_RATING_RO_ROLLUP[],MATCH($B27,MMWR_RATING_RO_ROLLUP[MMWR_RATING_RO_ROLLUP],0),MATCH(G$9,MMWR_RATING_RO_ROLLUP[#Headers],0)),"ERROR"))</f>
        <v>156</v>
      </c>
      <c r="H27" s="156">
        <f>IF($B27=" ","",IFERROR(INDEX(MMWR_RATING_RO_ROLLUP[],MATCH($B27,MMWR_RATING_RO_ROLLUP[MMWR_RATING_RO_ROLLUP],0),MATCH(H$9,MMWR_RATING_RO_ROLLUP[#Headers],0)),"ERROR"))</f>
        <v>82.75</v>
      </c>
      <c r="I27" s="156">
        <f>IF($B27=" ","",IFERROR(INDEX(MMWR_RATING_RO_ROLLUP[],MATCH($B27,MMWR_RATING_RO_ROLLUP[MMWR_RATING_RO_ROLLUP],0),MATCH(I$9,MMWR_RATING_RO_ROLLUP[#Headers],0)),"ERROR"))</f>
        <v>82.75</v>
      </c>
      <c r="J27" s="159">
        <f>IF($B27=" ","",IFERROR(VLOOKUP($B27,MMWR_ACCURACY_RO[],MATCH(J$9,MMWR_ACCURACY_RO[#Headers],0),0),"ERROR"))</f>
        <v>0.98294063067450343</v>
      </c>
      <c r="K27" s="159">
        <f>IF($B27=" ","",IFERROR(VLOOKUP($B27,MMWR_ACCURACY_RO[],MATCH(K$9,MMWR_ACCURACY_RO[#Headers],0),0),"ERROR"))</f>
        <v>0.90013659505774246</v>
      </c>
      <c r="L27" s="159">
        <f>IF($B27=" ","",IFERROR(VLOOKUP($B27,MMWR_ACCURACY_RO[],MATCH(L$9,MMWR_ACCURACY_RO[#Headers],0),0),"ERROR"))</f>
        <v>0.87172499949266591</v>
      </c>
      <c r="M27" s="159">
        <f>IF($B27=" ","",IFERROR(VLOOKUP($B27,MMWR_ACCURACY_RO[],MATCH(M$9,MMWR_ACCURACY_RO[#Headers],0),0),"ERROR"))</f>
        <v>5.660738120402186E-2</v>
      </c>
      <c r="N27" s="159">
        <f>IF($B27=" ","",IFERROR(VLOOKUP($B27,MMWR_ACCURACY_RO[],MATCH(N$9,MMWR_ACCURACY_RO[#Headers],0),0),"ERROR"))</f>
        <v>0.96295738056515856</v>
      </c>
      <c r="O27" s="159">
        <f>IF($B27=" ","",IFERROR(VLOOKUP($B27,MMWR_ACCURACY_RO[],MATCH(O$9,MMWR_ACCURACY_RO[#Headers],0),0),"ERROR"))</f>
        <v>3.0092477871072134E-2</v>
      </c>
      <c r="P27" s="28"/>
    </row>
    <row r="28" spans="1:16" x14ac:dyDescent="0.2">
      <c r="A28" s="25"/>
      <c r="B28" s="8" t="str">
        <f>VLOOKUP($B$16,DISTRICT_RO[],13,0)</f>
        <v>Roanoke VSC</v>
      </c>
      <c r="C28" s="155">
        <f>IF($B28=" ","",IFERROR(INDEX(MMWR_RATING_RO_ROLLUP[],MATCH($B28,MMWR_RATING_RO_ROLLUP[MMWR_RATING_RO_ROLLUP],0),MATCH(C$9,MMWR_RATING_RO_ROLLUP[#Headers],0)),"ERROR"))</f>
        <v>10731</v>
      </c>
      <c r="D28" s="156">
        <f>IF($B28=" ","",IFERROR(INDEX(MMWR_RATING_RO_ROLLUP[],MATCH($B28,MMWR_RATING_RO_ROLLUP[MMWR_RATING_RO_ROLLUP],0),MATCH(D$9,MMWR_RATING_RO_ROLLUP[#Headers],0)),"ERROR"))</f>
        <v>81.152641878699995</v>
      </c>
      <c r="E28" s="157">
        <f>IF($B28=" ","",IFERROR(INDEX(MMWR_RATING_RO_ROLLUP[],MATCH($B28,MMWR_RATING_RO_ROLLUP[MMWR_RATING_RO_ROLLUP],0),MATCH(E$9,MMWR_RATING_RO_ROLLUP[#Headers],0))/$C28,"ERROR"))</f>
        <v>0.1406206318143696</v>
      </c>
      <c r="F28" s="155">
        <f>IF($B28=" ","",IFERROR(INDEX(MMWR_RATING_RO_ROLLUP[],MATCH($B28,MMWR_RATING_RO_ROLLUP[MMWR_RATING_RO_ROLLUP],0),MATCH(F$9,MMWR_RATING_RO_ROLLUP[#Headers],0)),"ERROR"))</f>
        <v>203</v>
      </c>
      <c r="G28" s="155">
        <f>IF($B28=" ","",IFERROR(INDEX(MMWR_RATING_RO_ROLLUP[],MATCH($B28,MMWR_RATING_RO_ROLLUP[MMWR_RATING_RO_ROLLUP],0),MATCH(G$9,MMWR_RATING_RO_ROLLUP[#Headers],0)),"ERROR"))</f>
        <v>203</v>
      </c>
      <c r="H28" s="156">
        <f>IF($B28=" ","",IFERROR(INDEX(MMWR_RATING_RO_ROLLUP[],MATCH($B28,MMWR_RATING_RO_ROLLUP[MMWR_RATING_RO_ROLLUP],0),MATCH(H$9,MMWR_RATING_RO_ROLLUP[#Headers],0)),"ERROR"))</f>
        <v>124.5418719212</v>
      </c>
      <c r="I28" s="156">
        <f>IF($B28=" ","",IFERROR(INDEX(MMWR_RATING_RO_ROLLUP[],MATCH($B28,MMWR_RATING_RO_ROLLUP[MMWR_RATING_RO_ROLLUP],0),MATCH(I$9,MMWR_RATING_RO_ROLLUP[#Headers],0)),"ERROR"))</f>
        <v>124.5418719212</v>
      </c>
      <c r="J28" s="159">
        <f>IF($B28=" ","",IFERROR(VLOOKUP($B28,MMWR_ACCURACY_RO[],MATCH(J$9,MMWR_ACCURACY_RO[#Headers],0),0),"ERROR"))</f>
        <v>0.9881386775279567</v>
      </c>
      <c r="K28" s="159">
        <f>IF($B28=" ","",IFERROR(VLOOKUP($B28,MMWR_ACCURACY_RO[],MATCH(K$9,MMWR_ACCURACY_RO[#Headers],0),0),"ERROR"))</f>
        <v>0.97290374764087351</v>
      </c>
      <c r="L28" s="159">
        <f>IF($B28=" ","",IFERROR(VLOOKUP($B28,MMWR_ACCURACY_RO[],MATCH(L$9,MMWR_ACCURACY_RO[#Headers],0),0),"ERROR"))</f>
        <v>0.93109257343487339</v>
      </c>
      <c r="M28" s="159">
        <f>IF($B28=" ","",IFERROR(VLOOKUP($B28,MMWR_ACCURACY_RO[],MATCH(M$9,MMWR_ACCURACY_RO[#Headers],0),0),"ERROR"))</f>
        <v>4.1570018073601958E-2</v>
      </c>
      <c r="N28" s="159">
        <f>IF($B28=" ","",IFERROR(VLOOKUP($B28,MMWR_ACCURACY_RO[],MATCH(N$9,MMWR_ACCURACY_RO[#Headers],0),0),"ERROR"))</f>
        <v>0.94451749280406772</v>
      </c>
      <c r="O28" s="159">
        <f>IF($B28=" ","",IFERROR(VLOOKUP($B28,MMWR_ACCURACY_RO[],MATCH(O$9,MMWR_ACCURACY_RO[#Headers],0),0),"ERROR"))</f>
        <v>3.6971007636318873E-2</v>
      </c>
      <c r="P28" s="28"/>
    </row>
    <row r="29" spans="1:16" x14ac:dyDescent="0.2">
      <c r="A29" s="25"/>
      <c r="B29" s="8" t="str">
        <f>VLOOKUP($B$16,DISTRICT_RO[],14,0)</f>
        <v>Togus VSC</v>
      </c>
      <c r="C29" s="155">
        <f>IF($B29=" ","",IFERROR(INDEX(MMWR_RATING_RO_ROLLUP[],MATCH($B29,MMWR_RATING_RO_ROLLUP[MMWR_RATING_RO_ROLLUP],0),MATCH(C$9,MMWR_RATING_RO_ROLLUP[#Headers],0)),"ERROR"))</f>
        <v>3948</v>
      </c>
      <c r="D29" s="156">
        <f>IF($B29=" ","",IFERROR(INDEX(MMWR_RATING_RO_ROLLUP[],MATCH($B29,MMWR_RATING_RO_ROLLUP[MMWR_RATING_RO_ROLLUP],0),MATCH(D$9,MMWR_RATING_RO_ROLLUP[#Headers],0)),"ERROR"))</f>
        <v>105.4108409321</v>
      </c>
      <c r="E29" s="157">
        <f>IF($B29=" ","",IFERROR(INDEX(MMWR_RATING_RO_ROLLUP[],MATCH($B29,MMWR_RATING_RO_ROLLUP[MMWR_RATING_RO_ROLLUP],0),MATCH(E$9,MMWR_RATING_RO_ROLLUP[#Headers],0))/$C29,"ERROR"))</f>
        <v>0.2190982776089159</v>
      </c>
      <c r="F29" s="155">
        <f>IF($B29=" ","",IFERROR(INDEX(MMWR_RATING_RO_ROLLUP[],MATCH($B29,MMWR_RATING_RO_ROLLUP[MMWR_RATING_RO_ROLLUP],0),MATCH(F$9,MMWR_RATING_RO_ROLLUP[#Headers],0)),"ERROR"))</f>
        <v>74</v>
      </c>
      <c r="G29" s="155">
        <f>IF($B29=" ","",IFERROR(INDEX(MMWR_RATING_RO_ROLLUP[],MATCH($B29,MMWR_RATING_RO_ROLLUP[MMWR_RATING_RO_ROLLUP],0),MATCH(G$9,MMWR_RATING_RO_ROLLUP[#Headers],0)),"ERROR"))</f>
        <v>74</v>
      </c>
      <c r="H29" s="156">
        <f>IF($B29=" ","",IFERROR(INDEX(MMWR_RATING_RO_ROLLUP[],MATCH($B29,MMWR_RATING_RO_ROLLUP[MMWR_RATING_RO_ROLLUP],0),MATCH(H$9,MMWR_RATING_RO_ROLLUP[#Headers],0)),"ERROR"))</f>
        <v>167.67567567570001</v>
      </c>
      <c r="I29" s="156">
        <f>IF($B29=" ","",IFERROR(INDEX(MMWR_RATING_RO_ROLLUP[],MATCH($B29,MMWR_RATING_RO_ROLLUP[MMWR_RATING_RO_ROLLUP],0),MATCH(I$9,MMWR_RATING_RO_ROLLUP[#Headers],0)),"ERROR"))</f>
        <v>167.67567567570001</v>
      </c>
      <c r="J29" s="159">
        <f>IF($B29=" ","",IFERROR(VLOOKUP($B29,MMWR_ACCURACY_RO[],MATCH(J$9,MMWR_ACCURACY_RO[#Headers],0),0),"ERROR"))</f>
        <v>0.95606780816395354</v>
      </c>
      <c r="K29" s="159">
        <f>IF($B29=" ","",IFERROR(VLOOKUP($B29,MMWR_ACCURACY_RO[],MATCH(K$9,MMWR_ACCURACY_RO[#Headers],0),0),"ERROR"))</f>
        <v>0.80876810276919342</v>
      </c>
      <c r="L29" s="159">
        <f>IF($B29=" ","",IFERROR(VLOOKUP($B29,MMWR_ACCURACY_RO[],MATCH(L$9,MMWR_ACCURACY_RO[#Headers],0),0),"ERROR"))</f>
        <v>0.87426757993266913</v>
      </c>
      <c r="M29" s="159">
        <f>IF($B29=" ","",IFERROR(VLOOKUP($B29,MMWR_ACCURACY_RO[],MATCH(M$9,MMWR_ACCURACY_RO[#Headers],0),0),"ERROR"))</f>
        <v>5.6485466197503484E-2</v>
      </c>
      <c r="N29" s="159">
        <f>IF($B29=" ","",IFERROR(VLOOKUP($B29,MMWR_ACCURACY_RO[],MATCH(N$9,MMWR_ACCURACY_RO[#Headers],0),0),"ERROR"))</f>
        <v>0.95623554117658516</v>
      </c>
      <c r="O29" s="159">
        <f>IF($B29=" ","",IFERROR(VLOOKUP($B29,MMWR_ACCURACY_RO[],MATCH(O$9,MMWR_ACCURACY_RO[#Headers],0),0),"ERROR"))</f>
        <v>3.6820337985930818E-2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566</v>
      </c>
      <c r="D30" s="156">
        <f>IF($B30=" ","",IFERROR(INDEX(MMWR_RATING_RO_ROLLUP[],MATCH($B30,MMWR_RATING_RO_ROLLUP[MMWR_RATING_RO_ROLLUP],0),MATCH(D$9,MMWR_RATING_RO_ROLLUP[#Headers],0)),"ERROR"))</f>
        <v>112.4293286219</v>
      </c>
      <c r="E30" s="157">
        <f>IF($B30=" ","",IFERROR(INDEX(MMWR_RATING_RO_ROLLUP[],MATCH($B30,MMWR_RATING_RO_ROLLUP[MMWR_RATING_RO_ROLLUP],0),MATCH(E$9,MMWR_RATING_RO_ROLLUP[#Headers],0))/$C30,"ERROR"))</f>
        <v>0.26855123674911663</v>
      </c>
      <c r="F30" s="155">
        <f>IF($B30=" ","",IFERROR(INDEX(MMWR_RATING_RO_ROLLUP[],MATCH($B30,MMWR_RATING_RO_ROLLUP[MMWR_RATING_RO_ROLLUP],0),MATCH(F$9,MMWR_RATING_RO_ROLLUP[#Headers],0)),"ERROR"))</f>
        <v>12</v>
      </c>
      <c r="G30" s="155">
        <f>IF($B30=" ","",IFERROR(INDEX(MMWR_RATING_RO_ROLLUP[],MATCH($B30,MMWR_RATING_RO_ROLLUP[MMWR_RATING_RO_ROLLUP],0),MATCH(G$9,MMWR_RATING_RO_ROLLUP[#Headers],0)),"ERROR"))</f>
        <v>12</v>
      </c>
      <c r="H30" s="156">
        <f>IF($B30=" ","",IFERROR(INDEX(MMWR_RATING_RO_ROLLUP[],MATCH($B30,MMWR_RATING_RO_ROLLUP[MMWR_RATING_RO_ROLLUP],0),MATCH(H$9,MMWR_RATING_RO_ROLLUP[#Headers],0)),"ERROR"))</f>
        <v>163.3333333333</v>
      </c>
      <c r="I30" s="156">
        <f>IF($B30=" ","",IFERROR(INDEX(MMWR_RATING_RO_ROLLUP[],MATCH($B30,MMWR_RATING_RO_ROLLUP[MMWR_RATING_RO_ROLLUP],0),MATCH(I$9,MMWR_RATING_RO_ROLLUP[#Headers],0)),"ERROR"))</f>
        <v>163.3333333333</v>
      </c>
      <c r="J30" s="159">
        <f>IF($B30=" ","",IFERROR(VLOOKUP($B30,MMWR_ACCURACY_RO[],MATCH(J$9,MMWR_ACCURACY_RO[#Headers],0),0),"ERROR"))</f>
        <v>0.92625848317764381</v>
      </c>
      <c r="K30" s="159">
        <f>IF($B30=" ","",IFERROR(VLOOKUP($B30,MMWR_ACCURACY_RO[],MATCH(K$9,MMWR_ACCURACY_RO[#Headers],0),0),"ERROR"))</f>
        <v>0.89885046178031036</v>
      </c>
      <c r="L30" s="159">
        <f>IF($B30=" ","",IFERROR(VLOOKUP($B30,MMWR_ACCURACY_RO[],MATCH(L$9,MMWR_ACCURACY_RO[#Headers],0),0),"ERROR"))</f>
        <v>0.83526478403316196</v>
      </c>
      <c r="M30" s="159">
        <f>IF($B30=" ","",IFERROR(VLOOKUP($B30,MMWR_ACCURACY_RO[],MATCH(M$9,MMWR_ACCURACY_RO[#Headers],0),0),"ERROR"))</f>
        <v>5.1603898032211715E-2</v>
      </c>
      <c r="N30" s="159">
        <f>IF($B30=" ","",IFERROR(VLOOKUP($B30,MMWR_ACCURACY_RO[],MATCH(N$9,MMWR_ACCURACY_RO[#Headers],0),0),"ERROR"))</f>
        <v>0.9029282977558839</v>
      </c>
      <c r="O30" s="159">
        <f>IF($B30=" ","",IFERROR(VLOOKUP($B30,MMWR_ACCURACY_RO[],MATCH(O$9,MMWR_ACCURACY_RO[#Headers],0),0),"ERROR"))</f>
        <v>3.6440515410656363E-2</v>
      </c>
      <c r="P30" s="28"/>
    </row>
    <row r="31" spans="1:16" x14ac:dyDescent="0.2">
      <c r="A31" s="25"/>
      <c r="B31" s="8" t="str">
        <f>VLOOKUP($B$16,DISTRICT_RO[],16,0)</f>
        <v>Wilmington VSC</v>
      </c>
      <c r="C31" s="155">
        <f>IF($B31=" ","",IFERROR(INDEX(MMWR_RATING_RO_ROLLUP[],MATCH($B31,MMWR_RATING_RO_ROLLUP[MMWR_RATING_RO_ROLLUP],0),MATCH(C$9,MMWR_RATING_RO_ROLLUP[#Headers],0)),"ERROR"))</f>
        <v>653</v>
      </c>
      <c r="D31" s="156">
        <f>IF($B31=" ","",IFERROR(INDEX(MMWR_RATING_RO_ROLLUP[],MATCH($B31,MMWR_RATING_RO_ROLLUP[MMWR_RATING_RO_ROLLUP],0),MATCH(D$9,MMWR_RATING_RO_ROLLUP[#Headers],0)),"ERROR"))</f>
        <v>82.627871362899995</v>
      </c>
      <c r="E31" s="157">
        <f>IF($B31=" ","",IFERROR(INDEX(MMWR_RATING_RO_ROLLUP[],MATCH($B31,MMWR_RATING_RO_ROLLUP[MMWR_RATING_RO_ROLLUP],0),MATCH(E$9,MMWR_RATING_RO_ROLLUP[#Headers],0))/$C31,"ERROR"))</f>
        <v>0.13935681470137826</v>
      </c>
      <c r="F31" s="155">
        <f>IF($B31=" ","",IFERROR(INDEX(MMWR_RATING_RO_ROLLUP[],MATCH($B31,MMWR_RATING_RO_ROLLUP[MMWR_RATING_RO_ROLLUP],0),MATCH(F$9,MMWR_RATING_RO_ROLLUP[#Headers],0)),"ERROR"))</f>
        <v>15</v>
      </c>
      <c r="G31" s="155">
        <f>IF($B31=" ","",IFERROR(INDEX(MMWR_RATING_RO_ROLLUP[],MATCH($B31,MMWR_RATING_RO_ROLLUP[MMWR_RATING_RO_ROLLUP],0),MATCH(G$9,MMWR_RATING_RO_ROLLUP[#Headers],0)),"ERROR"))</f>
        <v>15</v>
      </c>
      <c r="H31" s="156">
        <f>IF($B31=" ","",IFERROR(INDEX(MMWR_RATING_RO_ROLLUP[],MATCH($B31,MMWR_RATING_RO_ROLLUP[MMWR_RATING_RO_ROLLUP],0),MATCH(H$9,MMWR_RATING_RO_ROLLUP[#Headers],0)),"ERROR"))</f>
        <v>146</v>
      </c>
      <c r="I31" s="156">
        <f>IF($B31=" ","",IFERROR(INDEX(MMWR_RATING_RO_ROLLUP[],MATCH($B31,MMWR_RATING_RO_ROLLUP[MMWR_RATING_RO_ROLLUP],0),MATCH(I$9,MMWR_RATING_RO_ROLLUP[#Headers],0)),"ERROR"))</f>
        <v>146</v>
      </c>
      <c r="J31" s="159">
        <f>IF($B31=" ","",IFERROR(VLOOKUP($B31,MMWR_ACCURACY_RO[],MATCH(J$9,MMWR_ACCURACY_RO[#Headers],0),0),"ERROR"))</f>
        <v>0.92664165876581883</v>
      </c>
      <c r="K31" s="159">
        <f>IF($B31=" ","",IFERROR(VLOOKUP($B31,MMWR_ACCURACY_RO[],MATCH(K$9,MMWR_ACCURACY_RO[#Headers],0),0),"ERROR"))</f>
        <v>0.80830903790087461</v>
      </c>
      <c r="L31" s="159">
        <f>IF($B31=" ","",IFERROR(VLOOKUP($B31,MMWR_ACCURACY_RO[],MATCH(L$9,MMWR_ACCURACY_RO[#Headers],0),0),"ERROR"))</f>
        <v>0.85113303357123427</v>
      </c>
      <c r="M31" s="159">
        <f>IF($B31=" ","",IFERROR(VLOOKUP($B31,MMWR_ACCURACY_RO[],MATCH(M$9,MMWR_ACCURACY_RO[#Headers],0),0),"ERROR"))</f>
        <v>4.6607166054369882E-2</v>
      </c>
      <c r="N31" s="159">
        <f>IF($B31=" ","",IFERROR(VLOOKUP($B31,MMWR_ACCURACY_RO[],MATCH(N$9,MMWR_ACCURACY_RO[#Headers],0),0),"ERROR"))</f>
        <v>0.88590662664663133</v>
      </c>
      <c r="O31" s="159">
        <f>IF($B31=" ","",IFERROR(VLOOKUP($B31,MMWR_ACCURACY_RO[],MATCH(O$9,MMWR_ACCURACY_RO[#Headers],0),0),"ERROR"))</f>
        <v>5.2622901965985208E-2</v>
      </c>
      <c r="P31" s="28"/>
    </row>
    <row r="32" spans="1:16" x14ac:dyDescent="0.2">
      <c r="A32" s="25"/>
      <c r="B32" s="8" t="str">
        <f>VLOOKUP($B$16,DISTRICT_RO[],17,0)</f>
        <v>Winston-Salem VSC</v>
      </c>
      <c r="C32" s="155">
        <f>IF($B32=" ","",IFERROR(INDEX(MMWR_RATING_RO_ROLLUP[],MATCH($B32,MMWR_RATING_RO_ROLLUP[MMWR_RATING_RO_ROLLUP],0),MATCH(C$9,MMWR_RATING_RO_ROLLUP[#Headers],0)),"ERROR"))</f>
        <v>14948</v>
      </c>
      <c r="D32" s="156">
        <f>IF($B32=" ","",IFERROR(INDEX(MMWR_RATING_RO_ROLLUP[],MATCH($B32,MMWR_RATING_RO_ROLLUP[MMWR_RATING_RO_ROLLUP],0),MATCH(D$9,MMWR_RATING_RO_ROLLUP[#Headers],0)),"ERROR"))</f>
        <v>88.577267861899998</v>
      </c>
      <c r="E32" s="157">
        <f>IF($B32=" ","",IFERROR(INDEX(MMWR_RATING_RO_ROLLUP[],MATCH($B32,MMWR_RATING_RO_ROLLUP[MMWR_RATING_RO_ROLLUP],0),MATCH(E$9,MMWR_RATING_RO_ROLLUP[#Headers],0))/$C32,"ERROR"))</f>
        <v>0.18524217286593525</v>
      </c>
      <c r="F32" s="155">
        <f>IF($B32=" ","",IFERROR(INDEX(MMWR_RATING_RO_ROLLUP[],MATCH($B32,MMWR_RATING_RO_ROLLUP[MMWR_RATING_RO_ROLLUP],0),MATCH(F$9,MMWR_RATING_RO_ROLLUP[#Headers],0)),"ERROR"))</f>
        <v>287</v>
      </c>
      <c r="G32" s="155">
        <f>IF($B32=" ","",IFERROR(INDEX(MMWR_RATING_RO_ROLLUP[],MATCH($B32,MMWR_RATING_RO_ROLLUP[MMWR_RATING_RO_ROLLUP],0),MATCH(G$9,MMWR_RATING_RO_ROLLUP[#Headers],0)),"ERROR"))</f>
        <v>287</v>
      </c>
      <c r="H32" s="156">
        <f>IF($B32=" ","",IFERROR(INDEX(MMWR_RATING_RO_ROLLUP[],MATCH($B32,MMWR_RATING_RO_ROLLUP[MMWR_RATING_RO_ROLLUP],0),MATCH(H$9,MMWR_RATING_RO_ROLLUP[#Headers],0)),"ERROR"))</f>
        <v>147.81533101049999</v>
      </c>
      <c r="I32" s="156">
        <f>IF($B32=" ","",IFERROR(INDEX(MMWR_RATING_RO_ROLLUP[],MATCH($B32,MMWR_RATING_RO_ROLLUP[MMWR_RATING_RO_ROLLUP],0),MATCH(I$9,MMWR_RATING_RO_ROLLUP[#Headers],0)),"ERROR"))</f>
        <v>147.81533101049999</v>
      </c>
      <c r="J32" s="159">
        <f>IF($B32=" ","",IFERROR(VLOOKUP($B32,MMWR_ACCURACY_RO[],MATCH(J$9,MMWR_ACCURACY_RO[#Headers],0),0),"ERROR"))</f>
        <v>0.947957143229468</v>
      </c>
      <c r="K32" s="159">
        <f>IF($B32=" ","",IFERROR(VLOOKUP($B32,MMWR_ACCURACY_RO[],MATCH(K$9,MMWR_ACCURACY_RO[#Headers],0),0),"ERROR"))</f>
        <v>0.83390133317319237</v>
      </c>
      <c r="L32" s="159">
        <f>IF($B32=" ","",IFERROR(VLOOKUP($B32,MMWR_ACCURACY_RO[],MATCH(L$9,MMWR_ACCURACY_RO[#Headers],0),0),"ERROR"))</f>
        <v>0.8463285961585405</v>
      </c>
      <c r="M32" s="159">
        <f>IF($B32=" ","",IFERROR(VLOOKUP($B32,MMWR_ACCURACY_RO[],MATCH(M$9,MMWR_ACCURACY_RO[#Headers],0),0),"ERROR"))</f>
        <v>5.0618932350916662E-2</v>
      </c>
      <c r="N32" s="159">
        <f>IF($B32=" ","",IFERROR(VLOOKUP($B32,MMWR_ACCURACY_RO[],MATCH(N$9,MMWR_ACCURACY_RO[#Headers],0),0),"ERROR"))</f>
        <v>0.9382900421307242</v>
      </c>
      <c r="O32" s="159">
        <f>IF($B32=" ","",IFERROR(VLOOKUP($B32,MMWR_ACCURACY_RO[],MATCH(O$9,MMWR_ACCURACY_RO[#Headers],0),0),"ERROR"))</f>
        <v>3.7965518974789066E-2</v>
      </c>
      <c r="P32" s="28"/>
    </row>
    <row r="33" spans="1:16" x14ac:dyDescent="0.2">
      <c r="A33" s="25"/>
      <c r="B33" s="341" t="s">
        <v>740</v>
      </c>
      <c r="C33" s="342"/>
      <c r="D33" s="342"/>
      <c r="E33" s="342"/>
      <c r="F33" s="342"/>
      <c r="G33" s="342"/>
      <c r="H33" s="342"/>
      <c r="I33" s="342"/>
      <c r="J33" s="342"/>
      <c r="K33" s="342"/>
      <c r="L33" s="342"/>
      <c r="M33" s="342"/>
      <c r="N33" s="342"/>
      <c r="O33" s="342"/>
      <c r="P33" s="28"/>
    </row>
    <row r="34" spans="1:16" x14ac:dyDescent="0.2">
      <c r="A34" s="25"/>
      <c r="B34" s="11" t="s">
        <v>703</v>
      </c>
      <c r="C34" s="155">
        <f>IF($B34=" ","",IFERROR(INDEX(MMWR_RATING_RO_ROLLUP[],MATCH($B34,MMWR_RATING_RO_ROLLUP[MMWR_RATING_RO_ROLLUP],0),MATCH(C$9,MMWR_RATING_RO_ROLLUP[#Headers],0)),"ERROR"))</f>
        <v>21351</v>
      </c>
      <c r="D34" s="156">
        <f>IF($B34=" ","",IFERROR(INDEX(MMWR_RATING_RO_ROLLUP[],MATCH($B34,MMWR_RATING_RO_ROLLUP[MMWR_RATING_RO_ROLLUP],0),MATCH(D$9,MMWR_RATING_RO_ROLLUP[#Headers],0)),"ERROR"))</f>
        <v>59.325980047800002</v>
      </c>
      <c r="E34" s="157">
        <f>IF($B34=" ","",IFERROR(INDEX(MMWR_RATING_RO_ROLLUP[],MATCH($B34,MMWR_RATING_RO_ROLLUP[MMWR_RATING_RO_ROLLUP],0),MATCH(E$9,MMWR_RATING_RO_ROLLUP[#Headers],0))/$C34,"ERROR"))</f>
        <v>7.8872183972647655E-2</v>
      </c>
      <c r="F34" s="155">
        <f>IF($B34=" ","",IFERROR(INDEX(MMWR_RATING_RO_ROLLUP[],MATCH($B34,MMWR_RATING_RO_ROLLUP[MMWR_RATING_RO_ROLLUP],0),MATCH(F$9,MMWR_RATING_RO_ROLLUP[#Headers],0)),"ERROR"))</f>
        <v>773</v>
      </c>
      <c r="G34" s="155">
        <f>IF($B34=" ","",IFERROR(INDEX(MMWR_RATING_RO_ROLLUP[],MATCH($B34,MMWR_RATING_RO_ROLLUP[MMWR_RATING_RO_ROLLUP],0),MATCH(G$9,MMWR_RATING_RO_ROLLUP[#Headers],0)),"ERROR"))</f>
        <v>773</v>
      </c>
      <c r="H34" s="156">
        <f>IF($B34=" ","",IFERROR(INDEX(MMWR_RATING_RO_ROLLUP[],MATCH($B34,MMWR_RATING_RO_ROLLUP[MMWR_RATING_RO_ROLLUP],0),MATCH(H$9,MMWR_RATING_RO_ROLLUP[#Headers],0)),"ERROR"))</f>
        <v>59.126778784000003</v>
      </c>
      <c r="I34" s="156">
        <f>IF($B34=" ","",IFERROR(INDEX(MMWR_RATING_RO_ROLLUP[],MATCH($B34,MMWR_RATING_RO_ROLLUP[MMWR_RATING_RO_ROLLUP],0),MATCH(I$9,MMWR_RATING_RO_ROLLUP[#Headers],0)),"ERROR"))</f>
        <v>59.126778784000003</v>
      </c>
      <c r="J34" s="42"/>
      <c r="K34" s="264">
        <f>IF($B34=" ","",IFERROR(VLOOKUP($B34,MMWR_ACCURACY_RO[],MATCH(K$50,MMWR_ACCURACY_RO[#Headers],0),0),"ERROR"))</f>
        <v>0.93679372237674774</v>
      </c>
      <c r="L34" s="264">
        <f>IF($B34=" ","",IFERROR(VLOOKUP($B34,MMWR_ACCURACY_RO[],MATCH(L$50,MMWR_ACCURACY_RO[#Headers],0),0),"ERROR"))</f>
        <v>0.96439638254665494</v>
      </c>
      <c r="M34" s="264">
        <f>IF($B34=" ","",IFERROR(VLOOKUP($B34,MMWR_ACCURACY_RO[],MATCH(M$50,MMWR_ACCURACY_RO[#Headers],0),0),"ERROR"))</f>
        <v>1.6304564554530644E-2</v>
      </c>
      <c r="N34" s="264">
        <f>IF($B34=" ","",IFERROR(VLOOKUP($B34,MMWR_ACCURACY_RO[],MATCH(N$50,MMWR_ACCURACY_RO[#Headers],0),0),"ERROR"))</f>
        <v>0.95994132113440533</v>
      </c>
      <c r="O34" s="264">
        <f>IF($B34=" ","",IFERROR(VLOOKUP($B34,MMWR_ACCURACY_RO[],MATCH(O$50,MMWR_ACCURACY_RO[#Headers],0),0),"ERROR"))</f>
        <v>2.0487257977216088E-2</v>
      </c>
      <c r="P34" s="28"/>
    </row>
    <row r="35" spans="1:16" x14ac:dyDescent="0.2">
      <c r="A35" s="25"/>
      <c r="B35" s="12" t="s">
        <v>216</v>
      </c>
      <c r="C35" s="155">
        <f>IF($B35=" ","",IFERROR(INDEX(MMWR_RATING_RO_ROLLUP[],MATCH($B35,MMWR_RATING_RO_ROLLUP[MMWR_RATING_RO_ROLLUP],0),MATCH(C$9,MMWR_RATING_RO_ROLLUP[#Headers],0)),"ERROR"))</f>
        <v>6839</v>
      </c>
      <c r="D35" s="156">
        <f>IF($B35=" ","",IFERROR(INDEX(MMWR_RATING_RO_ROLLUP[],MATCH($B35,MMWR_RATING_RO_ROLLUP[MMWR_RATING_RO_ROLLUP],0),MATCH(D$9,MMWR_RATING_RO_ROLLUP[#Headers],0)),"ERROR"))</f>
        <v>68.213773943600003</v>
      </c>
      <c r="E35" s="157">
        <f>IF($B35=" ","",IFERROR(INDEX(MMWR_RATING_RO_ROLLUP[],MATCH($B35,MMWR_RATING_RO_ROLLUP[MMWR_RATING_RO_ROLLUP],0),MATCH(E$9,MMWR_RATING_RO_ROLLUP[#Headers],0))/$C35,"ERROR"))</f>
        <v>0.10030706243602866</v>
      </c>
      <c r="F35" s="155">
        <f>IF($B35=" ","",IFERROR(INDEX(MMWR_RATING_RO_ROLLUP[],MATCH($B35,MMWR_RATING_RO_ROLLUP[MMWR_RATING_RO_ROLLUP],0),MATCH(F$9,MMWR_RATING_RO_ROLLUP[#Headers],0)),"ERROR"))</f>
        <v>235</v>
      </c>
      <c r="G35" s="155">
        <f>IF($B35=" ","",IFERROR(INDEX(MMWR_RATING_RO_ROLLUP[],MATCH($B35,MMWR_RATING_RO_ROLLUP[MMWR_RATING_RO_ROLLUP],0),MATCH(G$9,MMWR_RATING_RO_ROLLUP[#Headers],0)),"ERROR"))</f>
        <v>235</v>
      </c>
      <c r="H35" s="156">
        <f>IF($B35=" ","",IFERROR(INDEX(MMWR_RATING_RO_ROLLUP[],MATCH($B35,MMWR_RATING_RO_ROLLUP[MMWR_RATING_RO_ROLLUP],0),MATCH(H$9,MMWR_RATING_RO_ROLLUP[#Headers],0)),"ERROR"))</f>
        <v>67.838297872300004</v>
      </c>
      <c r="I35" s="156">
        <f>IF($B35=" ","",IFERROR(INDEX(MMWR_RATING_RO_ROLLUP[],MATCH($B35,MMWR_RATING_RO_ROLLUP[MMWR_RATING_RO_ROLLUP],0),MATCH(I$9,MMWR_RATING_RO_ROLLUP[#Headers],0)),"ERROR"))</f>
        <v>67.838297872300004</v>
      </c>
      <c r="J35" s="42"/>
      <c r="K35" s="253">
        <f>IF($B35=" ","",IFERROR(VLOOKUP($B35,MMWR_ACCURACY_RO[],MATCH(K$50,MMWR_ACCURACY_RO[#Headers],0),0),"ERROR"))</f>
        <v>0.88511880843312152</v>
      </c>
      <c r="L35" s="253">
        <f>IF($B35=" ","",IFERROR(VLOOKUP($B35,MMWR_ACCURACY_RO[],MATCH(L$50,MMWR_ACCURACY_RO[#Headers],0),0),"ERROR"))</f>
        <v>0.95065478863082864</v>
      </c>
      <c r="M35" s="253">
        <f>IF($B35=" ","",IFERROR(VLOOKUP($B35,MMWR_ACCURACY_RO[],MATCH(M$50,MMWR_ACCURACY_RO[#Headers],0),0),"ERROR"))</f>
        <v>3.6478520423184835E-2</v>
      </c>
      <c r="N35" s="253">
        <f>IF($B35=" ","",IFERROR(VLOOKUP($B35,MMWR_ACCURACY_RO[],MATCH(N$50,MMWR_ACCURACY_RO[#Headers],0),0),"ERROR"))</f>
        <v>0.92815943607499451</v>
      </c>
      <c r="O35" s="253">
        <f>IF($B35=" ","",IFERROR(VLOOKUP($B35,MMWR_ACCURACY_RO[],MATCH(O$50,MMWR_ACCURACY_RO[#Headers],0),0),"ERROR"))</f>
        <v>4.6405181586036973E-2</v>
      </c>
      <c r="P35" s="28"/>
    </row>
    <row r="36" spans="1:16" x14ac:dyDescent="0.2">
      <c r="A36" s="43"/>
      <c r="B36" s="12" t="s">
        <v>215</v>
      </c>
      <c r="C36" s="155">
        <f>IF($B36=" ","",IFERROR(INDEX(MMWR_RATING_RO_ROLLUP[],MATCH($B36,MMWR_RATING_RO_ROLLUP[MMWR_RATING_RO_ROLLUP],0),MATCH(C$9,MMWR_RATING_RO_ROLLUP[#Headers],0)),"ERROR"))</f>
        <v>5959</v>
      </c>
      <c r="D36" s="156">
        <f>IF($B36=" ","",IFERROR(INDEX(MMWR_RATING_RO_ROLLUP[],MATCH($B36,MMWR_RATING_RO_ROLLUP[MMWR_RATING_RO_ROLLUP],0),MATCH(D$9,MMWR_RATING_RO_ROLLUP[#Headers],0)),"ERROR"))</f>
        <v>53.331599261599997</v>
      </c>
      <c r="E36" s="157">
        <f>IF($B36=" ","",IFERROR(INDEX(MMWR_RATING_RO_ROLLUP[],MATCH($B36,MMWR_RATING_RO_ROLLUP[MMWR_RATING_RO_ROLLUP],0),MATCH(E$9,MMWR_RATING_RO_ROLLUP[#Headers],0))/$C36,"ERROR"))</f>
        <v>6.3769088773284105E-2</v>
      </c>
      <c r="F36" s="155">
        <f>IF($B36=" ","",IFERROR(INDEX(MMWR_RATING_RO_ROLLUP[],MATCH($B36,MMWR_RATING_RO_ROLLUP[MMWR_RATING_RO_ROLLUP],0),MATCH(F$9,MMWR_RATING_RO_ROLLUP[#Headers],0)),"ERROR"))</f>
        <v>115</v>
      </c>
      <c r="G36" s="155">
        <f>IF($B36=" ","",IFERROR(INDEX(MMWR_RATING_RO_ROLLUP[],MATCH($B36,MMWR_RATING_RO_ROLLUP[MMWR_RATING_RO_ROLLUP],0),MATCH(G$9,MMWR_RATING_RO_ROLLUP[#Headers],0)),"ERROR"))</f>
        <v>115</v>
      </c>
      <c r="H36" s="156">
        <f>IF($B36=" ","",IFERROR(INDEX(MMWR_RATING_RO_ROLLUP[],MATCH($B36,MMWR_RATING_RO_ROLLUP[MMWR_RATING_RO_ROLLUP],0),MATCH(H$9,MMWR_RATING_RO_ROLLUP[#Headers],0)),"ERROR"))</f>
        <v>56.895652173899997</v>
      </c>
      <c r="I36" s="156">
        <f>IF($B36=" ","",IFERROR(INDEX(MMWR_RATING_RO_ROLLUP[],MATCH($B36,MMWR_RATING_RO_ROLLUP[MMWR_RATING_RO_ROLLUP],0),MATCH(I$9,MMWR_RATING_RO_ROLLUP[#Headers],0)),"ERROR"))</f>
        <v>56.895652173899997</v>
      </c>
      <c r="J36" s="42"/>
      <c r="K36" s="253">
        <f>IF($B36=" ","",IFERROR(VLOOKUP($B36,MMWR_ACCURACY_RO[],MATCH(K$50,MMWR_ACCURACY_RO[#Headers],0),0),"ERROR"))</f>
        <v>0.91427933013453755</v>
      </c>
      <c r="L36" s="253">
        <f>IF($B36=" ","",IFERROR(VLOOKUP($B36,MMWR_ACCURACY_RO[],MATCH(L$50,MMWR_ACCURACY_RO[#Headers],0),0),"ERROR"))</f>
        <v>0.94397517283711296</v>
      </c>
      <c r="M36" s="253">
        <f>IF($B36=" ","",IFERROR(VLOOKUP($B36,MMWR_ACCURACY_RO[],MATCH(M$50,MMWR_ACCURACY_RO[#Headers],0),0),"ERROR"))</f>
        <v>3.5545985256554079E-2</v>
      </c>
      <c r="N36" s="253">
        <f>IF($B36=" ","",IFERROR(VLOOKUP($B36,MMWR_ACCURACY_RO[],MATCH(N$50,MMWR_ACCURACY_RO[#Headers],0),0),"ERROR"))</f>
        <v>0.98944157871517291</v>
      </c>
      <c r="O36" s="253">
        <f>IF($B36=" ","",IFERROR(VLOOKUP($B36,MMWR_ACCURACY_RO[],MATCH(O$50,MMWR_ACCURACY_RO[#Headers],0),0),"ERROR"))</f>
        <v>1.3096480252679754E-2</v>
      </c>
      <c r="P36" s="28"/>
    </row>
    <row r="37" spans="1:16" x14ac:dyDescent="0.2">
      <c r="A37" s="25"/>
      <c r="B37" s="12" t="s">
        <v>218</v>
      </c>
      <c r="C37" s="155">
        <f>IF($B37=" ","",IFERROR(INDEX(MMWR_RATING_RO_ROLLUP[],MATCH($B37,MMWR_RATING_RO_ROLLUP[MMWR_RATING_RO_ROLLUP],0),MATCH(C$9,MMWR_RATING_RO_ROLLUP[#Headers],0)),"ERROR"))</f>
        <v>8041</v>
      </c>
      <c r="D37" s="156">
        <f>IF($B37=" ","",IFERROR(INDEX(MMWR_RATING_RO_ROLLUP[],MATCH($B37,MMWR_RATING_RO_ROLLUP[MMWR_RATING_RO_ROLLUP],0),MATCH(D$9,MMWR_RATING_RO_ROLLUP[#Headers],0)),"ERROR"))</f>
        <v>49.494092774499997</v>
      </c>
      <c r="E37" s="157">
        <f>IF($B37=" ","",IFERROR(INDEX(MMWR_RATING_RO_ROLLUP[],MATCH($B37,MMWR_RATING_RO_ROLLUP[MMWR_RATING_RO_ROLLUP],0),MATCH(E$9,MMWR_RATING_RO_ROLLUP[#Headers],0))/$C37,"ERROR"))</f>
        <v>4.8003979604526799E-2</v>
      </c>
      <c r="F37" s="155">
        <f>IF($B37=" ","",IFERROR(INDEX(MMWR_RATING_RO_ROLLUP[],MATCH($B37,MMWR_RATING_RO_ROLLUP[MMWR_RATING_RO_ROLLUP],0),MATCH(F$9,MMWR_RATING_RO_ROLLUP[#Headers],0)),"ERROR"))</f>
        <v>408</v>
      </c>
      <c r="G37" s="155">
        <f>IF($B37=" ","",IFERROR(INDEX(MMWR_RATING_RO_ROLLUP[],MATCH($B37,MMWR_RATING_RO_ROLLUP[MMWR_RATING_RO_ROLLUP],0),MATCH(G$9,MMWR_RATING_RO_ROLLUP[#Headers],0)),"ERROR"))</f>
        <v>408</v>
      </c>
      <c r="H37" s="156">
        <f>IF($B37=" ","",IFERROR(INDEX(MMWR_RATING_RO_ROLLUP[],MATCH($B37,MMWR_RATING_RO_ROLLUP[MMWR_RATING_RO_ROLLUP],0),MATCH(H$9,MMWR_RATING_RO_ROLLUP[#Headers],0)),"ERROR"))</f>
        <v>55.026960784300002</v>
      </c>
      <c r="I37" s="156">
        <f>IF($B37=" ","",IFERROR(INDEX(MMWR_RATING_RO_ROLLUP[],MATCH($B37,MMWR_RATING_RO_ROLLUP[MMWR_RATING_RO_ROLLUP],0),MATCH(I$9,MMWR_RATING_RO_ROLLUP[#Headers],0)),"ERROR"))</f>
        <v>55.026960784300002</v>
      </c>
      <c r="J37" s="42"/>
      <c r="K37" s="253">
        <f>IF($B37=" ","",IFERROR(VLOOKUP($B37,MMWR_ACCURACY_RO[],MATCH(K$50,MMWR_ACCURACY_RO[#Headers],0),0),"ERROR"))</f>
        <v>1</v>
      </c>
      <c r="L37" s="253">
        <f>IF($B37=" ","",IFERROR(VLOOKUP($B37,MMWR_ACCURACY_RO[],MATCH(L$50,MMWR_ACCURACY_RO[#Headers],0),0),"ERROR"))</f>
        <v>0.99193593620838205</v>
      </c>
      <c r="M37" s="253">
        <f>IF($B37=" ","",IFERROR(VLOOKUP($B37,MMWR_ACCURACY_RO[],MATCH(M$50,MMWR_ACCURACY_RO[#Headers],0),0),"ERROR"))</f>
        <v>9.666283474267701E-3</v>
      </c>
      <c r="N37" s="253">
        <f>IF($B37=" ","",IFERROR(VLOOKUP($B37,MMWR_ACCURACY_RO[],MATCH(N$50,MMWR_ACCURACY_RO[#Headers],0),0),"ERROR"))</f>
        <v>0.9637157119031865</v>
      </c>
      <c r="O37" s="253">
        <f>IF($B37=" ","",IFERROR(VLOOKUP($B37,MMWR_ACCURACY_RO[],MATCH(O$50,MMWR_ACCURACY_RO[#Headers],0),0),"ERROR"))</f>
        <v>3.6286696846211372E-2</v>
      </c>
      <c r="P37" s="28"/>
    </row>
    <row r="38" spans="1:16" x14ac:dyDescent="0.2">
      <c r="A38" s="25"/>
      <c r="B38" s="13" t="s">
        <v>230</v>
      </c>
      <c r="C38" s="155">
        <f>IF($B38=" ","",IFERROR(INDEX(MMWR_RATING_RO_ROLLUP[],MATCH($B38,MMWR_RATING_RO_ROLLUP[MMWR_RATING_RO_ROLLUP],0),MATCH(C$9,MMWR_RATING_RO_ROLLUP[#Headers],0)),"ERROR"))</f>
        <v>512</v>
      </c>
      <c r="D38" s="156">
        <f>IF($B38=" ","",IFERROR(INDEX(MMWR_RATING_RO_ROLLUP[],MATCH($B38,MMWR_RATING_RO_ROLLUP[MMWR_RATING_RO_ROLLUP],0),MATCH(D$9,MMWR_RATING_RO_ROLLUP[#Headers],0)),"ERROR"))</f>
        <v>164.78515625</v>
      </c>
      <c r="E38" s="157">
        <f>IF($B38=" ","",IFERROR(INDEX(MMWR_RATING_RO_ROLLUP[],MATCH($B38,MMWR_RATING_RO_ROLLUP[MMWR_RATING_RO_ROLLUP],0),MATCH(E$9,MMWR_RATING_RO_ROLLUP[#Headers],0))/$C38,"ERROR"))</f>
        <v>0.453125</v>
      </c>
      <c r="F38" s="155">
        <f>IF($B38=" ","",IFERROR(INDEX(MMWR_RATING_RO_ROLLUP[],MATCH($B38,MMWR_RATING_RO_ROLLUP[MMWR_RATING_RO_ROLLUP],0),MATCH(F$9,MMWR_RATING_RO_ROLLUP[#Headers],0)),"ERROR"))</f>
        <v>15</v>
      </c>
      <c r="G38" s="155">
        <f>IF($B38=" ","",IFERROR(INDEX(MMWR_RATING_RO_ROLLUP[],MATCH($B38,MMWR_RATING_RO_ROLLUP[MMWR_RATING_RO_ROLLUP],0),MATCH(G$9,MMWR_RATING_RO_ROLLUP[#Headers],0)),"ERROR"))</f>
        <v>15</v>
      </c>
      <c r="H38" s="156">
        <f>IF($B38=" ","",IFERROR(INDEX(MMWR_RATING_RO_ROLLUP[],MATCH($B38,MMWR_RATING_RO_ROLLUP[MMWR_RATING_RO_ROLLUP],0),MATCH(H$9,MMWR_RATING_RO_ROLLUP[#Headers],0)),"ERROR"))</f>
        <v>51.266666666699997</v>
      </c>
      <c r="I38" s="156">
        <f>IF($B38=" ","",IFERROR(INDEX(MMWR_RATING_RO_ROLLUP[],MATCH($B38,MMWR_RATING_RO_ROLLUP[MMWR_RATING_RO_ROLLUP],0),MATCH(I$9,MMWR_RATING_RO_ROLLUP[#Headers],0)),"ERROR"))</f>
        <v>51.266666666699997</v>
      </c>
      <c r="J38" s="42"/>
      <c r="K38" s="42"/>
      <c r="L38" s="42"/>
      <c r="M38" s="42"/>
      <c r="N38" s="42"/>
      <c r="O38" s="42"/>
      <c r="P38" s="28"/>
    </row>
    <row r="39" spans="1:16" x14ac:dyDescent="0.2">
      <c r="A39" s="25"/>
      <c r="B39" s="341" t="s">
        <v>923</v>
      </c>
      <c r="C39" s="342"/>
      <c r="D39" s="342"/>
      <c r="E39" s="342"/>
      <c r="F39" s="342"/>
      <c r="G39" s="342"/>
      <c r="H39" s="342"/>
      <c r="I39" s="342"/>
      <c r="J39" s="342"/>
      <c r="K39" s="342"/>
      <c r="L39" s="342"/>
      <c r="M39" s="342"/>
      <c r="N39" s="342"/>
      <c r="O39" s="342"/>
      <c r="P39" s="28"/>
    </row>
    <row r="40" spans="1:16" x14ac:dyDescent="0.2">
      <c r="A40" s="25"/>
      <c r="B40" s="44" t="s">
        <v>704</v>
      </c>
      <c r="C40" s="155">
        <f>IF($B40=" ","",IFERROR(INDEX(MMWR_RATING_RO_ROLLUP[],MATCH($B40,MMWR_RATING_RO_ROLLUP[MMWR_RATING_RO_ROLLUP],0),MATCH(C$9,MMWR_RATING_RO_ROLLUP[#Headers],0)),"ERROR"))</f>
        <v>9865</v>
      </c>
      <c r="D40" s="156">
        <f>IF($B40=" ","",IFERROR(INDEX(MMWR_RATING_RO_ROLLUP[],MATCH($B40,MMWR_RATING_RO_ROLLUP[MMWR_RATING_RO_ROLLUP],0),MATCH(D$9,MMWR_RATING_RO_ROLLUP[#Headers],0)),"ERROR"))</f>
        <v>64.185098834300007</v>
      </c>
      <c r="E40" s="157">
        <f>IF($B40=" ","",IFERROR(INDEX(MMWR_RATING_RO_ROLLUP[],MATCH($B40,MMWR_RATING_RO_ROLLUP[MMWR_RATING_RO_ROLLUP],0),MATCH(E$9,MMWR_RATING_RO_ROLLUP[#Headers],0))/$C40,"ERROR"))</f>
        <v>8.1398884946781547E-2</v>
      </c>
      <c r="F40" s="155">
        <f>IF($B40=" ","",IFERROR(INDEX(MMWR_RATING_RO_ROLLUP[],MATCH($B40,MMWR_RATING_RO_ROLLUP[MMWR_RATING_RO_ROLLUP],0),MATCH(F$9,MMWR_RATING_RO_ROLLUP[#Headers],0)),"ERROR"))</f>
        <v>150</v>
      </c>
      <c r="G40" s="155">
        <f>IF($B40=" ","",IFERROR(INDEX(MMWR_RATING_RO_ROLLUP[],MATCH($B40,MMWR_RATING_RO_ROLLUP[MMWR_RATING_RO_ROLLUP],0),MATCH(G$9,MMWR_RATING_RO_ROLLUP[#Headers],0)),"ERROR"))</f>
        <v>150</v>
      </c>
      <c r="H40" s="156">
        <f>IF($B40=" ","",IFERROR(INDEX(MMWR_RATING_RO_ROLLUP[],MATCH($B40,MMWR_RATING_RO_ROLLUP[MMWR_RATING_RO_ROLLUP],0),MATCH(H$9,MMWR_RATING_RO_ROLLUP[#Headers],0)),"ERROR"))</f>
        <v>137.54666666669999</v>
      </c>
      <c r="I40" s="156">
        <f>IF($B40=" ","",IFERROR(INDEX(MMWR_RATING_RO_ROLLUP[],MATCH($B40,MMWR_RATING_RO_ROLLUP[MMWR_RATING_RO_ROLLUP],0),MATCH(I$9,MMWR_RATING_RO_ROLLUP[#Headers],0)),"ERROR"))</f>
        <v>137.54666666669999</v>
      </c>
      <c r="J40" s="42"/>
      <c r="K40" s="42"/>
      <c r="L40" s="42"/>
      <c r="M40" s="42"/>
      <c r="N40" s="42"/>
      <c r="O40" s="42"/>
      <c r="P40" s="28"/>
    </row>
    <row r="41" spans="1:16" x14ac:dyDescent="0.2">
      <c r="A41" s="25"/>
      <c r="B41" s="45" t="s">
        <v>963</v>
      </c>
      <c r="C41" s="155">
        <f>IF($B41=" ","",IFERROR(INDEX(MMWR_RATING_RO_ROLLUP[],MATCH($B41,MMWR_RATING_RO_ROLLUP[MMWR_RATING_RO_ROLLUP],0),MATCH(C$9,MMWR_RATING_RO_ROLLUP[#Headers],0)),"ERROR"))</f>
        <v>4299</v>
      </c>
      <c r="D41" s="156">
        <f>IF($B41=" ","",IFERROR(INDEX(MMWR_RATING_RO_ROLLUP[],MATCH($B41,MMWR_RATING_RO_ROLLUP[MMWR_RATING_RO_ROLLUP],0),MATCH(D$9,MMWR_RATING_RO_ROLLUP[#Headers],0)),"ERROR"))</f>
        <v>59.383344963900001</v>
      </c>
      <c r="E41" s="157">
        <f>IF($B41=" ","",IFERROR(INDEX(MMWR_RATING_RO_ROLLUP[],MATCH($B41,MMWR_RATING_RO_ROLLUP[MMWR_RATING_RO_ROLLUP],0),MATCH(E$9,MMWR_RATING_RO_ROLLUP[#Headers],0))/$C41,"ERROR"))</f>
        <v>7.9088160037217956E-2</v>
      </c>
      <c r="F41" s="155">
        <f>IF($B41=" ","",IFERROR(INDEX(MMWR_RATING_RO_ROLLUP[],MATCH($B41,MMWR_RATING_RO_ROLLUP[MMWR_RATING_RO_ROLLUP],0),MATCH(F$9,MMWR_RATING_RO_ROLLUP[#Headers],0)),"ERROR"))</f>
        <v>72</v>
      </c>
      <c r="G41" s="155">
        <f>IF($B41=" ","",IFERROR(INDEX(MMWR_RATING_RO_ROLLUP[],MATCH($B41,MMWR_RATING_RO_ROLLUP[MMWR_RATING_RO_ROLLUP],0),MATCH(G$9,MMWR_RATING_RO_ROLLUP[#Headers],0)),"ERROR"))</f>
        <v>72</v>
      </c>
      <c r="H41" s="156">
        <f>IF($B41=" ","",IFERROR(INDEX(MMWR_RATING_RO_ROLLUP[],MATCH($B41,MMWR_RATING_RO_ROLLUP[MMWR_RATING_RO_ROLLUP],0),MATCH(H$9,MMWR_RATING_RO_ROLLUP[#Headers],0)),"ERROR"))</f>
        <v>101.6388888889</v>
      </c>
      <c r="I41" s="156">
        <f>IF($B41=" ","",IFERROR(INDEX(MMWR_RATING_RO_ROLLUP[],MATCH($B41,MMWR_RATING_RO_ROLLUP[MMWR_RATING_RO_ROLLUP],0),MATCH(I$9,MMWR_RATING_RO_ROLLUP[#Headers],0)),"ERROR"))</f>
        <v>101.6388888889</v>
      </c>
      <c r="J41" s="42"/>
      <c r="K41" s="42"/>
      <c r="L41" s="42"/>
      <c r="M41" s="42"/>
      <c r="N41" s="42"/>
      <c r="O41" s="42"/>
      <c r="P41" s="28"/>
    </row>
    <row r="42" spans="1:16" x14ac:dyDescent="0.2">
      <c r="A42" s="25"/>
      <c r="B42" s="45" t="s">
        <v>964</v>
      </c>
      <c r="C42" s="155">
        <f>IF($B42=" ","",IFERROR(INDEX(MMWR_RATING_RO_ROLLUP[],MATCH($B42,MMWR_RATING_RO_ROLLUP[MMWR_RATING_RO_ROLLUP],0),MATCH(C$9,MMWR_RATING_RO_ROLLUP[#Headers],0)),"ERROR"))</f>
        <v>4895</v>
      </c>
      <c r="D42" s="156">
        <f>IF($B42=" ","",IFERROR(INDEX(MMWR_RATING_RO_ROLLUP[],MATCH($B42,MMWR_RATING_RO_ROLLUP[MMWR_RATING_RO_ROLLUP],0),MATCH(D$9,MMWR_RATING_RO_ROLLUP[#Headers],0)),"ERROR"))</f>
        <v>71.300102144999997</v>
      </c>
      <c r="E42" s="157">
        <f>IF($B42=" ","",IFERROR(INDEX(MMWR_RATING_RO_ROLLUP[],MATCH($B42,MMWR_RATING_RO_ROLLUP[MMWR_RATING_RO_ROLLUP],0),MATCH(E$9,MMWR_RATING_RO_ROLLUP[#Headers],0))/$C42,"ERROR"))</f>
        <v>8.7640449438202248E-2</v>
      </c>
      <c r="F42" s="155">
        <f>IF($B42=" ","",IFERROR(INDEX(MMWR_RATING_RO_ROLLUP[],MATCH($B42,MMWR_RATING_RO_ROLLUP[MMWR_RATING_RO_ROLLUP],0),MATCH(F$9,MMWR_RATING_RO_ROLLUP[#Headers],0)),"ERROR"))</f>
        <v>76</v>
      </c>
      <c r="G42" s="155">
        <f>IF($B42=" ","",IFERROR(INDEX(MMWR_RATING_RO_ROLLUP[],MATCH($B42,MMWR_RATING_RO_ROLLUP[MMWR_RATING_RO_ROLLUP],0),MATCH(G$9,MMWR_RATING_RO_ROLLUP[#Headers],0)),"ERROR"))</f>
        <v>76</v>
      </c>
      <c r="H42" s="156">
        <f>IF($B42=" ","",IFERROR(INDEX(MMWR_RATING_RO_ROLLUP[],MATCH($B42,MMWR_RATING_RO_ROLLUP[MMWR_RATING_RO_ROLLUP],0),MATCH(H$9,MMWR_RATING_RO_ROLLUP[#Headers],0)),"ERROR"))</f>
        <v>173.2894736842</v>
      </c>
      <c r="I42" s="156">
        <f>IF($B42=" ","",IFERROR(INDEX(MMWR_RATING_RO_ROLLUP[],MATCH($B42,MMWR_RATING_RO_ROLLUP[MMWR_RATING_RO_ROLLUP],0),MATCH(I$9,MMWR_RATING_RO_ROLLUP[#Headers],0)),"ERROR"))</f>
        <v>173.2894736842</v>
      </c>
      <c r="J42" s="42"/>
      <c r="K42" s="42"/>
      <c r="L42" s="42"/>
      <c r="M42" s="42"/>
      <c r="N42" s="42"/>
      <c r="O42" s="42"/>
      <c r="P42" s="28"/>
    </row>
    <row r="43" spans="1:16" x14ac:dyDescent="0.2">
      <c r="A43" s="25"/>
      <c r="B43" s="46" t="s">
        <v>313</v>
      </c>
      <c r="C43" s="155">
        <f>IF($B43=" ","",IFERROR(INDEX(MMWR_RATING_RO_ROLLUP[],MATCH($B43,MMWR_RATING_RO_ROLLUP[MMWR_RATING_RO_ROLLUP],0),MATCH(C$9,MMWR_RATING_RO_ROLLUP[#Headers],0)),"ERROR"))</f>
        <v>671</v>
      </c>
      <c r="D43" s="156">
        <f>IF($B43=" ","",IFERROR(INDEX(MMWR_RATING_RO_ROLLUP[],MATCH($B43,MMWR_RATING_RO_ROLLUP[MMWR_RATING_RO_ROLLUP],0),MATCH(D$9,MMWR_RATING_RO_ROLLUP[#Headers],0)),"ERROR"))</f>
        <v>43.044709388999998</v>
      </c>
      <c r="E43" s="157">
        <f>IF($B43=" ","",IFERROR(INDEX(MMWR_RATING_RO_ROLLUP[],MATCH($B43,MMWR_RATING_RO_ROLLUP[MMWR_RATING_RO_ROLLUP],0),MATCH(E$9,MMWR_RATING_RO_ROLLUP[#Headers],0))/$C43,"ERROR"))</f>
        <v>5.0670640834575259E-2</v>
      </c>
      <c r="F43" s="155">
        <f>IF($B43=" ","",IFERROR(INDEX(MMWR_RATING_RO_ROLLUP[],MATCH($B43,MMWR_RATING_RO_ROLLUP[MMWR_RATING_RO_ROLLUP],0),MATCH(F$9,MMWR_RATING_RO_ROLLUP[#Headers],0)),"ERROR"))</f>
        <v>2</v>
      </c>
      <c r="G43" s="155">
        <f>IF($B43=" ","",IFERROR(INDEX(MMWR_RATING_RO_ROLLUP[],MATCH($B43,MMWR_RATING_RO_ROLLUP[MMWR_RATING_RO_ROLLUP],0),MATCH(G$9,MMWR_RATING_RO_ROLLUP[#Headers],0)),"ERROR"))</f>
        <v>2</v>
      </c>
      <c r="H43" s="156">
        <f>IF($B43=" ","",IFERROR(INDEX(MMWR_RATING_RO_ROLLUP[],MATCH($B43,MMWR_RATING_RO_ROLLUP[MMWR_RATING_RO_ROLLUP],0),MATCH(H$9,MMWR_RATING_RO_ROLLUP[#Headers],0)),"ERROR"))</f>
        <v>72</v>
      </c>
      <c r="I43" s="156">
        <f>IF($B43=" ","",IFERROR(INDEX(MMWR_RATING_RO_ROLLUP[],MATCH($B43,MMWR_RATING_RO_ROLLUP[MMWR_RATING_RO_ROLLUP],0),MATCH(I$9,MMWR_RATING_RO_ROLLUP[#Headers],0)),"ERROR"))</f>
        <v>72</v>
      </c>
      <c r="J43" s="42"/>
      <c r="K43" s="42"/>
      <c r="L43" s="42"/>
      <c r="M43" s="42"/>
      <c r="N43" s="42"/>
      <c r="O43" s="42"/>
      <c r="P43" s="28"/>
    </row>
    <row r="44" spans="1:16" x14ac:dyDescent="0.2">
      <c r="A44" s="25"/>
      <c r="B44" s="341" t="s">
        <v>741</v>
      </c>
      <c r="C44" s="342"/>
      <c r="D44" s="342"/>
      <c r="E44" s="342"/>
      <c r="F44" s="342"/>
      <c r="G44" s="342"/>
      <c r="H44" s="342"/>
      <c r="I44" s="342"/>
      <c r="J44" s="342"/>
      <c r="K44" s="342"/>
      <c r="L44" s="342"/>
      <c r="M44" s="342"/>
      <c r="N44" s="342"/>
      <c r="O44" s="342"/>
      <c r="P44" s="28"/>
    </row>
    <row r="45" spans="1:16" x14ac:dyDescent="0.2">
      <c r="A45" s="25"/>
      <c r="B45" s="44" t="s">
        <v>702</v>
      </c>
      <c r="C45" s="155">
        <f>IF($B45=" ","",IFERROR(INDEX(MMWR_RATING_RO_ROLLUP[],MATCH($B45,MMWR_RATING_RO_ROLLUP[MMWR_RATING_RO_ROLLUP],0),MATCH(C$9,MMWR_RATING_RO_ROLLUP[#Headers],0)),"ERROR"))</f>
        <v>11665</v>
      </c>
      <c r="D45" s="156">
        <f>IF($B45=" ","",IFERROR(INDEX(MMWR_RATING_RO_ROLLUP[],MATCH($B45,MMWR_RATING_RO_ROLLUP[MMWR_RATING_RO_ROLLUP],0),MATCH(D$9,MMWR_RATING_RO_ROLLUP[#Headers],0)),"ERROR"))</f>
        <v>61.260008572700002</v>
      </c>
      <c r="E45" s="157">
        <f>IF($B45=" ","",IFERROR(INDEX(MMWR_RATING_RO_ROLLUP[],MATCH($B45,MMWR_RATING_RO_ROLLUP[MMWR_RATING_RO_ROLLUP],0),MATCH(E$9,MMWR_RATING_RO_ROLLUP[#Headers],0))/$C45,"ERROR"))</f>
        <v>5.915130732961852E-2</v>
      </c>
      <c r="F45" s="155">
        <f>IF($B45=" ","",IFERROR(INDEX(MMWR_RATING_RO_ROLLUP[],MATCH($B45,MMWR_RATING_RO_ROLLUP[MMWR_RATING_RO_ROLLUP],0),MATCH(F$9,MMWR_RATING_RO_ROLLUP[#Headers],0)),"ERROR"))</f>
        <v>188</v>
      </c>
      <c r="G45" s="155">
        <f>IF($B45=" ","",IFERROR(INDEX(MMWR_RATING_RO_ROLLUP[],MATCH($B45,MMWR_RATING_RO_ROLLUP[MMWR_RATING_RO_ROLLUP],0),MATCH(G$9,MMWR_RATING_RO_ROLLUP[#Headers],0)),"ERROR"))</f>
        <v>188</v>
      </c>
      <c r="H45" s="156">
        <f>IF($B45=" ","",IFERROR(INDEX(MMWR_RATING_RO_ROLLUP[],MATCH($B45,MMWR_RATING_RO_ROLLUP[MMWR_RATING_RO_ROLLUP],0),MATCH(H$9,MMWR_RATING_RO_ROLLUP[#Headers],0)),"ERROR"))</f>
        <v>128.61702127660001</v>
      </c>
      <c r="I45" s="156">
        <f>IF($B45=" ","",IFERROR(INDEX(MMWR_RATING_RO_ROLLUP[],MATCH($B45,MMWR_RATING_RO_ROLLUP[MMWR_RATING_RO_ROLLUP],0),MATCH(I$9,MMWR_RATING_RO_ROLLUP[#Headers],0)),"ERROR"))</f>
        <v>128.61702127660001</v>
      </c>
      <c r="J45" s="42"/>
      <c r="K45" s="42"/>
      <c r="L45" s="42"/>
      <c r="M45" s="42"/>
      <c r="N45" s="42"/>
      <c r="O45" s="42"/>
      <c r="P45" s="28"/>
    </row>
    <row r="46" spans="1:16" x14ac:dyDescent="0.2">
      <c r="A46" s="25"/>
      <c r="B46" s="45" t="s">
        <v>217</v>
      </c>
      <c r="C46" s="155">
        <f>IF($B46=" ","",IFERROR(INDEX(MMWR_RATING_RO_ROLLUP[],MATCH($B46,MMWR_RATING_RO_ROLLUP[MMWR_RATING_RO_ROLLUP],0),MATCH(C$9,MMWR_RATING_RO_ROLLUP[#Headers],0)),"ERROR"))</f>
        <v>4252</v>
      </c>
      <c r="D46" s="156">
        <f>IF($B46=" ","",IFERROR(INDEX(MMWR_RATING_RO_ROLLUP[],MATCH($B46,MMWR_RATING_RO_ROLLUP[MMWR_RATING_RO_ROLLUP],0),MATCH(D$9,MMWR_RATING_RO_ROLLUP[#Headers],0)),"ERROR"))</f>
        <v>54.660865475100003</v>
      </c>
      <c r="E46" s="157">
        <f>IF($B46=" ","",IFERROR(INDEX(MMWR_RATING_RO_ROLLUP[],MATCH($B46,MMWR_RATING_RO_ROLLUP[MMWR_RATING_RO_ROLLUP],0),MATCH(E$9,MMWR_RATING_RO_ROLLUP[#Headers],0))/$C46,"ERROR"))</f>
        <v>3.9275634995296328E-2</v>
      </c>
      <c r="F46" s="155">
        <f>IF($B46=" ","",IFERROR(INDEX(MMWR_RATING_RO_ROLLUP[],MATCH($B46,MMWR_RATING_RO_ROLLUP[MMWR_RATING_RO_ROLLUP],0),MATCH(F$9,MMWR_RATING_RO_ROLLUP[#Headers],0)),"ERROR"))</f>
        <v>90</v>
      </c>
      <c r="G46" s="155">
        <f>IF($B46=" ","",IFERROR(INDEX(MMWR_RATING_RO_ROLLUP[],MATCH($B46,MMWR_RATING_RO_ROLLUP[MMWR_RATING_RO_ROLLUP],0),MATCH(G$9,MMWR_RATING_RO_ROLLUP[#Headers],0)),"ERROR"))</f>
        <v>90</v>
      </c>
      <c r="H46" s="156">
        <f>IF($B46=" ","",IFERROR(INDEX(MMWR_RATING_RO_ROLLUP[],MATCH($B46,MMWR_RATING_RO_ROLLUP[MMWR_RATING_RO_ROLLUP],0),MATCH(H$9,MMWR_RATING_RO_ROLLUP[#Headers],0)),"ERROR"))</f>
        <v>110.0444444444</v>
      </c>
      <c r="I46" s="156">
        <f>IF($B46=" ","",IFERROR(INDEX(MMWR_RATING_RO_ROLLUP[],MATCH($B46,MMWR_RATING_RO_ROLLUP[MMWR_RATING_RO_ROLLUP],0),MATCH(I$9,MMWR_RATING_RO_ROLLUP[#Headers],0)),"ERROR"))</f>
        <v>110.0444444444</v>
      </c>
      <c r="J46" s="42"/>
      <c r="K46" s="42"/>
      <c r="L46" s="42"/>
      <c r="M46" s="42"/>
      <c r="N46" s="42"/>
      <c r="O46" s="42"/>
      <c r="P46" s="28"/>
    </row>
    <row r="47" spans="1:16" x14ac:dyDescent="0.2">
      <c r="A47" s="25"/>
      <c r="B47" s="45" t="s">
        <v>219</v>
      </c>
      <c r="C47" s="155">
        <f>IF($B47=" ","",IFERROR(INDEX(MMWR_RATING_RO_ROLLUP[],MATCH($B47,MMWR_RATING_RO_ROLLUP[MMWR_RATING_RO_ROLLUP],0),MATCH(C$9,MMWR_RATING_RO_ROLLUP[#Headers],0)),"ERROR"))</f>
        <v>6711</v>
      </c>
      <c r="D47" s="156">
        <f>IF($B47=" ","",IFERROR(INDEX(MMWR_RATING_RO_ROLLUP[],MATCH($B47,MMWR_RATING_RO_ROLLUP[MMWR_RATING_RO_ROLLUP],0),MATCH(D$9,MMWR_RATING_RO_ROLLUP[#Headers],0)),"ERROR"))</f>
        <v>65.489345850099994</v>
      </c>
      <c r="E47" s="157">
        <f>IF($B47=" ","",IFERROR(INDEX(MMWR_RATING_RO_ROLLUP[],MATCH($B47,MMWR_RATING_RO_ROLLUP[MMWR_RATING_RO_ROLLUP],0),MATCH(E$9,MMWR_RATING_RO_ROLLUP[#Headers],0))/$C47,"ERROR"))</f>
        <v>6.8097153926389514E-2</v>
      </c>
      <c r="F47" s="155">
        <f>IF($B47=" ","",IFERROR(INDEX(MMWR_RATING_RO_ROLLUP[],MATCH($B47,MMWR_RATING_RO_ROLLUP[MMWR_RATING_RO_ROLLUP],0),MATCH(F$9,MMWR_RATING_RO_ROLLUP[#Headers],0)),"ERROR"))</f>
        <v>87</v>
      </c>
      <c r="G47" s="155">
        <f>IF($B47=" ","",IFERROR(INDEX(MMWR_RATING_RO_ROLLUP[],MATCH($B47,MMWR_RATING_RO_ROLLUP[MMWR_RATING_RO_ROLLUP],0),MATCH(G$9,MMWR_RATING_RO_ROLLUP[#Headers],0)),"ERROR"))</f>
        <v>87</v>
      </c>
      <c r="H47" s="156">
        <f>IF($B47=" ","",IFERROR(INDEX(MMWR_RATING_RO_ROLLUP[],MATCH($B47,MMWR_RATING_RO_ROLLUP[MMWR_RATING_RO_ROLLUP],0),MATCH(H$9,MMWR_RATING_RO_ROLLUP[#Headers],0)),"ERROR"))</f>
        <v>148.4252873563</v>
      </c>
      <c r="I47" s="156">
        <f>IF($B47=" ","",IFERROR(INDEX(MMWR_RATING_RO_ROLLUP[],MATCH($B47,MMWR_RATING_RO_ROLLUP[MMWR_RATING_RO_ROLLUP],0),MATCH(I$9,MMWR_RATING_RO_ROLLUP[#Headers],0)),"ERROR"))</f>
        <v>148.4252873563</v>
      </c>
      <c r="J47" s="42"/>
      <c r="K47" s="42"/>
      <c r="L47" s="42"/>
      <c r="M47" s="42"/>
      <c r="N47" s="42"/>
      <c r="O47" s="42"/>
      <c r="P47" s="28"/>
    </row>
    <row r="48" spans="1:16" x14ac:dyDescent="0.2">
      <c r="A48" s="25"/>
      <c r="B48" s="47" t="s">
        <v>314</v>
      </c>
      <c r="C48" s="155">
        <f>IF($B48=" ","",IFERROR(INDEX(MMWR_RATING_RO_ROLLUP[],MATCH($B48,MMWR_RATING_RO_ROLLUP[MMWR_RATING_RO_ROLLUP],0),MATCH(C$9,MMWR_RATING_RO_ROLLUP[#Headers],0)),"ERROR"))</f>
        <v>702</v>
      </c>
      <c r="D48" s="156">
        <f>IF($B48=" ","",IFERROR(INDEX(MMWR_RATING_RO_ROLLUP[],MATCH($B48,MMWR_RATING_RO_ROLLUP[MMWR_RATING_RO_ROLLUP],0),MATCH(D$9,MMWR_RATING_RO_ROLLUP[#Headers],0)),"ERROR"))</f>
        <v>60.799145299099997</v>
      </c>
      <c r="E48" s="157">
        <f>IF($B48=" ","",IFERROR(INDEX(MMWR_RATING_RO_ROLLUP[],MATCH($B48,MMWR_RATING_RO_ROLLUP[MMWR_RATING_RO_ROLLUP],0),MATCH(E$9,MMWR_RATING_RO_ROLLUP[#Headers],0))/$C48,"ERROR"))</f>
        <v>9.4017094017094016E-2</v>
      </c>
      <c r="F48" s="155">
        <f>IF($B48=" ","",IFERROR(INDEX(MMWR_RATING_RO_ROLLUP[],MATCH($B48,MMWR_RATING_RO_ROLLUP[MMWR_RATING_RO_ROLLUP],0),MATCH(F$9,MMWR_RATING_RO_ROLLUP[#Headers],0)),"ERROR"))</f>
        <v>11</v>
      </c>
      <c r="G48" s="155">
        <f>IF($B48=" ","",IFERROR(INDEX(MMWR_RATING_RO_ROLLUP[],MATCH($B48,MMWR_RATING_RO_ROLLUP[MMWR_RATING_RO_ROLLUP],0),MATCH(G$9,MMWR_RATING_RO_ROLLUP[#Headers],0)),"ERROR"))</f>
        <v>11</v>
      </c>
      <c r="H48" s="156">
        <f>IF($B48=" ","",IFERROR(INDEX(MMWR_RATING_RO_ROLLUP[],MATCH($B48,MMWR_RATING_RO_ROLLUP[MMWR_RATING_RO_ROLLUP],0),MATCH(H$9,MMWR_RATING_RO_ROLLUP[#Headers],0)),"ERROR"))</f>
        <v>123.9090909091</v>
      </c>
      <c r="I48" s="156">
        <f>IF($B48=" ","",IFERROR(INDEX(MMWR_RATING_RO_ROLLUP[],MATCH($B48,MMWR_RATING_RO_ROLLUP[MMWR_RATING_RO_ROLLUP],0),MATCH(I$9,MMWR_RATING_RO_ROLLUP[#Headers],0)),"ERROR"))</f>
        <v>123.9090909091</v>
      </c>
      <c r="J48" s="42"/>
      <c r="K48" s="42"/>
      <c r="L48" s="42"/>
      <c r="M48" s="42"/>
      <c r="N48" s="42"/>
      <c r="O48" s="42"/>
      <c r="P48" s="28"/>
    </row>
    <row r="49" spans="1:16" ht="15.75" x14ac:dyDescent="0.25">
      <c r="A49" s="25"/>
      <c r="B49" s="340" t="s">
        <v>1058</v>
      </c>
      <c r="C49" s="340"/>
      <c r="D49" s="340"/>
      <c r="E49" s="340"/>
      <c r="F49" s="340"/>
      <c r="G49" s="340"/>
      <c r="H49" s="340"/>
      <c r="I49" s="340"/>
      <c r="J49" s="340"/>
      <c r="K49" s="340"/>
      <c r="L49" s="340"/>
      <c r="M49" s="340"/>
      <c r="N49" s="340"/>
      <c r="O49" s="263"/>
      <c r="P49" s="28"/>
    </row>
    <row r="50" spans="1:16" ht="12" customHeight="1" x14ac:dyDescent="0.2">
      <c r="A50" s="25"/>
      <c r="B50" s="26"/>
      <c r="C50" s="26"/>
      <c r="D50" s="26"/>
      <c r="E50" s="26"/>
      <c r="F50" s="26"/>
      <c r="G50" s="26"/>
      <c r="H50" s="26"/>
      <c r="I50" s="26"/>
      <c r="J50" s="26"/>
      <c r="K50" s="27" t="s">
        <v>929</v>
      </c>
      <c r="L50" s="27" t="s">
        <v>934</v>
      </c>
      <c r="M50" s="27" t="s">
        <v>935</v>
      </c>
      <c r="N50" s="27" t="s">
        <v>936</v>
      </c>
      <c r="O50" s="27" t="s">
        <v>937</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5" t="s">
        <v>300</v>
      </c>
      <c r="D2" s="356"/>
      <c r="E2" s="356"/>
      <c r="F2" s="356"/>
      <c r="G2" s="356"/>
      <c r="H2" s="356"/>
      <c r="I2" s="356"/>
      <c r="J2" s="355" t="s">
        <v>306</v>
      </c>
      <c r="K2" s="356"/>
      <c r="L2" s="356"/>
      <c r="M2" s="357"/>
      <c r="N2" s="28"/>
    </row>
    <row r="3" spans="1:16" ht="24" customHeight="1" thickBot="1" x14ac:dyDescent="0.4">
      <c r="A3" s="25"/>
      <c r="B3" s="29"/>
      <c r="C3" s="358"/>
      <c r="D3" s="359"/>
      <c r="E3" s="359"/>
      <c r="F3" s="359"/>
      <c r="G3" s="359"/>
      <c r="H3" s="359"/>
      <c r="I3" s="359"/>
      <c r="J3" s="358" t="str">
        <f>Transformation!B4</f>
        <v>As of: October 03, 2015</v>
      </c>
      <c r="K3" s="359"/>
      <c r="L3" s="359"/>
      <c r="M3" s="360"/>
      <c r="N3" s="28"/>
    </row>
    <row r="4" spans="1:16" ht="51" customHeight="1" thickBot="1" x14ac:dyDescent="0.35">
      <c r="A4" s="30"/>
      <c r="B4" s="248" t="s">
        <v>462</v>
      </c>
      <c r="C4" s="361" t="s">
        <v>977</v>
      </c>
      <c r="D4" s="362"/>
      <c r="E4" s="362"/>
      <c r="F4" s="362"/>
      <c r="G4" s="362"/>
      <c r="H4" s="362"/>
      <c r="I4" s="362"/>
      <c r="J4" s="362"/>
      <c r="K4" s="362"/>
      <c r="L4" s="362"/>
      <c r="M4" s="363"/>
      <c r="N4" s="28"/>
      <c r="O4" s="22"/>
      <c r="P4" s="23"/>
    </row>
    <row r="5" spans="1:16" ht="27" customHeight="1" thickBot="1" x14ac:dyDescent="0.25">
      <c r="A5" s="30"/>
      <c r="B5" s="48"/>
      <c r="C5" s="364" t="s">
        <v>1049</v>
      </c>
      <c r="D5" s="365"/>
      <c r="E5" s="365"/>
      <c r="F5" s="365"/>
      <c r="G5" s="365"/>
      <c r="H5" s="365"/>
      <c r="I5" s="365"/>
      <c r="J5" s="365"/>
      <c r="K5" s="365"/>
      <c r="L5" s="365"/>
      <c r="M5" s="365"/>
      <c r="N5" s="365"/>
      <c r="O5" s="366"/>
    </row>
    <row r="6" spans="1:16" ht="55.5" customHeight="1" x14ac:dyDescent="0.2">
      <c r="A6" s="30"/>
      <c r="B6" s="31"/>
      <c r="C6" s="32" t="s">
        <v>196</v>
      </c>
      <c r="D6" s="367" t="s">
        <v>16</v>
      </c>
      <c r="E6" s="368"/>
      <c r="F6" s="33" t="s">
        <v>199</v>
      </c>
      <c r="G6" s="367" t="s">
        <v>204</v>
      </c>
      <c r="H6" s="369"/>
      <c r="I6" s="33" t="s">
        <v>202</v>
      </c>
      <c r="J6" s="49" t="s">
        <v>14</v>
      </c>
      <c r="K6" s="33" t="s">
        <v>207</v>
      </c>
      <c r="L6" s="373" t="s">
        <v>88</v>
      </c>
      <c r="M6" s="386"/>
      <c r="N6" s="28"/>
    </row>
    <row r="7" spans="1:16" ht="51.75" customHeight="1" x14ac:dyDescent="0.2">
      <c r="A7" s="30"/>
      <c r="B7" s="34"/>
      <c r="C7" s="35" t="s">
        <v>197</v>
      </c>
      <c r="D7" s="343" t="s">
        <v>0</v>
      </c>
      <c r="E7" s="344"/>
      <c r="F7" s="36" t="s">
        <v>200</v>
      </c>
      <c r="G7" s="345" t="s">
        <v>205</v>
      </c>
      <c r="H7" s="345"/>
      <c r="I7" s="36" t="s">
        <v>203</v>
      </c>
      <c r="J7" s="50" t="s">
        <v>19</v>
      </c>
      <c r="K7" s="36" t="s">
        <v>208</v>
      </c>
      <c r="L7" s="387" t="s">
        <v>90</v>
      </c>
      <c r="M7" s="388"/>
      <c r="N7" s="28"/>
    </row>
    <row r="8" spans="1:16" ht="51.75" customHeight="1" thickBot="1" x14ac:dyDescent="0.25">
      <c r="A8" s="25"/>
      <c r="B8" s="28"/>
      <c r="C8" s="37" t="s">
        <v>198</v>
      </c>
      <c r="D8" s="346" t="s">
        <v>18</v>
      </c>
      <c r="E8" s="347"/>
      <c r="F8" s="38" t="s">
        <v>201</v>
      </c>
      <c r="G8" s="348" t="s">
        <v>17</v>
      </c>
      <c r="H8" s="348"/>
      <c r="I8" s="38" t="s">
        <v>206</v>
      </c>
      <c r="J8" s="51" t="s">
        <v>87</v>
      </c>
      <c r="K8" s="38" t="s">
        <v>209</v>
      </c>
      <c r="L8" s="389" t="s">
        <v>89</v>
      </c>
      <c r="M8" s="390"/>
      <c r="N8" s="28"/>
    </row>
    <row r="9" spans="1:16" x14ac:dyDescent="0.2">
      <c r="A9" s="28"/>
      <c r="B9" s="28"/>
      <c r="C9" s="39" t="s">
        <v>706</v>
      </c>
      <c r="D9" s="39" t="s">
        <v>708</v>
      </c>
      <c r="E9" s="39" t="s">
        <v>707</v>
      </c>
      <c r="F9" s="39" t="s">
        <v>710</v>
      </c>
      <c r="G9" s="39" t="s">
        <v>709</v>
      </c>
      <c r="H9" s="39" t="s">
        <v>720</v>
      </c>
      <c r="I9" s="39" t="s">
        <v>719</v>
      </c>
      <c r="J9" s="39"/>
      <c r="K9" s="39"/>
      <c r="L9" s="39"/>
      <c r="M9" s="39"/>
      <c r="N9" s="28"/>
    </row>
    <row r="10" spans="1:16" ht="15.75" customHeight="1" x14ac:dyDescent="0.2">
      <c r="A10" s="25"/>
      <c r="B10" s="26"/>
      <c r="C10" s="349" t="s">
        <v>299</v>
      </c>
      <c r="D10" s="349"/>
      <c r="E10" s="349"/>
      <c r="F10" s="349"/>
      <c r="G10" s="349"/>
      <c r="H10" s="349"/>
      <c r="I10" s="349"/>
      <c r="J10" s="349"/>
      <c r="K10" s="349"/>
      <c r="L10" s="349"/>
      <c r="M10" s="391"/>
      <c r="N10" s="28"/>
    </row>
    <row r="11" spans="1:16" ht="64.5" customHeight="1" x14ac:dyDescent="0.2">
      <c r="A11" s="25"/>
      <c r="B11" s="26"/>
      <c r="C11" s="52" t="s">
        <v>232</v>
      </c>
      <c r="D11" s="52" t="s">
        <v>140</v>
      </c>
      <c r="E11" s="52" t="s">
        <v>233</v>
      </c>
      <c r="F11" s="52" t="s">
        <v>195</v>
      </c>
      <c r="G11" s="52" t="s">
        <v>210</v>
      </c>
      <c r="H11" s="52" t="s">
        <v>212</v>
      </c>
      <c r="I11" s="52" t="s">
        <v>213</v>
      </c>
      <c r="J11" s="393" t="s">
        <v>978</v>
      </c>
      <c r="K11" s="394"/>
      <c r="L11" s="394"/>
      <c r="M11" s="395"/>
      <c r="N11" s="28"/>
    </row>
    <row r="12" spans="1:16" x14ac:dyDescent="0.2">
      <c r="A12" s="25"/>
      <c r="B12" s="41" t="s">
        <v>736</v>
      </c>
      <c r="C12" s="155">
        <f>IF($B12=" ","",IFERROR(INDEX(MMWR_RATING_RO_ROLLUP[],MATCH($B12,MMWR_RATING_RO_ROLLUP[MMWR_RATING_RO_ROLLUP],0),MATCH(C$9,MMWR_RATING_RO_ROLLUP[#Headers],0)),"ERROR"))</f>
        <v>368771</v>
      </c>
      <c r="D12" s="156">
        <f>IF($B12=" ","",IFERROR(INDEX(MMWR_RATING_RO_ROLLUP[],MATCH($B12,MMWR_RATING_RO_ROLLUP[MMWR_RATING_RO_ROLLUP],0),MATCH(D$9,MMWR_RATING_RO_ROLLUP[#Headers],0)),"ERROR"))</f>
        <v>91.908528598999993</v>
      </c>
      <c r="E12" s="157">
        <f>IF($B12=" ","",IFERROR(INDEX(MMWR_RATING_RO_ROLLUP[],MATCH($B12,MMWR_RATING_RO_ROLLUP[MMWR_RATING_RO_ROLLUP],0),MATCH(E$9,MMWR_RATING_RO_ROLLUP[#Headers],0))/$C12,"ERROR"))</f>
        <v>0.19693251367379755</v>
      </c>
      <c r="F12" s="155">
        <f>IF($B12=" ","",IFERROR(INDEX(MMWR_RATING_RO_ROLLUP[],MATCH($B12,MMWR_RATING_RO_ROLLUP[MMWR_RATING_RO_ROLLUP],0),MATCH(F$9,MMWR_RATING_RO_ROLLUP[#Headers],0)),"ERROR"))</f>
        <v>8836</v>
      </c>
      <c r="G12" s="155">
        <f>IF($B12=" ","",IFERROR(INDEX(MMWR_RATING_RO_ROLLUP[],MATCH($B12,MMWR_RATING_RO_ROLLUP[MMWR_RATING_RO_ROLLUP],0),MATCH(G$9,MMWR_RATING_RO_ROLLUP[#Headers],0)),"ERROR"))</f>
        <v>8836</v>
      </c>
      <c r="H12" s="156">
        <f>IF($B12=" ","",IFERROR(INDEX(MMWR_RATING_RO_ROLLUP[],MATCH($B12,MMWR_RATING_RO_ROLLUP[MMWR_RATING_RO_ROLLUP],0),MATCH(H$9,MMWR_RATING_RO_ROLLUP[#Headers],0)),"ERROR"))</f>
        <v>129.0985740154</v>
      </c>
      <c r="I12" s="156">
        <f>IF($B12=" ","",IFERROR(INDEX(MMWR_RATING_RO_ROLLUP[],MATCH($B12,MMWR_RATING_RO_ROLLUP[MMWR_RATING_RO_ROLLUP],0),MATCH(I$9,MMWR_RATING_RO_ROLLUP[#Headers],0)),"ERROR"))</f>
        <v>129.0985740154</v>
      </c>
      <c r="J12" s="42"/>
      <c r="K12" s="42"/>
      <c r="L12" s="42"/>
      <c r="M12" s="42"/>
      <c r="N12" s="28"/>
    </row>
    <row r="13" spans="1:16" x14ac:dyDescent="0.2">
      <c r="A13" s="25"/>
      <c r="B13" s="341" t="s">
        <v>739</v>
      </c>
      <c r="C13" s="342"/>
      <c r="D13" s="342"/>
      <c r="E13" s="342"/>
      <c r="F13" s="342"/>
      <c r="G13" s="342"/>
      <c r="H13" s="342"/>
      <c r="I13" s="342"/>
      <c r="J13" s="342"/>
      <c r="K13" s="342"/>
      <c r="L13" s="342"/>
      <c r="M13" s="392"/>
      <c r="N13" s="28"/>
    </row>
    <row r="14" spans="1:16" x14ac:dyDescent="0.2">
      <c r="A14" s="25"/>
      <c r="B14" s="41" t="s">
        <v>735</v>
      </c>
      <c r="C14" s="155">
        <f>IF($B14=" ","",IFERROR(INDEX(MMWR_RATING_RO_ROLLUP[],MATCH($B14,MMWR_RATING_RO_ROLLUP[MMWR_RATING_RO_ROLLUP],0),MATCH(C$9,MMWR_RATING_RO_ROLLUP[#Headers],0)),"ERROR"))</f>
        <v>325890</v>
      </c>
      <c r="D14" s="156">
        <f>IF($B14=" ","",IFERROR(INDEX(MMWR_RATING_RO_ROLLUP[],MATCH($B14,MMWR_RATING_RO_ROLLUP[MMWR_RATING_RO_ROLLUP],0),MATCH(D$9,MMWR_RATING_RO_ROLLUP[#Headers],0)),"ERROR"))</f>
        <v>95.979462395300004</v>
      </c>
      <c r="E14" s="157">
        <f>IF($B14=" ","",IFERROR(INDEX(MMWR_RATING_RO_ROLLUP[],MATCH($B14,MMWR_RATING_RO_ROLLUP[MMWR_RATING_RO_ROLLUP],0),MATCH(E$9,MMWR_RATING_RO_ROLLUP[#Headers],0))/$C14,"ERROR"))</f>
        <v>0.21309644358525884</v>
      </c>
      <c r="F14" s="155">
        <f>IF($B14=" ","",IFERROR(INDEX(MMWR_RATING_RO_ROLLUP[],MATCH($B14,MMWR_RATING_RO_ROLLUP[MMWR_RATING_RO_ROLLUP],0),MATCH(F$9,MMWR_RATING_RO_ROLLUP[#Headers],0)),"ERROR"))</f>
        <v>7725</v>
      </c>
      <c r="G14" s="155">
        <f>IF($B14=" ","",IFERROR(INDEX(MMWR_RATING_RO_ROLLUP[],MATCH($B14,MMWR_RATING_RO_ROLLUP[MMWR_RATING_RO_ROLLUP],0),MATCH(G$9,MMWR_RATING_RO_ROLLUP[#Headers],0)),"ERROR"))</f>
        <v>7725</v>
      </c>
      <c r="H14" s="156">
        <f>IF($B14=" ","",IFERROR(INDEX(MMWR_RATING_RO_ROLLUP[],MATCH($B14,MMWR_RATING_RO_ROLLUP[MMWR_RATING_RO_ROLLUP],0),MATCH(H$9,MMWR_RATING_RO_ROLLUP[#Headers],0)),"ERROR"))</f>
        <v>135.94796116500001</v>
      </c>
      <c r="I14" s="156">
        <f>IF($B14=" ","",IFERROR(INDEX(MMWR_RATING_RO_ROLLUP[],MATCH($B14,MMWR_RATING_RO_ROLLUP[MMWR_RATING_RO_ROLLUP],0),MATCH(I$9,MMWR_RATING_RO_ROLLUP[#Headers],0)),"ERROR"))</f>
        <v>135.94796116500001</v>
      </c>
      <c r="J14" s="42"/>
      <c r="K14" s="42"/>
      <c r="L14" s="42"/>
      <c r="M14" s="42"/>
      <c r="N14" s="28"/>
    </row>
    <row r="15" spans="1:16" x14ac:dyDescent="0.2">
      <c r="A15" s="25"/>
      <c r="B15" s="249" t="s">
        <v>376</v>
      </c>
      <c r="C15" s="155">
        <f>IF($B15=" ","",IFERROR(INDEX(MMWR_RATING_RO_ROLLUP[],MATCH($B15,MMWR_RATING_RO_ROLLUP[MMWR_RATING_RO_ROLLUP],0),MATCH(C$9,MMWR_RATING_RO_ROLLUP[#Headers],0)),"ERROR"))</f>
        <v>71506</v>
      </c>
      <c r="D15" s="156">
        <f>IF($B15=" ","",IFERROR(INDEX(MMWR_RATING_RO_ROLLUP[],MATCH($B15,MMWR_RATING_RO_ROLLUP[MMWR_RATING_RO_ROLLUP],0),MATCH(D$9,MMWR_RATING_RO_ROLLUP[#Headers],0)),"ERROR"))</f>
        <v>96.804701703399999</v>
      </c>
      <c r="E15" s="157">
        <f>IF($B15=" ","",IFERROR(INDEX(MMWR_RATING_RO_ROLLUP[],MATCH($B15,MMWR_RATING_RO_ROLLUP[MMWR_RATING_RO_ROLLUP],0),MATCH(E$9,MMWR_RATING_RO_ROLLUP[#Headers],0))/$C15,"ERROR"))</f>
        <v>0.21291919559197831</v>
      </c>
      <c r="F15" s="155">
        <f>IF($B15=" ","",IFERROR(INDEX(MMWR_RATING_RO_ROLLUP[],MATCH($B15,MMWR_RATING_RO_ROLLUP[MMWR_RATING_RO_ROLLUP],0),MATCH(F$9,MMWR_RATING_RO_ROLLUP[#Headers],0)),"ERROR"))</f>
        <v>1670</v>
      </c>
      <c r="G15" s="155">
        <f>IF($B15=" ","",IFERROR(INDEX(MMWR_RATING_RO_ROLLUP[],MATCH($B15,MMWR_RATING_RO_ROLLUP[MMWR_RATING_RO_ROLLUP],0),MATCH(G$9,MMWR_RATING_RO_ROLLUP[#Headers],0)),"ERROR"))</f>
        <v>1670</v>
      </c>
      <c r="H15" s="156">
        <f>IF($B15=" ","",IFERROR(INDEX(MMWR_RATING_RO_ROLLUP[],MATCH($B15,MMWR_RATING_RO_ROLLUP[MMWR_RATING_RO_ROLLUP],0),MATCH(H$9,MMWR_RATING_RO_ROLLUP[#Headers],0)),"ERROR"))</f>
        <v>134.19580838319999</v>
      </c>
      <c r="I15" s="156">
        <f>IF($B15=" ","",IFERROR(INDEX(MMWR_RATING_RO_ROLLUP[],MATCH($B15,MMWR_RATING_RO_ROLLUP[MMWR_RATING_RO_ROLLUP],0),MATCH(I$9,MMWR_RATING_RO_ROLLUP[#Headers],0)),"ERROR"))</f>
        <v>134.19580838319999</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5002</v>
      </c>
      <c r="D16" s="156">
        <f>IF($B16=" ","",IFERROR(INDEX(MMWR_RATING_RO_ROLLUP[],MATCH($B16,MMWR_RATING_RO_ROLLUP[MMWR_RATING_RO_ROLLUP],0),MATCH(D$9,MMWR_RATING_RO_ROLLUP[#Headers],0)),"ERROR"))</f>
        <v>97.606357457000001</v>
      </c>
      <c r="E16" s="157">
        <f>IF($B16=" ","",IFERROR(INDEX(MMWR_RATING_RO_ROLLUP[],MATCH($B16,MMWR_RATING_RO_ROLLUP[MMWR_RATING_RO_ROLLUP],0),MATCH(E$9,MMWR_RATING_RO_ROLLUP[#Headers],0))/$C16,"ERROR"))</f>
        <v>0.18752499000399839</v>
      </c>
      <c r="F16" s="155">
        <f>IF($B16=" ","",IFERROR(INDEX(MMWR_RATING_RO_ROLLUP[],MATCH($B16,MMWR_RATING_RO_ROLLUP[MMWR_RATING_RO_ROLLUP],0),MATCH(F$9,MMWR_RATING_RO_ROLLUP[#Headers],0)),"ERROR"))</f>
        <v>108</v>
      </c>
      <c r="G16" s="155">
        <f>IF($B16=" ","",IFERROR(INDEX(MMWR_RATING_RO_ROLLUP[],MATCH($B16,MMWR_RATING_RO_ROLLUP[MMWR_RATING_RO_ROLLUP],0),MATCH(G$9,MMWR_RATING_RO_ROLLUP[#Headers],0)),"ERROR"))</f>
        <v>108</v>
      </c>
      <c r="H16" s="156">
        <f>IF($B16=" ","",IFERROR(INDEX(MMWR_RATING_RO_ROLLUP[],MATCH($B16,MMWR_RATING_RO_ROLLUP[MMWR_RATING_RO_ROLLUP],0),MATCH(H$9,MMWR_RATING_RO_ROLLUP[#Headers],0)),"ERROR"))</f>
        <v>134.25</v>
      </c>
      <c r="I16" s="156">
        <f>IF($B16=" ","",IFERROR(INDEX(MMWR_RATING_RO_ROLLUP[],MATCH($B16,MMWR_RATING_RO_ROLLUP[MMWR_RATING_RO_ROLLUP],0),MATCH(I$9,MMWR_RATING_RO_ROLLUP[#Headers],0)),"ERROR"))</f>
        <v>134.25</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3673</v>
      </c>
      <c r="D17" s="156">
        <f>IF($B17=" ","",IFERROR(INDEX(MMWR_RATING_RO_ROLLUP[],MATCH($B17,MMWR_RATING_RO_ROLLUP[MMWR_RATING_RO_ROLLUP],0),MATCH(D$9,MMWR_RATING_RO_ROLLUP[#Headers],0)),"ERROR"))</f>
        <v>93.922406752000001</v>
      </c>
      <c r="E17" s="157">
        <f>IF($B17=" ","",IFERROR(INDEX(MMWR_RATING_RO_ROLLUP[],MATCH($B17,MMWR_RATING_RO_ROLLUP[MMWR_RATING_RO_ROLLUP],0),MATCH(E$9,MMWR_RATING_RO_ROLLUP[#Headers],0))/$C17,"ERROR"))</f>
        <v>0.22325074870677919</v>
      </c>
      <c r="F17" s="155">
        <f>IF($B17=" ","",IFERROR(INDEX(MMWR_RATING_RO_ROLLUP[],MATCH($B17,MMWR_RATING_RO_ROLLUP[MMWR_RATING_RO_ROLLUP],0),MATCH(F$9,MMWR_RATING_RO_ROLLUP[#Headers],0)),"ERROR"))</f>
        <v>100</v>
      </c>
      <c r="G17" s="155">
        <f>IF($B17=" ","",IFERROR(INDEX(MMWR_RATING_RO_ROLLUP[],MATCH($B17,MMWR_RATING_RO_ROLLUP[MMWR_RATING_RO_ROLLUP],0),MATCH(G$9,MMWR_RATING_RO_ROLLUP[#Headers],0)),"ERROR"))</f>
        <v>100</v>
      </c>
      <c r="H17" s="156">
        <f>IF($B17=" ","",IFERROR(INDEX(MMWR_RATING_RO_ROLLUP[],MATCH($B17,MMWR_RATING_RO_ROLLUP[MMWR_RATING_RO_ROLLUP],0),MATCH(H$9,MMWR_RATING_RO_ROLLUP[#Headers],0)),"ERROR"))</f>
        <v>110.22</v>
      </c>
      <c r="I17" s="156">
        <f>IF($B17=" ","",IFERROR(INDEX(MMWR_RATING_RO_ROLLUP[],MATCH($B17,MMWR_RATING_RO_ROLLUP[MMWR_RATING_RO_ROLLUP],0),MATCH(I$9,MMWR_RATING_RO_ROLLUP[#Headers],0)),"ERROR"))</f>
        <v>110.22</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4069</v>
      </c>
      <c r="D18" s="156">
        <f>IF($B18=" ","",IFERROR(INDEX(MMWR_RATING_RO_ROLLUP[],MATCH($B18,MMWR_RATING_RO_ROLLUP[MMWR_RATING_RO_ROLLUP],0),MATCH(D$9,MMWR_RATING_RO_ROLLUP[#Headers],0)),"ERROR"))</f>
        <v>96.849348734299994</v>
      </c>
      <c r="E18" s="157">
        <f>IF($B18=" ","",IFERROR(INDEX(MMWR_RATING_RO_ROLLUP[],MATCH($B18,MMWR_RATING_RO_ROLLUP[MMWR_RATING_RO_ROLLUP],0),MATCH(E$9,MMWR_RATING_RO_ROLLUP[#Headers],0))/$C18,"ERROR"))</f>
        <v>0.22388793315310887</v>
      </c>
      <c r="F18" s="155">
        <f>IF($B18=" ","",IFERROR(INDEX(MMWR_RATING_RO_ROLLUP[],MATCH($B18,MMWR_RATING_RO_ROLLUP[MMWR_RATING_RO_ROLLUP],0),MATCH(F$9,MMWR_RATING_RO_ROLLUP[#Headers],0)),"ERROR"))</f>
        <v>106</v>
      </c>
      <c r="G18" s="155">
        <f>IF($B18=" ","",IFERROR(INDEX(MMWR_RATING_RO_ROLLUP[],MATCH($B18,MMWR_RATING_RO_ROLLUP[MMWR_RATING_RO_ROLLUP],0),MATCH(G$9,MMWR_RATING_RO_ROLLUP[#Headers],0)),"ERROR"))</f>
        <v>106</v>
      </c>
      <c r="H18" s="156">
        <f>IF($B18=" ","",IFERROR(INDEX(MMWR_RATING_RO_ROLLUP[],MATCH($B18,MMWR_RATING_RO_ROLLUP[MMWR_RATING_RO_ROLLUP],0),MATCH(H$9,MMWR_RATING_RO_ROLLUP[#Headers],0)),"ERROR"))</f>
        <v>171.20754716979999</v>
      </c>
      <c r="I18" s="156">
        <f>IF($B18=" ","",IFERROR(INDEX(MMWR_RATING_RO_ROLLUP[],MATCH($B18,MMWR_RATING_RO_ROLLUP[MMWR_RATING_RO_ROLLUP],0),MATCH(I$9,MMWR_RATING_RO_ROLLUP[#Headers],0)),"ERROR"))</f>
        <v>171.20754716979999</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1666</v>
      </c>
      <c r="D19" s="156">
        <f>IF($B19=" ","",IFERROR(INDEX(MMWR_RATING_RO_ROLLUP[],MATCH($B19,MMWR_RATING_RO_ROLLUP[MMWR_RATING_RO_ROLLUP],0),MATCH(D$9,MMWR_RATING_RO_ROLLUP[#Headers],0)),"ERROR"))</f>
        <v>83.106842737099996</v>
      </c>
      <c r="E19" s="157">
        <f>IF($B19=" ","",IFERROR(INDEX(MMWR_RATING_RO_ROLLUP[],MATCH($B19,MMWR_RATING_RO_ROLLUP[MMWR_RATING_RO_ROLLUP],0),MATCH(E$9,MMWR_RATING_RO_ROLLUP[#Headers],0))/$C19,"ERROR"))</f>
        <v>0.16086434573829531</v>
      </c>
      <c r="F19" s="155">
        <f>IF($B19=" ","",IFERROR(INDEX(MMWR_RATING_RO_ROLLUP[],MATCH($B19,MMWR_RATING_RO_ROLLUP[MMWR_RATING_RO_ROLLUP],0),MATCH(F$9,MMWR_RATING_RO_ROLLUP[#Headers],0)),"ERROR"))</f>
        <v>58</v>
      </c>
      <c r="G19" s="155">
        <f>IF($B19=" ","",IFERROR(INDEX(MMWR_RATING_RO_ROLLUP[],MATCH($B19,MMWR_RATING_RO_ROLLUP[MMWR_RATING_RO_ROLLUP],0),MATCH(G$9,MMWR_RATING_RO_ROLLUP[#Headers],0)),"ERROR"))</f>
        <v>58</v>
      </c>
      <c r="H19" s="156">
        <f>IF($B19=" ","",IFERROR(INDEX(MMWR_RATING_RO_ROLLUP[],MATCH($B19,MMWR_RATING_RO_ROLLUP[MMWR_RATING_RO_ROLLUP],0),MATCH(H$9,MMWR_RATING_RO_ROLLUP[#Headers],0)),"ERROR"))</f>
        <v>106.60344827590001</v>
      </c>
      <c r="I19" s="156">
        <f>IF($B19=" ","",IFERROR(INDEX(MMWR_RATING_RO_ROLLUP[],MATCH($B19,MMWR_RATING_RO_ROLLUP[MMWR_RATING_RO_ROLLUP],0),MATCH(I$9,MMWR_RATING_RO_ROLLUP[#Headers],0)),"ERROR"))</f>
        <v>106.60344827590001</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2313</v>
      </c>
      <c r="D20" s="156">
        <f>IF($B20=" ","",IFERROR(INDEX(MMWR_RATING_RO_ROLLUP[],MATCH($B20,MMWR_RATING_RO_ROLLUP[MMWR_RATING_RO_ROLLUP],0),MATCH(D$9,MMWR_RATING_RO_ROLLUP[#Headers],0)),"ERROR"))</f>
        <v>78.699524427200004</v>
      </c>
      <c r="E20" s="157">
        <f>IF($B20=" ","",IFERROR(INDEX(MMWR_RATING_RO_ROLLUP[],MATCH($B20,MMWR_RATING_RO_ROLLUP[MMWR_RATING_RO_ROLLUP],0),MATCH(E$9,MMWR_RATING_RO_ROLLUP[#Headers],0))/$C20,"ERROR"))</f>
        <v>0.14656290531776914</v>
      </c>
      <c r="F20" s="155">
        <f>IF($B20=" ","",IFERROR(INDEX(MMWR_RATING_RO_ROLLUP[],MATCH($B20,MMWR_RATING_RO_ROLLUP[MMWR_RATING_RO_ROLLUP],0),MATCH(F$9,MMWR_RATING_RO_ROLLUP[#Headers],0)),"ERROR"))</f>
        <v>66</v>
      </c>
      <c r="G20" s="155">
        <f>IF($B20=" ","",IFERROR(INDEX(MMWR_RATING_RO_ROLLUP[],MATCH($B20,MMWR_RATING_RO_ROLLUP[MMWR_RATING_RO_ROLLUP],0),MATCH(G$9,MMWR_RATING_RO_ROLLUP[#Headers],0)),"ERROR"))</f>
        <v>66</v>
      </c>
      <c r="H20" s="156">
        <f>IF($B20=" ","",IFERROR(INDEX(MMWR_RATING_RO_ROLLUP[],MATCH($B20,MMWR_RATING_RO_ROLLUP[MMWR_RATING_RO_ROLLUP],0),MATCH(H$9,MMWR_RATING_RO_ROLLUP[#Headers],0)),"ERROR"))</f>
        <v>131.7272727273</v>
      </c>
      <c r="I20" s="156">
        <f>IF($B20=" ","",IFERROR(INDEX(MMWR_RATING_RO_ROLLUP[],MATCH($B20,MMWR_RATING_RO_ROLLUP[MMWR_RATING_RO_ROLLUP],0),MATCH(I$9,MMWR_RATING_RO_ROLLUP[#Headers],0)),"ERROR"))</f>
        <v>131.7272727273</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1336</v>
      </c>
      <c r="D21" s="156">
        <f>IF($B21=" ","",IFERROR(INDEX(MMWR_RATING_RO_ROLLUP[],MATCH($B21,MMWR_RATING_RO_ROLLUP[MMWR_RATING_RO_ROLLUP],0),MATCH(D$9,MMWR_RATING_RO_ROLLUP[#Headers],0)),"ERROR"))</f>
        <v>87.627994012000002</v>
      </c>
      <c r="E21" s="157">
        <f>IF($B21=" ","",IFERROR(INDEX(MMWR_RATING_RO_ROLLUP[],MATCH($B21,MMWR_RATING_RO_ROLLUP[MMWR_RATING_RO_ROLLUP],0),MATCH(E$9,MMWR_RATING_RO_ROLLUP[#Headers],0))/$C21,"ERROR"))</f>
        <v>0.20359281437125748</v>
      </c>
      <c r="F21" s="155">
        <f>IF($B21=" ","",IFERROR(INDEX(MMWR_RATING_RO_ROLLUP[],MATCH($B21,MMWR_RATING_RO_ROLLUP[MMWR_RATING_RO_ROLLUP],0),MATCH(F$9,MMWR_RATING_RO_ROLLUP[#Headers],0)),"ERROR"))</f>
        <v>15</v>
      </c>
      <c r="G21" s="155">
        <f>IF($B21=" ","",IFERROR(INDEX(MMWR_RATING_RO_ROLLUP[],MATCH($B21,MMWR_RATING_RO_ROLLUP[MMWR_RATING_RO_ROLLUP],0),MATCH(G$9,MMWR_RATING_RO_ROLLUP[#Headers],0)),"ERROR"))</f>
        <v>15</v>
      </c>
      <c r="H21" s="156">
        <f>IF($B21=" ","",IFERROR(INDEX(MMWR_RATING_RO_ROLLUP[],MATCH($B21,MMWR_RATING_RO_ROLLUP[MMWR_RATING_RO_ROLLUP],0),MATCH(H$9,MMWR_RATING_RO_ROLLUP[#Headers],0)),"ERROR"))</f>
        <v>143.6</v>
      </c>
      <c r="I21" s="156">
        <f>IF($B21=" ","",IFERROR(INDEX(MMWR_RATING_RO_ROLLUP[],MATCH($B21,MMWR_RATING_RO_ROLLUP[MMWR_RATING_RO_ROLLUP],0),MATCH(I$9,MMWR_RATING_RO_ROLLUP[#Headers],0)),"ERROR"))</f>
        <v>143.6</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4722</v>
      </c>
      <c r="D22" s="156">
        <f>IF($B22=" ","",IFERROR(INDEX(MMWR_RATING_RO_ROLLUP[],MATCH($B22,MMWR_RATING_RO_ROLLUP[MMWR_RATING_RO_ROLLUP],0),MATCH(D$9,MMWR_RATING_RO_ROLLUP[#Headers],0)),"ERROR"))</f>
        <v>91.724904701400007</v>
      </c>
      <c r="E22" s="157">
        <f>IF($B22=" ","",IFERROR(INDEX(MMWR_RATING_RO_ROLLUP[],MATCH($B22,MMWR_RATING_RO_ROLLUP[MMWR_RATING_RO_ROLLUP],0),MATCH(E$9,MMWR_RATING_RO_ROLLUP[#Headers],0))/$C22,"ERROR"))</f>
        <v>0.1531130876747141</v>
      </c>
      <c r="F22" s="155">
        <f>IF($B22=" ","",IFERROR(INDEX(MMWR_RATING_RO_ROLLUP[],MATCH($B22,MMWR_RATING_RO_ROLLUP[MMWR_RATING_RO_ROLLUP],0),MATCH(F$9,MMWR_RATING_RO_ROLLUP[#Headers],0)),"ERROR"))</f>
        <v>102</v>
      </c>
      <c r="G22" s="155">
        <f>IF($B22=" ","",IFERROR(INDEX(MMWR_RATING_RO_ROLLUP[],MATCH($B22,MMWR_RATING_RO_ROLLUP[MMWR_RATING_RO_ROLLUP],0),MATCH(G$9,MMWR_RATING_RO_ROLLUP[#Headers],0)),"ERROR"))</f>
        <v>102</v>
      </c>
      <c r="H22" s="156">
        <f>IF($B22=" ","",IFERROR(INDEX(MMWR_RATING_RO_ROLLUP[],MATCH($B22,MMWR_RATING_RO_ROLLUP[MMWR_RATING_RO_ROLLUP],0),MATCH(H$9,MMWR_RATING_RO_ROLLUP[#Headers],0)),"ERROR"))</f>
        <v>142.4803921569</v>
      </c>
      <c r="I22" s="156">
        <f>IF($B22=" ","",IFERROR(INDEX(MMWR_RATING_RO_ROLLUP[],MATCH($B22,MMWR_RATING_RO_ROLLUP[MMWR_RATING_RO_ROLLUP],0),MATCH(I$9,MMWR_RATING_RO_ROLLUP[#Headers],0)),"ERROR"))</f>
        <v>142.4803921569</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2887</v>
      </c>
      <c r="D23" s="156">
        <f>IF($B23=" ","",IFERROR(INDEX(MMWR_RATING_RO_ROLLUP[],MATCH($B23,MMWR_RATING_RO_ROLLUP[MMWR_RATING_RO_ROLLUP],0),MATCH(D$9,MMWR_RATING_RO_ROLLUP[#Headers],0)),"ERROR"))</f>
        <v>85.3540006928</v>
      </c>
      <c r="E23" s="157">
        <f>IF($B23=" ","",IFERROR(INDEX(MMWR_RATING_RO_ROLLUP[],MATCH($B23,MMWR_RATING_RO_ROLLUP[MMWR_RATING_RO_ROLLUP],0),MATCH(E$9,MMWR_RATING_RO_ROLLUP[#Headers],0))/$C23,"ERROR"))</f>
        <v>0.1319709040526498</v>
      </c>
      <c r="F23" s="155">
        <f>IF($B23=" ","",IFERROR(INDEX(MMWR_RATING_RO_ROLLUP[],MATCH($B23,MMWR_RATING_RO_ROLLUP[MMWR_RATING_RO_ROLLUP],0),MATCH(F$9,MMWR_RATING_RO_ROLLUP[#Headers],0)),"ERROR"))</f>
        <v>78</v>
      </c>
      <c r="G23" s="155">
        <f>IF($B23=" ","",IFERROR(INDEX(MMWR_RATING_RO_ROLLUP[],MATCH($B23,MMWR_RATING_RO_ROLLUP[MMWR_RATING_RO_ROLLUP],0),MATCH(G$9,MMWR_RATING_RO_ROLLUP[#Headers],0)),"ERROR"))</f>
        <v>78</v>
      </c>
      <c r="H23" s="156">
        <f>IF($B23=" ","",IFERROR(INDEX(MMWR_RATING_RO_ROLLUP[],MATCH($B23,MMWR_RATING_RO_ROLLUP[MMWR_RATING_RO_ROLLUP],0),MATCH(H$9,MMWR_RATING_RO_ROLLUP[#Headers],0)),"ERROR"))</f>
        <v>129.76923076919999</v>
      </c>
      <c r="I23" s="156">
        <f>IF($B23=" ","",IFERROR(INDEX(MMWR_RATING_RO_ROLLUP[],MATCH($B23,MMWR_RATING_RO_ROLLUP[MMWR_RATING_RO_ROLLUP],0),MATCH(I$9,MMWR_RATING_RO_ROLLUP[#Headers],0)),"ERROR"))</f>
        <v>129.76923076919999</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6976</v>
      </c>
      <c r="D24" s="156">
        <f>IF($B24=" ","",IFERROR(INDEX(MMWR_RATING_RO_ROLLUP[],MATCH($B24,MMWR_RATING_RO_ROLLUP[MMWR_RATING_RO_ROLLUP],0),MATCH(D$9,MMWR_RATING_RO_ROLLUP[#Headers],0)),"ERROR"))</f>
        <v>128.237815367</v>
      </c>
      <c r="E24" s="157">
        <f>IF($B24=" ","",IFERROR(INDEX(MMWR_RATING_RO_ROLLUP[],MATCH($B24,MMWR_RATING_RO_ROLLUP[MMWR_RATING_RO_ROLLUP],0),MATCH(E$9,MMWR_RATING_RO_ROLLUP[#Headers],0))/$C24,"ERROR"))</f>
        <v>0.34991399082568808</v>
      </c>
      <c r="F24" s="155">
        <f>IF($B24=" ","",IFERROR(INDEX(MMWR_RATING_RO_ROLLUP[],MATCH($B24,MMWR_RATING_RO_ROLLUP[MMWR_RATING_RO_ROLLUP],0),MATCH(F$9,MMWR_RATING_RO_ROLLUP[#Headers],0)),"ERROR"))</f>
        <v>209</v>
      </c>
      <c r="G24" s="155">
        <f>IF($B24=" ","",IFERROR(INDEX(MMWR_RATING_RO_ROLLUP[],MATCH($B24,MMWR_RATING_RO_ROLLUP[MMWR_RATING_RO_ROLLUP],0),MATCH(G$9,MMWR_RATING_RO_ROLLUP[#Headers],0)),"ERROR"))</f>
        <v>209</v>
      </c>
      <c r="H24" s="156">
        <f>IF($B24=" ","",IFERROR(INDEX(MMWR_RATING_RO_ROLLUP[],MATCH($B24,MMWR_RATING_RO_ROLLUP[MMWR_RATING_RO_ROLLUP],0),MATCH(H$9,MMWR_RATING_RO_ROLLUP[#Headers],0)),"ERROR"))</f>
        <v>136.30622009570001</v>
      </c>
      <c r="I24" s="156">
        <f>IF($B24=" ","",IFERROR(INDEX(MMWR_RATING_RO_ROLLUP[],MATCH($B24,MMWR_RATING_RO_ROLLUP[MMWR_RATING_RO_ROLLUP],0),MATCH(I$9,MMWR_RATING_RO_ROLLUP[#Headers],0)),"ERROR"))</f>
        <v>136.30622009570001</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5025</v>
      </c>
      <c r="D25" s="156">
        <f>IF($B25=" ","",IFERROR(INDEX(MMWR_RATING_RO_ROLLUP[],MATCH($B25,MMWR_RATING_RO_ROLLUP[MMWR_RATING_RO_ROLLUP],0),MATCH(D$9,MMWR_RATING_RO_ROLLUP[#Headers],0)),"ERROR"))</f>
        <v>119.96577114430001</v>
      </c>
      <c r="E25" s="157">
        <f>IF($B25=" ","",IFERROR(INDEX(MMWR_RATING_RO_ROLLUP[],MATCH($B25,MMWR_RATING_RO_ROLLUP[MMWR_RATING_RO_ROLLUP],0),MATCH(E$9,MMWR_RATING_RO_ROLLUP[#Headers],0))/$C25,"ERROR"))</f>
        <v>0.28736318407960199</v>
      </c>
      <c r="F25" s="155">
        <f>IF($B25=" ","",IFERROR(INDEX(MMWR_RATING_RO_ROLLUP[],MATCH($B25,MMWR_RATING_RO_ROLLUP[MMWR_RATING_RO_ROLLUP],0),MATCH(F$9,MMWR_RATING_RO_ROLLUP[#Headers],0)),"ERROR"))</f>
        <v>83</v>
      </c>
      <c r="G25" s="155">
        <f>IF($B25=" ","",IFERROR(INDEX(MMWR_RATING_RO_ROLLUP[],MATCH($B25,MMWR_RATING_RO_ROLLUP[MMWR_RATING_RO_ROLLUP],0),MATCH(G$9,MMWR_RATING_RO_ROLLUP[#Headers],0)),"ERROR"))</f>
        <v>83</v>
      </c>
      <c r="H25" s="156">
        <f>IF($B25=" ","",IFERROR(INDEX(MMWR_RATING_RO_ROLLUP[],MATCH($B25,MMWR_RATING_RO_ROLLUP[MMWR_RATING_RO_ROLLUP],0),MATCH(H$9,MMWR_RATING_RO_ROLLUP[#Headers],0)),"ERROR"))</f>
        <v>185.68674698800001</v>
      </c>
      <c r="I25" s="156">
        <f>IF($B25=" ","",IFERROR(INDEX(MMWR_RATING_RO_ROLLUP[],MATCH($B25,MMWR_RATING_RO_ROLLUP[MMWR_RATING_RO_ROLLUP],0),MATCH(I$9,MMWR_RATING_RO_ROLLUP[#Headers],0)),"ERROR"))</f>
        <v>185.68674698800001</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2306</v>
      </c>
      <c r="D26" s="156">
        <f>IF($B26=" ","",IFERROR(INDEX(MMWR_RATING_RO_ROLLUP[],MATCH($B26,MMWR_RATING_RO_ROLLUP[MMWR_RATING_RO_ROLLUP],0),MATCH(D$9,MMWR_RATING_RO_ROLLUP[#Headers],0)),"ERROR"))</f>
        <v>67.339982653899995</v>
      </c>
      <c r="E26" s="157">
        <f>IF($B26=" ","",IFERROR(INDEX(MMWR_RATING_RO_ROLLUP[],MATCH($B26,MMWR_RATING_RO_ROLLUP[MMWR_RATING_RO_ROLLUP],0),MATCH(E$9,MMWR_RATING_RO_ROLLUP[#Headers],0))/$C26,"ERROR"))</f>
        <v>0.15091066782307025</v>
      </c>
      <c r="F26" s="155">
        <f>IF($B26=" ","",IFERROR(INDEX(MMWR_RATING_RO_ROLLUP[],MATCH($B26,MMWR_RATING_RO_ROLLUP[MMWR_RATING_RO_ROLLUP],0),MATCH(F$9,MMWR_RATING_RO_ROLLUP[#Headers],0)),"ERROR"))</f>
        <v>133</v>
      </c>
      <c r="G26" s="155">
        <f>IF($B26=" ","",IFERROR(INDEX(MMWR_RATING_RO_ROLLUP[],MATCH($B26,MMWR_RATING_RO_ROLLUP[MMWR_RATING_RO_ROLLUP],0),MATCH(G$9,MMWR_RATING_RO_ROLLUP[#Headers],0)),"ERROR"))</f>
        <v>133</v>
      </c>
      <c r="H26" s="156">
        <f>IF($B26=" ","",IFERROR(INDEX(MMWR_RATING_RO_ROLLUP[],MATCH($B26,MMWR_RATING_RO_ROLLUP[MMWR_RATING_RO_ROLLUP],0),MATCH(H$9,MMWR_RATING_RO_ROLLUP[#Headers],0)),"ERROR"))</f>
        <v>59.774436090199998</v>
      </c>
      <c r="I26" s="156">
        <f>IF($B26=" ","",IFERROR(INDEX(MMWR_RATING_RO_ROLLUP[],MATCH($B26,MMWR_RATING_RO_ROLLUP[MMWR_RATING_RO_ROLLUP],0),MATCH(I$9,MMWR_RATING_RO_ROLLUP[#Headers],0)),"ERROR"))</f>
        <v>59.774436090199998</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10808</v>
      </c>
      <c r="D27" s="156">
        <f>IF($B27=" ","",IFERROR(INDEX(MMWR_RATING_RO_ROLLUP[],MATCH($B27,MMWR_RATING_RO_ROLLUP[MMWR_RATING_RO_ROLLUP],0),MATCH(D$9,MMWR_RATING_RO_ROLLUP[#Headers],0)),"ERROR"))</f>
        <v>85.096502590699998</v>
      </c>
      <c r="E27" s="157">
        <f>IF($B27=" ","",IFERROR(INDEX(MMWR_RATING_RO_ROLLUP[],MATCH($B27,MMWR_RATING_RO_ROLLUP[MMWR_RATING_RO_ROLLUP],0),MATCH(E$9,MMWR_RATING_RO_ROLLUP[#Headers],0))/$C27,"ERROR"))</f>
        <v>0.16108438193930422</v>
      </c>
      <c r="F27" s="155">
        <f>IF($B27=" ","",IFERROR(INDEX(MMWR_RATING_RO_ROLLUP[],MATCH($B27,MMWR_RATING_RO_ROLLUP[MMWR_RATING_RO_ROLLUP],0),MATCH(F$9,MMWR_RATING_RO_ROLLUP[#Headers],0)),"ERROR"))</f>
        <v>196</v>
      </c>
      <c r="G27" s="155">
        <f>IF($B27=" ","",IFERROR(INDEX(MMWR_RATING_RO_ROLLUP[],MATCH($B27,MMWR_RATING_RO_ROLLUP[MMWR_RATING_RO_ROLLUP],0),MATCH(G$9,MMWR_RATING_RO_ROLLUP[#Headers],0)),"ERROR"))</f>
        <v>196</v>
      </c>
      <c r="H27" s="156">
        <f>IF($B27=" ","",IFERROR(INDEX(MMWR_RATING_RO_ROLLUP[],MATCH($B27,MMWR_RATING_RO_ROLLUP[MMWR_RATING_RO_ROLLUP],0),MATCH(H$9,MMWR_RATING_RO_ROLLUP[#Headers],0)),"ERROR"))</f>
        <v>127.37755102040001</v>
      </c>
      <c r="I27" s="156">
        <f>IF($B27=" ","",IFERROR(INDEX(MMWR_RATING_RO_ROLLUP[],MATCH($B27,MMWR_RATING_RO_ROLLUP[MMWR_RATING_RO_ROLLUP],0),MATCH(I$9,MMWR_RATING_RO_ROLLUP[#Headers],0)),"ERROR"))</f>
        <v>127.37755102040001</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1221</v>
      </c>
      <c r="D28" s="156">
        <f>IF($B28=" ","",IFERROR(INDEX(MMWR_RATING_RO_ROLLUP[],MATCH($B28,MMWR_RATING_RO_ROLLUP[MMWR_RATING_RO_ROLLUP],0),MATCH(D$9,MMWR_RATING_RO_ROLLUP[#Headers],0)),"ERROR"))</f>
        <v>78.416052416100001</v>
      </c>
      <c r="E28" s="157">
        <f>IF($B28=" ","",IFERROR(INDEX(MMWR_RATING_RO_ROLLUP[],MATCH($B28,MMWR_RATING_RO_ROLLUP[MMWR_RATING_RO_ROLLUP],0),MATCH(E$9,MMWR_RATING_RO_ROLLUP[#Headers],0))/$C28,"ERROR"))</f>
        <v>0.11793611793611794</v>
      </c>
      <c r="F28" s="155">
        <f>IF($B28=" ","",IFERROR(INDEX(MMWR_RATING_RO_ROLLUP[],MATCH($B28,MMWR_RATING_RO_ROLLUP[MMWR_RATING_RO_ROLLUP],0),MATCH(F$9,MMWR_RATING_RO_ROLLUP[#Headers],0)),"ERROR"))</f>
        <v>23</v>
      </c>
      <c r="G28" s="155">
        <f>IF($B28=" ","",IFERROR(INDEX(MMWR_RATING_RO_ROLLUP[],MATCH($B28,MMWR_RATING_RO_ROLLUP[MMWR_RATING_RO_ROLLUP],0),MATCH(G$9,MMWR_RATING_RO_ROLLUP[#Headers],0)),"ERROR"))</f>
        <v>23</v>
      </c>
      <c r="H28" s="156">
        <f>IF($B28=" ","",IFERROR(INDEX(MMWR_RATING_RO_ROLLUP[],MATCH($B28,MMWR_RATING_RO_ROLLUP[MMWR_RATING_RO_ROLLUP],0),MATCH(H$9,MMWR_RATING_RO_ROLLUP[#Headers],0)),"ERROR"))</f>
        <v>134.6086956522</v>
      </c>
      <c r="I28" s="156">
        <f>IF($B28=" ","",IFERROR(INDEX(MMWR_RATING_RO_ROLLUP[],MATCH($B28,MMWR_RATING_RO_ROLLUP[MMWR_RATING_RO_ROLLUP],0),MATCH(I$9,MMWR_RATING_RO_ROLLUP[#Headers],0)),"ERROR"))</f>
        <v>134.6086956522</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365</v>
      </c>
      <c r="D29" s="156">
        <f>IF($B29=" ","",IFERROR(INDEX(MMWR_RATING_RO_ROLLUP[],MATCH($B29,MMWR_RATING_RO_ROLLUP[MMWR_RATING_RO_ROLLUP],0),MATCH(D$9,MMWR_RATING_RO_ROLLUP[#Headers],0)),"ERROR"))</f>
        <v>83.698630136999995</v>
      </c>
      <c r="E29" s="157">
        <f>IF($B29=" ","",IFERROR(INDEX(MMWR_RATING_RO_ROLLUP[],MATCH($B29,MMWR_RATING_RO_ROLLUP[MMWR_RATING_RO_ROLLUP],0),MATCH(E$9,MMWR_RATING_RO_ROLLUP[#Headers],0))/$C29,"ERROR"))</f>
        <v>0.21095890410958903</v>
      </c>
      <c r="F29" s="155">
        <f>IF($B29=" ","",IFERROR(INDEX(MMWR_RATING_RO_ROLLUP[],MATCH($B29,MMWR_RATING_RO_ROLLUP[MMWR_RATING_RO_ROLLUP],0),MATCH(F$9,MMWR_RATING_RO_ROLLUP[#Headers],0)),"ERROR"))</f>
        <v>9</v>
      </c>
      <c r="G29" s="155">
        <f>IF($B29=" ","",IFERROR(INDEX(MMWR_RATING_RO_ROLLUP[],MATCH($B29,MMWR_RATING_RO_ROLLUP[MMWR_RATING_RO_ROLLUP],0),MATCH(G$9,MMWR_RATING_RO_ROLLUP[#Headers],0)),"ERROR"))</f>
        <v>9</v>
      </c>
      <c r="H29" s="156">
        <f>IF($B29=" ","",IFERROR(INDEX(MMWR_RATING_RO_ROLLUP[],MATCH($B29,MMWR_RATING_RO_ROLLUP[MMWR_RATING_RO_ROLLUP],0),MATCH(H$9,MMWR_RATING_RO_ROLLUP[#Headers],0)),"ERROR"))</f>
        <v>116.1111111111</v>
      </c>
      <c r="I29" s="156">
        <f>IF($B29=" ","",IFERROR(INDEX(MMWR_RATING_RO_ROLLUP[],MATCH($B29,MMWR_RATING_RO_ROLLUP[MMWR_RATING_RO_ROLLUP],0),MATCH(I$9,MMWR_RATING_RO_ROLLUP[#Headers],0)),"ERROR"))</f>
        <v>116.1111111111</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799</v>
      </c>
      <c r="D30" s="156">
        <f>IF($B30=" ","",IFERROR(INDEX(MMWR_RATING_RO_ROLLUP[],MATCH($B30,MMWR_RATING_RO_ROLLUP[MMWR_RATING_RO_ROLLUP],0),MATCH(D$9,MMWR_RATING_RO_ROLLUP[#Headers],0)),"ERROR"))</f>
        <v>99.526908635799998</v>
      </c>
      <c r="E30" s="157">
        <f>IF($B30=" ","",IFERROR(INDEX(MMWR_RATING_RO_ROLLUP[],MATCH($B30,MMWR_RATING_RO_ROLLUP[MMWR_RATING_RO_ROLLUP],0),MATCH(E$9,MMWR_RATING_RO_ROLLUP[#Headers],0))/$C30,"ERROR"))</f>
        <v>0.23404255319148937</v>
      </c>
      <c r="F30" s="155">
        <f>IF($B30=" ","",IFERROR(INDEX(MMWR_RATING_RO_ROLLUP[],MATCH($B30,MMWR_RATING_RO_ROLLUP[MMWR_RATING_RO_ROLLUP],0),MATCH(F$9,MMWR_RATING_RO_ROLLUP[#Headers],0)),"ERROR"))</f>
        <v>19</v>
      </c>
      <c r="G30" s="155">
        <f>IF($B30=" ","",IFERROR(INDEX(MMWR_RATING_RO_ROLLUP[],MATCH($B30,MMWR_RATING_RO_ROLLUP[MMWR_RATING_RO_ROLLUP],0),MATCH(G$9,MMWR_RATING_RO_ROLLUP[#Headers],0)),"ERROR"))</f>
        <v>19</v>
      </c>
      <c r="H30" s="156">
        <f>IF($B30=" ","",IFERROR(INDEX(MMWR_RATING_RO_ROLLUP[],MATCH($B30,MMWR_RATING_RO_ROLLUP[MMWR_RATING_RO_ROLLUP],0),MATCH(H$9,MMWR_RATING_RO_ROLLUP[#Headers],0)),"ERROR"))</f>
        <v>164.1052631579</v>
      </c>
      <c r="I30" s="156">
        <f>IF($B30=" ","",IFERROR(INDEX(MMWR_RATING_RO_ROLLUP[],MATCH($B30,MMWR_RATING_RO_ROLLUP[MMWR_RATING_RO_ROLLUP],0),MATCH(I$9,MMWR_RATING_RO_ROLLUP[#Headers],0)),"ERROR"))</f>
        <v>164.1052631579</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18338</v>
      </c>
      <c r="D31" s="156">
        <f>IF($B31=" ","",IFERROR(INDEX(MMWR_RATING_RO_ROLLUP[],MATCH($B31,MMWR_RATING_RO_ROLLUP[MMWR_RATING_RO_ROLLUP],0),MATCH(D$9,MMWR_RATING_RO_ROLLUP[#Headers],0)),"ERROR"))</f>
        <v>98.129021703600003</v>
      </c>
      <c r="E31" s="157">
        <f>IF($B31=" ","",IFERROR(INDEX(MMWR_RATING_RO_ROLLUP[],MATCH($B31,MMWR_RATING_RO_ROLLUP[MMWR_RATING_RO_ROLLUP],0),MATCH(E$9,MMWR_RATING_RO_ROLLUP[#Headers],0))/$C31,"ERROR"))</f>
        <v>0.2285418257170902</v>
      </c>
      <c r="F31" s="155">
        <f>IF($B31=" ","",IFERROR(INDEX(MMWR_RATING_RO_ROLLUP[],MATCH($B31,MMWR_RATING_RO_ROLLUP[MMWR_RATING_RO_ROLLUP],0),MATCH(F$9,MMWR_RATING_RO_ROLLUP[#Headers],0)),"ERROR"))</f>
        <v>365</v>
      </c>
      <c r="G31" s="155">
        <f>IF($B31=" ","",IFERROR(INDEX(MMWR_RATING_RO_ROLLUP[],MATCH($B31,MMWR_RATING_RO_ROLLUP[MMWR_RATING_RO_ROLLUP],0),MATCH(G$9,MMWR_RATING_RO_ROLLUP[#Headers],0)),"ERROR"))</f>
        <v>365</v>
      </c>
      <c r="H31" s="156">
        <f>IF($B31=" ","",IFERROR(INDEX(MMWR_RATING_RO_ROLLUP[],MATCH($B31,MMWR_RATING_RO_ROLLUP[MMWR_RATING_RO_ROLLUP],0),MATCH(H$9,MMWR_RATING_RO_ROLLUP[#Headers],0)),"ERROR"))</f>
        <v>149.80000000000001</v>
      </c>
      <c r="I31" s="156">
        <f>IF($B31=" ","",IFERROR(INDEX(MMWR_RATING_RO_ROLLUP[],MATCH($B31,MMWR_RATING_RO_ROLLUP[MMWR_RATING_RO_ROLLUP],0),MATCH(I$9,MMWR_RATING_RO_ROLLUP[#Headers],0)),"ERROR"))</f>
        <v>149.80000000000001</v>
      </c>
      <c r="J31" s="42"/>
      <c r="K31" s="42"/>
      <c r="L31" s="42"/>
      <c r="M31" s="42"/>
      <c r="N31" s="28"/>
    </row>
    <row r="32" spans="1:14" x14ac:dyDescent="0.2">
      <c r="A32" s="25"/>
      <c r="B32" s="341" t="s">
        <v>740</v>
      </c>
      <c r="C32" s="342"/>
      <c r="D32" s="342"/>
      <c r="E32" s="342"/>
      <c r="F32" s="342"/>
      <c r="G32" s="342"/>
      <c r="H32" s="342"/>
      <c r="I32" s="342"/>
      <c r="J32" s="342"/>
      <c r="K32" s="342"/>
      <c r="L32" s="342"/>
      <c r="M32" s="392"/>
      <c r="N32" s="28"/>
    </row>
    <row r="33" spans="1:14" x14ac:dyDescent="0.2">
      <c r="A33" s="25"/>
      <c r="B33" s="11" t="s">
        <v>703</v>
      </c>
      <c r="C33" s="155">
        <f>IF($B33=" ","",IFERROR(INDEX(MMWR_RATING_RO_ROLLUP[],MATCH($B33,MMWR_RATING_RO_ROLLUP[MMWR_RATING_RO_ROLLUP],0),MATCH(C$9,MMWR_RATING_RO_ROLLUP[#Headers],0)),"ERROR"))</f>
        <v>21351</v>
      </c>
      <c r="D33" s="156">
        <f>IF($B33=" ","",IFERROR(INDEX(MMWR_RATING_RO_ROLLUP[],MATCH($B33,MMWR_RATING_RO_ROLLUP[MMWR_RATING_RO_ROLLUP],0),MATCH(D$9,MMWR_RATING_RO_ROLLUP[#Headers],0)),"ERROR"))</f>
        <v>59.325980047800002</v>
      </c>
      <c r="E33" s="157">
        <f>IF($B33=" ","",IFERROR(INDEX(MMWR_RATING_RO_ROLLUP[],MATCH($B33,MMWR_RATING_RO_ROLLUP[MMWR_RATING_RO_ROLLUP],0),MATCH(E$9,MMWR_RATING_RO_ROLLUP[#Headers],0))/$C33,"ERROR"))</f>
        <v>7.8872183972647655E-2</v>
      </c>
      <c r="F33" s="155">
        <f>IF($B33=" ","",IFERROR(INDEX(MMWR_RATING_RO_ROLLUP[],MATCH($B33,MMWR_RATING_RO_ROLLUP[MMWR_RATING_RO_ROLLUP],0),MATCH(F$9,MMWR_RATING_RO_ROLLUP[#Headers],0)),"ERROR"))</f>
        <v>773</v>
      </c>
      <c r="G33" s="155">
        <f>IF($B33=" ","",IFERROR(INDEX(MMWR_RATING_RO_ROLLUP[],MATCH($B33,MMWR_RATING_RO_ROLLUP[MMWR_RATING_RO_ROLLUP],0),MATCH(G$9,MMWR_RATING_RO_ROLLUP[#Headers],0)),"ERROR"))</f>
        <v>773</v>
      </c>
      <c r="H33" s="156">
        <f>IF($B33=" ","",IFERROR(INDEX(MMWR_RATING_RO_ROLLUP[],MATCH($B33,MMWR_RATING_RO_ROLLUP[MMWR_RATING_RO_ROLLUP],0),MATCH(H$9,MMWR_RATING_RO_ROLLUP[#Headers],0)),"ERROR"))</f>
        <v>59.126778784000003</v>
      </c>
      <c r="I33" s="156">
        <f>IF($B33=" ","",IFERROR(INDEX(MMWR_RATING_RO_ROLLUP[],MATCH($B33,MMWR_RATING_RO_ROLLUP[MMWR_RATING_RO_ROLLUP],0),MATCH(I$9,MMWR_RATING_RO_ROLLUP[#Headers],0)),"ERROR"))</f>
        <v>59.126778784000003</v>
      </c>
      <c r="J33" s="42"/>
      <c r="K33" s="42"/>
      <c r="L33" s="42"/>
      <c r="M33" s="42"/>
      <c r="N33" s="28"/>
    </row>
    <row r="34" spans="1:14" x14ac:dyDescent="0.2">
      <c r="A34" s="25"/>
      <c r="B34" s="12" t="s">
        <v>216</v>
      </c>
      <c r="C34" s="155">
        <f>IF($B34=" ","",IFERROR(INDEX(MMWR_RATING_RO_ROLLUP[],MATCH($B34,MMWR_RATING_RO_ROLLUP[MMWR_RATING_RO_ROLLUP],0),MATCH(C$9,MMWR_RATING_RO_ROLLUP[#Headers],0)),"ERROR"))</f>
        <v>6816</v>
      </c>
      <c r="D34" s="156">
        <f>IF($B34=" ","",IFERROR(INDEX(MMWR_RATING_RO_ROLLUP[],MATCH($B34,MMWR_RATING_RO_ROLLUP[MMWR_RATING_RO_ROLLUP],0),MATCH(D$9,MMWR_RATING_RO_ROLLUP[#Headers],0)),"ERROR"))</f>
        <v>68.104019953100007</v>
      </c>
      <c r="E34" s="157">
        <f>IF($B34=" ","",IFERROR(INDEX(MMWR_RATING_RO_ROLLUP[],MATCH($B34,MMWR_RATING_RO_ROLLUP[MMWR_RATING_RO_ROLLUP],0),MATCH(E$9,MMWR_RATING_RO_ROLLUP[#Headers],0))/$C34,"ERROR"))</f>
        <v>0.10005868544600939</v>
      </c>
      <c r="F34" s="155">
        <f>IF($B34=" ","",IFERROR(INDEX(MMWR_RATING_RO_ROLLUP[],MATCH($B34,MMWR_RATING_RO_ROLLUP[MMWR_RATING_RO_ROLLUP],0),MATCH(F$9,MMWR_RATING_RO_ROLLUP[#Headers],0)),"ERROR"))</f>
        <v>233</v>
      </c>
      <c r="G34" s="155">
        <f>IF($B34=" ","",IFERROR(INDEX(MMWR_RATING_RO_ROLLUP[],MATCH($B34,MMWR_RATING_RO_ROLLUP[MMWR_RATING_RO_ROLLUP],0),MATCH(G$9,MMWR_RATING_RO_ROLLUP[#Headers],0)),"ERROR"))</f>
        <v>233</v>
      </c>
      <c r="H34" s="156">
        <f>IF($B34=" ","",IFERROR(INDEX(MMWR_RATING_RO_ROLLUP[],MATCH($B34,MMWR_RATING_RO_ROLLUP[MMWR_RATING_RO_ROLLUP],0),MATCH(H$9,MMWR_RATING_RO_ROLLUP[#Headers],0)),"ERROR"))</f>
        <v>67.360515021500007</v>
      </c>
      <c r="I34" s="156">
        <f>IF($B34=" ","",IFERROR(INDEX(MMWR_RATING_RO_ROLLUP[],MATCH($B34,MMWR_RATING_RO_ROLLUP[MMWR_RATING_RO_ROLLUP],0),MATCH(I$9,MMWR_RATING_RO_ROLLUP[#Headers],0)),"ERROR"))</f>
        <v>67.360515021500007</v>
      </c>
      <c r="J34" s="42"/>
      <c r="K34" s="42"/>
      <c r="L34" s="42"/>
      <c r="M34" s="42"/>
      <c r="N34" s="28"/>
    </row>
    <row r="35" spans="1:14" x14ac:dyDescent="0.2">
      <c r="A35" s="43"/>
      <c r="B35" s="12" t="s">
        <v>215</v>
      </c>
      <c r="C35" s="155">
        <f>IF($B35=" ","",IFERROR(INDEX(MMWR_RATING_RO_ROLLUP[],MATCH($B35,MMWR_RATING_RO_ROLLUP[MMWR_RATING_RO_ROLLUP],0),MATCH(C$9,MMWR_RATING_RO_ROLLUP[#Headers],0)),"ERROR"))</f>
        <v>5940</v>
      </c>
      <c r="D35" s="156">
        <f>IF($B35=" ","",IFERROR(INDEX(MMWR_RATING_RO_ROLLUP[],MATCH($B35,MMWR_RATING_RO_ROLLUP[MMWR_RATING_RO_ROLLUP],0),MATCH(D$9,MMWR_RATING_RO_ROLLUP[#Headers],0)),"ERROR"))</f>
        <v>53.240067340099998</v>
      </c>
      <c r="E35" s="157">
        <f>IF($B35=" ","",IFERROR(INDEX(MMWR_RATING_RO_ROLLUP[],MATCH($B35,MMWR_RATING_RO_ROLLUP[MMWR_RATING_RO_ROLLUP],0),MATCH(E$9,MMWR_RATING_RO_ROLLUP[#Headers],0))/$C35,"ERROR"))</f>
        <v>6.3973063973063973E-2</v>
      </c>
      <c r="F35" s="155">
        <f>IF($B35=" ","",IFERROR(INDEX(MMWR_RATING_RO_ROLLUP[],MATCH($B35,MMWR_RATING_RO_ROLLUP[MMWR_RATING_RO_ROLLUP],0),MATCH(F$9,MMWR_RATING_RO_ROLLUP[#Headers],0)),"ERROR"))</f>
        <v>115</v>
      </c>
      <c r="G35" s="155">
        <f>IF($B35=" ","",IFERROR(INDEX(MMWR_RATING_RO_ROLLUP[],MATCH($B35,MMWR_RATING_RO_ROLLUP[MMWR_RATING_RO_ROLLUP],0),MATCH(G$9,MMWR_RATING_RO_ROLLUP[#Headers],0)),"ERROR"))</f>
        <v>115</v>
      </c>
      <c r="H35" s="156">
        <f>IF($B35=" ","",IFERROR(INDEX(MMWR_RATING_RO_ROLLUP[],MATCH($B35,MMWR_RATING_RO_ROLLUP[MMWR_RATING_RO_ROLLUP],0),MATCH(H$9,MMWR_RATING_RO_ROLLUP[#Headers],0)),"ERROR"))</f>
        <v>56.895652173899997</v>
      </c>
      <c r="I35" s="156">
        <f>IF($B35=" ","",IFERROR(INDEX(MMWR_RATING_RO_ROLLUP[],MATCH($B35,MMWR_RATING_RO_ROLLUP[MMWR_RATING_RO_ROLLUP],0),MATCH(I$9,MMWR_RATING_RO_ROLLUP[#Headers],0)),"ERROR"))</f>
        <v>56.895652173899997</v>
      </c>
      <c r="J35" s="42"/>
      <c r="K35" s="42"/>
      <c r="L35" s="42"/>
      <c r="M35" s="42"/>
      <c r="N35" s="28"/>
    </row>
    <row r="36" spans="1:14" x14ac:dyDescent="0.2">
      <c r="A36" s="25"/>
      <c r="B36" s="12" t="s">
        <v>218</v>
      </c>
      <c r="C36" s="155">
        <f>IF($B36=" ","",IFERROR(INDEX(MMWR_RATING_RO_ROLLUP[],MATCH($B36,MMWR_RATING_RO_ROLLUP[MMWR_RATING_RO_ROLLUP],0),MATCH(C$9,MMWR_RATING_RO_ROLLUP[#Headers],0)),"ERROR"))</f>
        <v>8023</v>
      </c>
      <c r="D36" s="156">
        <f>IF($B36=" ","",IFERROR(INDEX(MMWR_RATING_RO_ROLLUP[],MATCH($B36,MMWR_RATING_RO_ROLLUP[MMWR_RATING_RO_ROLLUP],0),MATCH(D$9,MMWR_RATING_RO_ROLLUP[#Headers],0)),"ERROR"))</f>
        <v>49.463542315799998</v>
      </c>
      <c r="E36" s="157">
        <f>IF($B36=" ","",IFERROR(INDEX(MMWR_RATING_RO_ROLLUP[],MATCH($B36,MMWR_RATING_RO_ROLLUP[MMWR_RATING_RO_ROLLUP],0),MATCH(E$9,MMWR_RATING_RO_ROLLUP[#Headers],0))/$C36,"ERROR"))</f>
        <v>4.8111678923096098E-2</v>
      </c>
      <c r="F36" s="155">
        <f>IF($B36=" ","",IFERROR(INDEX(MMWR_RATING_RO_ROLLUP[],MATCH($B36,MMWR_RATING_RO_ROLLUP[MMWR_RATING_RO_ROLLUP],0),MATCH(F$9,MMWR_RATING_RO_ROLLUP[#Headers],0)),"ERROR"))</f>
        <v>404</v>
      </c>
      <c r="G36" s="155">
        <f>IF($B36=" ","",IFERROR(INDEX(MMWR_RATING_RO_ROLLUP[],MATCH($B36,MMWR_RATING_RO_ROLLUP[MMWR_RATING_RO_ROLLUP],0),MATCH(G$9,MMWR_RATING_RO_ROLLUP[#Headers],0)),"ERROR"))</f>
        <v>404</v>
      </c>
      <c r="H36" s="156">
        <f>IF($B36=" ","",IFERROR(INDEX(MMWR_RATING_RO_ROLLUP[],MATCH($B36,MMWR_RATING_RO_ROLLUP[MMWR_RATING_RO_ROLLUP],0),MATCH(H$9,MMWR_RATING_RO_ROLLUP[#Headers],0)),"ERROR"))</f>
        <v>54.646039604000002</v>
      </c>
      <c r="I36" s="156">
        <f>IF($B36=" ","",IFERROR(INDEX(MMWR_RATING_RO_ROLLUP[],MATCH($B36,MMWR_RATING_RO_ROLLUP[MMWR_RATING_RO_ROLLUP],0),MATCH(I$9,MMWR_RATING_RO_ROLLUP[#Headers],0)),"ERROR"))</f>
        <v>54.646039604000002</v>
      </c>
      <c r="J36" s="42"/>
      <c r="K36" s="42"/>
      <c r="L36" s="42"/>
      <c r="M36" s="42"/>
      <c r="N36" s="28"/>
    </row>
    <row r="37" spans="1:14" x14ac:dyDescent="0.2">
      <c r="A37" s="25"/>
      <c r="B37" s="13" t="s">
        <v>230</v>
      </c>
      <c r="C37" s="155">
        <f>IF($B37=" ","",IFERROR(INDEX(MMWR_RATING_RO_ROLLUP[],MATCH($B37,MMWR_RATING_RO_ROLLUP[MMWR_RATING_RO_ROLLUP],0),MATCH(C$9,MMWR_RATING_RO_ROLLUP[#Headers],0)),"ERROR"))</f>
        <v>572</v>
      </c>
      <c r="D37" s="156">
        <f>IF($B37=" ","",IFERROR(INDEX(MMWR_RATING_RO_ROLLUP[],MATCH($B37,MMWR_RATING_RO_ROLLUP[MMWR_RATING_RO_ROLLUP],0),MATCH(D$9,MMWR_RATING_RO_ROLLUP[#Headers],0)),"ERROR"))</f>
        <v>156.25874125870001</v>
      </c>
      <c r="E37" s="157">
        <f>IF($B37=" ","",IFERROR(INDEX(MMWR_RATING_RO_ROLLUP[],MATCH($B37,MMWR_RATING_RO_ROLLUP[MMWR_RATING_RO_ROLLUP],0),MATCH(E$9,MMWR_RATING_RO_ROLLUP[#Headers],0))/$C37,"ERROR"))</f>
        <v>0.41258741258741261</v>
      </c>
      <c r="F37" s="155">
        <f>IF($B37=" ","",IFERROR(INDEX(MMWR_RATING_RO_ROLLUP[],MATCH($B37,MMWR_RATING_RO_ROLLUP[MMWR_RATING_RO_ROLLUP],0),MATCH(F$9,MMWR_RATING_RO_ROLLUP[#Headers],0)),"ERROR"))</f>
        <v>21</v>
      </c>
      <c r="G37" s="155">
        <f>IF($B37=" ","",IFERROR(INDEX(MMWR_RATING_RO_ROLLUP[],MATCH($B37,MMWR_RATING_RO_ROLLUP[MMWR_RATING_RO_ROLLUP],0),MATCH(G$9,MMWR_RATING_RO_ROLLUP[#Headers],0)),"ERROR"))</f>
        <v>21</v>
      </c>
      <c r="H37" s="156">
        <f>IF($B37=" ","",IFERROR(INDEX(MMWR_RATING_RO_ROLLUP[],MATCH($B37,MMWR_RATING_RO_ROLLUP[MMWR_RATING_RO_ROLLUP],0),MATCH(H$9,MMWR_RATING_RO_ROLLUP[#Headers],0)),"ERROR"))</f>
        <v>66.190476190499993</v>
      </c>
      <c r="I37" s="156">
        <f>IF($B37=" ","",IFERROR(INDEX(MMWR_RATING_RO_ROLLUP[],MATCH($B37,MMWR_RATING_RO_ROLLUP[MMWR_RATING_RO_ROLLUP],0),MATCH(I$9,MMWR_RATING_RO_ROLLUP[#Headers],0)),"ERROR"))</f>
        <v>66.190476190499993</v>
      </c>
      <c r="J37" s="42"/>
      <c r="K37" s="42"/>
      <c r="L37" s="42"/>
      <c r="M37" s="42"/>
      <c r="N37" s="28"/>
    </row>
    <row r="38" spans="1:14" x14ac:dyDescent="0.2">
      <c r="A38" s="25"/>
      <c r="B38" s="341" t="s">
        <v>923</v>
      </c>
      <c r="C38" s="342"/>
      <c r="D38" s="342"/>
      <c r="E38" s="342"/>
      <c r="F38" s="342"/>
      <c r="G38" s="342"/>
      <c r="H38" s="342"/>
      <c r="I38" s="342"/>
      <c r="J38" s="342"/>
      <c r="K38" s="342"/>
      <c r="L38" s="342"/>
      <c r="M38" s="392"/>
      <c r="N38" s="28"/>
    </row>
    <row r="39" spans="1:14" x14ac:dyDescent="0.2">
      <c r="A39" s="25"/>
      <c r="B39" s="44" t="s">
        <v>704</v>
      </c>
      <c r="C39" s="155">
        <f>IF($B39=" ","",IFERROR(INDEX(MMWR_RATING_RO_ROLLUP[],MATCH($B39,MMWR_RATING_RO_ROLLUP[MMWR_RATING_RO_ROLLUP],0),MATCH(C$9,MMWR_RATING_RO_ROLLUP[#Headers],0)),"ERROR"))</f>
        <v>9865</v>
      </c>
      <c r="D39" s="156">
        <f>IF($B39=" ","",IFERROR(INDEX(MMWR_RATING_RO_ROLLUP[],MATCH($B39,MMWR_RATING_RO_ROLLUP[MMWR_RATING_RO_ROLLUP],0),MATCH(D$9,MMWR_RATING_RO_ROLLUP[#Headers],0)),"ERROR"))</f>
        <v>64.185098834300007</v>
      </c>
      <c r="E39" s="157">
        <f>IF($B39=" ","",IFERROR(INDEX(MMWR_RATING_RO_ROLLUP[],MATCH($B39,MMWR_RATING_RO_ROLLUP[MMWR_RATING_RO_ROLLUP],0),MATCH(E$9,MMWR_RATING_RO_ROLLUP[#Headers],0))/$C39,"ERROR"))</f>
        <v>8.1398884946781547E-2</v>
      </c>
      <c r="F39" s="155">
        <f>IF($B39=" ","",IFERROR(INDEX(MMWR_RATING_RO_ROLLUP[],MATCH($B39,MMWR_RATING_RO_ROLLUP[MMWR_RATING_RO_ROLLUP],0),MATCH(F$9,MMWR_RATING_RO_ROLLUP[#Headers],0)),"ERROR"))</f>
        <v>150</v>
      </c>
      <c r="G39" s="155">
        <f>IF($B39=" ","",IFERROR(INDEX(MMWR_RATING_RO_ROLLUP[],MATCH($B39,MMWR_RATING_RO_ROLLUP[MMWR_RATING_RO_ROLLUP],0),MATCH(G$9,MMWR_RATING_RO_ROLLUP[#Headers],0)),"ERROR"))</f>
        <v>150</v>
      </c>
      <c r="H39" s="156">
        <f>IF($B39=" ","",IFERROR(INDEX(MMWR_RATING_RO_ROLLUP[],MATCH($B39,MMWR_RATING_RO_ROLLUP[MMWR_RATING_RO_ROLLUP],0),MATCH(H$9,MMWR_RATING_RO_ROLLUP[#Headers],0)),"ERROR"))</f>
        <v>137.54666666669999</v>
      </c>
      <c r="I39" s="156">
        <f>IF($B39=" ","",IFERROR(INDEX(MMWR_RATING_RO_ROLLUP[],MATCH($B39,MMWR_RATING_RO_ROLLUP[MMWR_RATING_RO_ROLLUP],0),MATCH(I$9,MMWR_RATING_RO_ROLLUP[#Headers],0)),"ERROR"))</f>
        <v>137.54666666669999</v>
      </c>
      <c r="J39" s="42"/>
      <c r="K39" s="42"/>
      <c r="L39" s="42"/>
      <c r="M39" s="42"/>
      <c r="N39" s="28"/>
    </row>
    <row r="40" spans="1:14" x14ac:dyDescent="0.2">
      <c r="A40" s="25"/>
      <c r="B40" s="53" t="s">
        <v>963</v>
      </c>
      <c r="C40" s="155">
        <f>IF($B40=" ","",IFERROR(INDEX(MMWR_RATING_RO_ROLLUP[],MATCH($B40,MMWR_RATING_RO_ROLLUP[MMWR_RATING_RO_ROLLUP],0),MATCH(C$9,MMWR_RATING_RO_ROLLUP[#Headers],0)),"ERROR"))</f>
        <v>3164</v>
      </c>
      <c r="D40" s="156">
        <f>IF($B40=" ","",IFERROR(INDEX(MMWR_RATING_RO_ROLLUP[],MATCH($B40,MMWR_RATING_RO_ROLLUP[MMWR_RATING_RO_ROLLUP],0),MATCH(D$9,MMWR_RATING_RO_ROLLUP[#Headers],0)),"ERROR"))</f>
        <v>59.912136535999998</v>
      </c>
      <c r="E40" s="157">
        <f>IF($B40=" ","",IFERROR(INDEX(MMWR_RATING_RO_ROLLUP[],MATCH($B40,MMWR_RATING_RO_ROLLUP[MMWR_RATING_RO_ROLLUP],0),MATCH(E$9,MMWR_RATING_RO_ROLLUP[#Headers],0))/$C40,"ERROR"))</f>
        <v>7.7433628318584066E-2</v>
      </c>
      <c r="F40" s="155">
        <f>IF($B40=" ","",IFERROR(INDEX(MMWR_RATING_RO_ROLLUP[],MATCH($B40,MMWR_RATING_RO_ROLLUP[MMWR_RATING_RO_ROLLUP],0),MATCH(F$9,MMWR_RATING_RO_ROLLUP[#Headers],0)),"ERROR"))</f>
        <v>52</v>
      </c>
      <c r="G40" s="155">
        <f>IF($B40=" ","",IFERROR(INDEX(MMWR_RATING_RO_ROLLUP[],MATCH($B40,MMWR_RATING_RO_ROLLUP[MMWR_RATING_RO_ROLLUP],0),MATCH(G$9,MMWR_RATING_RO_ROLLUP[#Headers],0)),"ERROR"))</f>
        <v>52</v>
      </c>
      <c r="H40" s="156">
        <f>IF($B40=" ","",IFERROR(INDEX(MMWR_RATING_RO_ROLLUP[],MATCH($B40,MMWR_RATING_RO_ROLLUP[MMWR_RATING_RO_ROLLUP],0),MATCH(H$9,MMWR_RATING_RO_ROLLUP[#Headers],0)),"ERROR"))</f>
        <v>100.6730769231</v>
      </c>
      <c r="I40" s="156">
        <f>IF($B40=" ","",IFERROR(INDEX(MMWR_RATING_RO_ROLLUP[],MATCH($B40,MMWR_RATING_RO_ROLLUP[MMWR_RATING_RO_ROLLUP],0),MATCH(I$9,MMWR_RATING_RO_ROLLUP[#Headers],0)),"ERROR"))</f>
        <v>100.6730769231</v>
      </c>
      <c r="J40" s="42"/>
      <c r="K40" s="42"/>
      <c r="L40" s="42"/>
      <c r="M40" s="42"/>
      <c r="N40" s="28"/>
    </row>
    <row r="41" spans="1:14" x14ac:dyDescent="0.2">
      <c r="A41" s="25"/>
      <c r="B41" s="53" t="s">
        <v>964</v>
      </c>
      <c r="C41" s="155">
        <f>IF($B41=" ","",IFERROR(INDEX(MMWR_RATING_RO_ROLLUP[],MATCH($B41,MMWR_RATING_RO_ROLLUP[MMWR_RATING_RO_ROLLUP],0),MATCH(C$9,MMWR_RATING_RO_ROLLUP[#Headers],0)),"ERROR"))</f>
        <v>3369</v>
      </c>
      <c r="D41" s="156">
        <f>IF($B41=" ","",IFERROR(INDEX(MMWR_RATING_RO_ROLLUP[],MATCH($B41,MMWR_RATING_RO_ROLLUP[MMWR_RATING_RO_ROLLUP],0),MATCH(D$9,MMWR_RATING_RO_ROLLUP[#Headers],0)),"ERROR"))</f>
        <v>72.488275452699995</v>
      </c>
      <c r="E41" s="157">
        <f>IF($B41=" ","",IFERROR(INDEX(MMWR_RATING_RO_ROLLUP[],MATCH($B41,MMWR_RATING_RO_ROLLUP[MMWR_RATING_RO_ROLLUP],0),MATCH(E$9,MMWR_RATING_RO_ROLLUP[#Headers],0))/$C41,"ERROR"))</f>
        <v>9.2312258830513499E-2</v>
      </c>
      <c r="F41" s="155">
        <f>IF($B41=" ","",IFERROR(INDEX(MMWR_RATING_RO_ROLLUP[],MATCH($B41,MMWR_RATING_RO_ROLLUP[MMWR_RATING_RO_ROLLUP],0),MATCH(F$9,MMWR_RATING_RO_ROLLUP[#Headers],0)),"ERROR"))</f>
        <v>53</v>
      </c>
      <c r="G41" s="155">
        <f>IF($B41=" ","",IFERROR(INDEX(MMWR_RATING_RO_ROLLUP[],MATCH($B41,MMWR_RATING_RO_ROLLUP[MMWR_RATING_RO_ROLLUP],0),MATCH(G$9,MMWR_RATING_RO_ROLLUP[#Headers],0)),"ERROR"))</f>
        <v>53</v>
      </c>
      <c r="H41" s="156">
        <f>IF($B41=" ","",IFERROR(INDEX(MMWR_RATING_RO_ROLLUP[],MATCH($B41,MMWR_RATING_RO_ROLLUP[MMWR_RATING_RO_ROLLUP],0),MATCH(H$9,MMWR_RATING_RO_ROLLUP[#Headers],0)),"ERROR"))</f>
        <v>180.56603773579999</v>
      </c>
      <c r="I41" s="156">
        <f>IF($B41=" ","",IFERROR(INDEX(MMWR_RATING_RO_ROLLUP[],MATCH($B41,MMWR_RATING_RO_ROLLUP[MMWR_RATING_RO_ROLLUP],0),MATCH(I$9,MMWR_RATING_RO_ROLLUP[#Headers],0)),"ERROR"))</f>
        <v>180.56603773579999</v>
      </c>
      <c r="J41" s="42"/>
      <c r="K41" s="42"/>
      <c r="L41" s="42"/>
      <c r="M41" s="42"/>
      <c r="N41" s="28"/>
    </row>
    <row r="42" spans="1:14" x14ac:dyDescent="0.2">
      <c r="A42" s="25"/>
      <c r="B42" s="46" t="s">
        <v>313</v>
      </c>
      <c r="C42" s="155">
        <f>IF($B42=" ","",IFERROR(INDEX(MMWR_RATING_RO_ROLLUP[],MATCH($B42,MMWR_RATING_RO_ROLLUP[MMWR_RATING_RO_ROLLUP],0),MATCH(C$9,MMWR_RATING_RO_ROLLUP[#Headers],0)),"ERROR"))</f>
        <v>3332</v>
      </c>
      <c r="D42" s="156">
        <f>IF($B42=" ","",IFERROR(INDEX(MMWR_RATING_RO_ROLLUP[],MATCH($B42,MMWR_RATING_RO_ROLLUP[MMWR_RATING_RO_ROLLUP],0),MATCH(D$9,MMWR_RATING_RO_ROLLUP[#Headers],0)),"ERROR"))</f>
        <v>59.8472388956</v>
      </c>
      <c r="E42" s="157">
        <f>IF($B42=" ","",IFERROR(INDEX(MMWR_RATING_RO_ROLLUP[],MATCH($B42,MMWR_RATING_RO_ROLLUP[MMWR_RATING_RO_ROLLUP],0),MATCH(E$9,MMWR_RATING_RO_ROLLUP[#Headers],0))/$C42,"ERROR"))</f>
        <v>7.41296518607443E-2</v>
      </c>
      <c r="F42" s="155">
        <f>IF($B42=" ","",IFERROR(INDEX(MMWR_RATING_RO_ROLLUP[],MATCH($B42,MMWR_RATING_RO_ROLLUP[MMWR_RATING_RO_ROLLUP],0),MATCH(F$9,MMWR_RATING_RO_ROLLUP[#Headers],0)),"ERROR"))</f>
        <v>45</v>
      </c>
      <c r="G42" s="155">
        <f>IF($B42=" ","",IFERROR(INDEX(MMWR_RATING_RO_ROLLUP[],MATCH($B42,MMWR_RATING_RO_ROLLUP[MMWR_RATING_RO_ROLLUP],0),MATCH(G$9,MMWR_RATING_RO_ROLLUP[#Headers],0)),"ERROR"))</f>
        <v>45</v>
      </c>
      <c r="H42" s="156">
        <f>IF($B42=" ","",IFERROR(INDEX(MMWR_RATING_RO_ROLLUP[],MATCH($B42,MMWR_RATING_RO_ROLLUP[MMWR_RATING_RO_ROLLUP],0),MATCH(H$9,MMWR_RATING_RO_ROLLUP[#Headers],0)),"ERROR"))</f>
        <v>129.48888888889999</v>
      </c>
      <c r="I42" s="156">
        <f>IF($B42=" ","",IFERROR(INDEX(MMWR_RATING_RO_ROLLUP[],MATCH($B42,MMWR_RATING_RO_ROLLUP[MMWR_RATING_RO_ROLLUP],0),MATCH(I$9,MMWR_RATING_RO_ROLLUP[#Headers],0)),"ERROR"))</f>
        <v>129.48888888889999</v>
      </c>
      <c r="J42" s="42"/>
      <c r="K42" s="42"/>
      <c r="L42" s="42"/>
      <c r="M42" s="42"/>
      <c r="N42" s="28"/>
    </row>
    <row r="43" spans="1:14" x14ac:dyDescent="0.2">
      <c r="A43" s="25"/>
      <c r="B43" s="341" t="s">
        <v>741</v>
      </c>
      <c r="C43" s="342"/>
      <c r="D43" s="342"/>
      <c r="E43" s="342"/>
      <c r="F43" s="342"/>
      <c r="G43" s="342"/>
      <c r="H43" s="342"/>
      <c r="I43" s="342"/>
      <c r="J43" s="342"/>
      <c r="K43" s="342"/>
      <c r="L43" s="342"/>
      <c r="M43" s="392"/>
      <c r="N43" s="28"/>
    </row>
    <row r="44" spans="1:14" x14ac:dyDescent="0.2">
      <c r="A44" s="25"/>
      <c r="B44" s="44" t="s">
        <v>702</v>
      </c>
      <c r="C44" s="155">
        <f>IF($B44=" ","",IFERROR(INDEX(MMWR_RATING_RO_ROLLUP[],MATCH($B44,MMWR_RATING_RO_ROLLUP[MMWR_RATING_RO_ROLLUP],0),MATCH(C$9,MMWR_RATING_RO_ROLLUP[#Headers],0)),"ERROR"))</f>
        <v>11665</v>
      </c>
      <c r="D44" s="156">
        <f>IF($B44=" ","",IFERROR(INDEX(MMWR_RATING_RO_ROLLUP[],MATCH($B44,MMWR_RATING_RO_ROLLUP[MMWR_RATING_RO_ROLLUP],0),MATCH(D$9,MMWR_RATING_RO_ROLLUP[#Headers],0)),"ERROR"))</f>
        <v>61.260008572700002</v>
      </c>
      <c r="E44" s="157">
        <f>IF($B44=" ","",IFERROR(INDEX(MMWR_RATING_RO_ROLLUP[],MATCH($B44,MMWR_RATING_RO_ROLLUP[MMWR_RATING_RO_ROLLUP],0),MATCH(E$9,MMWR_RATING_RO_ROLLUP[#Headers],0))/$C44,"ERROR"))</f>
        <v>5.915130732961852E-2</v>
      </c>
      <c r="F44" s="155">
        <f>IF($B44=" ","",IFERROR(INDEX(MMWR_RATING_RO_ROLLUP[],MATCH($B44,MMWR_RATING_RO_ROLLUP[MMWR_RATING_RO_ROLLUP],0),MATCH(F$9,MMWR_RATING_RO_ROLLUP[#Headers],0)),"ERROR"))</f>
        <v>188</v>
      </c>
      <c r="G44" s="155">
        <f>IF($B44=" ","",IFERROR(INDEX(MMWR_RATING_RO_ROLLUP[],MATCH($B44,MMWR_RATING_RO_ROLLUP[MMWR_RATING_RO_ROLLUP],0),MATCH(G$9,MMWR_RATING_RO_ROLLUP[#Headers],0)),"ERROR"))</f>
        <v>188</v>
      </c>
      <c r="H44" s="156">
        <f>IF($B44=" ","",IFERROR(INDEX(MMWR_RATING_RO_ROLLUP[],MATCH($B44,MMWR_RATING_RO_ROLLUP[MMWR_RATING_RO_ROLLUP],0),MATCH(H$9,MMWR_RATING_RO_ROLLUP[#Headers],0)),"ERROR"))</f>
        <v>128.61702127660001</v>
      </c>
      <c r="I44" s="156">
        <f>IF($B44=" ","",IFERROR(INDEX(MMWR_RATING_RO_ROLLUP[],MATCH($B44,MMWR_RATING_RO_ROLLUP[MMWR_RATING_RO_ROLLUP],0),MATCH(I$9,MMWR_RATING_RO_ROLLUP[#Headers],0)),"ERROR"))</f>
        <v>128.61702127660001</v>
      </c>
      <c r="J44" s="42"/>
      <c r="K44" s="42"/>
      <c r="L44" s="42"/>
      <c r="M44" s="42"/>
      <c r="N44" s="28"/>
    </row>
    <row r="45" spans="1:14" x14ac:dyDescent="0.2">
      <c r="A45" s="25"/>
      <c r="B45" s="45" t="s">
        <v>217</v>
      </c>
      <c r="C45" s="155">
        <f>IF($B45=" ","",IFERROR(INDEX(MMWR_RATING_RO_ROLLUP[],MATCH($B45,MMWR_RATING_RO_ROLLUP[MMWR_RATING_RO_ROLLUP],0),MATCH(C$9,MMWR_RATING_RO_ROLLUP[#Headers],0)),"ERROR"))</f>
        <v>3753</v>
      </c>
      <c r="D45" s="156">
        <f>IF($B45=" ","",IFERROR(INDEX(MMWR_RATING_RO_ROLLUP[],MATCH($B45,MMWR_RATING_RO_ROLLUP[MMWR_RATING_RO_ROLLUP],0),MATCH(D$9,MMWR_RATING_RO_ROLLUP[#Headers],0)),"ERROR"))</f>
        <v>55.991473487900002</v>
      </c>
      <c r="E45" s="157">
        <f>IF($B45=" ","",IFERROR(INDEX(MMWR_RATING_RO_ROLLUP[],MATCH($B45,MMWR_RATING_RO_ROLLUP[MMWR_RATING_RO_ROLLUP],0),MATCH(E$9,MMWR_RATING_RO_ROLLUP[#Headers],0))/$C45,"ERROR"))</f>
        <v>4.3165467625899283E-2</v>
      </c>
      <c r="F45" s="155">
        <f>IF($B45=" ","",IFERROR(INDEX(MMWR_RATING_RO_ROLLUP[],MATCH($B45,MMWR_RATING_RO_ROLLUP[MMWR_RATING_RO_ROLLUP],0),MATCH(F$9,MMWR_RATING_RO_ROLLUP[#Headers],0)),"ERROR"))</f>
        <v>83</v>
      </c>
      <c r="G45" s="155">
        <f>IF($B45=" ","",IFERROR(INDEX(MMWR_RATING_RO_ROLLUP[],MATCH($B45,MMWR_RATING_RO_ROLLUP[MMWR_RATING_RO_ROLLUP],0),MATCH(G$9,MMWR_RATING_RO_ROLLUP[#Headers],0)),"ERROR"))</f>
        <v>83</v>
      </c>
      <c r="H45" s="156">
        <f>IF($B45=" ","",IFERROR(INDEX(MMWR_RATING_RO_ROLLUP[],MATCH($B45,MMWR_RATING_RO_ROLLUP[MMWR_RATING_RO_ROLLUP],0),MATCH(H$9,MMWR_RATING_RO_ROLLUP[#Headers],0)),"ERROR"))</f>
        <v>111.3855421687</v>
      </c>
      <c r="I45" s="156">
        <f>IF($B45=" ","",IFERROR(INDEX(MMWR_RATING_RO_ROLLUP[],MATCH($B45,MMWR_RATING_RO_ROLLUP[MMWR_RATING_RO_ROLLUP],0),MATCH(I$9,MMWR_RATING_RO_ROLLUP[#Headers],0)),"ERROR"))</f>
        <v>111.3855421687</v>
      </c>
      <c r="J45" s="42"/>
      <c r="K45" s="42"/>
      <c r="L45" s="42"/>
      <c r="M45" s="42"/>
      <c r="N45" s="28"/>
    </row>
    <row r="46" spans="1:14" x14ac:dyDescent="0.2">
      <c r="A46" s="25"/>
      <c r="B46" s="45" t="s">
        <v>219</v>
      </c>
      <c r="C46" s="155">
        <f>IF($B46=" ","",IFERROR(INDEX(MMWR_RATING_RO_ROLLUP[],MATCH($B46,MMWR_RATING_RO_ROLLUP[MMWR_RATING_RO_ROLLUP],0),MATCH(C$9,MMWR_RATING_RO_ROLLUP[#Headers],0)),"ERROR"))</f>
        <v>5204</v>
      </c>
      <c r="D46" s="156">
        <f>IF($B46=" ","",IFERROR(INDEX(MMWR_RATING_RO_ROLLUP[],MATCH($B46,MMWR_RATING_RO_ROLLUP[MMWR_RATING_RO_ROLLUP],0),MATCH(D$9,MMWR_RATING_RO_ROLLUP[#Headers],0)),"ERROR"))</f>
        <v>69.331091468099999</v>
      </c>
      <c r="E46" s="157">
        <f>IF($B46=" ","",IFERROR(INDEX(MMWR_RATING_RO_ROLLUP[],MATCH($B46,MMWR_RATING_RO_ROLLUP[MMWR_RATING_RO_ROLLUP],0),MATCH(E$9,MMWR_RATING_RO_ROLLUP[#Headers],0))/$C46,"ERROR"))</f>
        <v>7.2252113758647193E-2</v>
      </c>
      <c r="F46" s="155">
        <f>IF($B46=" ","",IFERROR(INDEX(MMWR_RATING_RO_ROLLUP[],MATCH($B46,MMWR_RATING_RO_ROLLUP[MMWR_RATING_RO_ROLLUP],0),MATCH(F$9,MMWR_RATING_RO_ROLLUP[#Headers],0)),"ERROR"))</f>
        <v>69</v>
      </c>
      <c r="G46" s="155">
        <f>IF($B46=" ","",IFERROR(INDEX(MMWR_RATING_RO_ROLLUP[],MATCH($B46,MMWR_RATING_RO_ROLLUP[MMWR_RATING_RO_ROLLUP],0),MATCH(G$9,MMWR_RATING_RO_ROLLUP[#Headers],0)),"ERROR"))</f>
        <v>69</v>
      </c>
      <c r="H46" s="156">
        <f>IF($B46=" ","",IFERROR(INDEX(MMWR_RATING_RO_ROLLUP[],MATCH($B46,MMWR_RATING_RO_ROLLUP[MMWR_RATING_RO_ROLLUP],0),MATCH(H$9,MMWR_RATING_RO_ROLLUP[#Headers],0)),"ERROR"))</f>
        <v>147.14492753619999</v>
      </c>
      <c r="I46" s="156">
        <f>IF($B46=" ","",IFERROR(INDEX(MMWR_RATING_RO_ROLLUP[],MATCH($B46,MMWR_RATING_RO_ROLLUP[MMWR_RATING_RO_ROLLUP],0),MATCH(I$9,MMWR_RATING_RO_ROLLUP[#Headers],0)),"ERROR"))</f>
        <v>147.14492753619999</v>
      </c>
      <c r="J46" s="42"/>
      <c r="K46" s="42"/>
      <c r="L46" s="42"/>
      <c r="M46" s="42"/>
      <c r="N46" s="28"/>
    </row>
    <row r="47" spans="1:14" x14ac:dyDescent="0.2">
      <c r="A47" s="25"/>
      <c r="B47" s="47" t="s">
        <v>314</v>
      </c>
      <c r="C47" s="155">
        <f>IF($B47=" ","",IFERROR(INDEX(MMWR_RATING_RO_ROLLUP[],MATCH($B47,MMWR_RATING_RO_ROLLUP[MMWR_RATING_RO_ROLLUP],0),MATCH(C$9,MMWR_RATING_RO_ROLLUP[#Headers],0)),"ERROR"))</f>
        <v>2708</v>
      </c>
      <c r="D47" s="156">
        <f>IF($B47=" ","",IFERROR(INDEX(MMWR_RATING_RO_ROLLUP[],MATCH($B47,MMWR_RATING_RO_ROLLUP[MMWR_RATING_RO_ROLLUP],0),MATCH(D$9,MMWR_RATING_RO_ROLLUP[#Headers],0)),"ERROR"))</f>
        <v>53.0513293944</v>
      </c>
      <c r="E47" s="157">
        <f>IF($B47=" ","",IFERROR(INDEX(MMWR_RATING_RO_ROLLUP[],MATCH($B47,MMWR_RATING_RO_ROLLUP[MMWR_RATING_RO_ROLLUP],0),MATCH(E$9,MMWR_RATING_RO_ROLLUP[#Headers],0))/$C47,"ERROR"))</f>
        <v>5.6129985228951254E-2</v>
      </c>
      <c r="F47" s="155">
        <f>IF($B47=" ","",IFERROR(INDEX(MMWR_RATING_RO_ROLLUP[],MATCH($B47,MMWR_RATING_RO_ROLLUP[MMWR_RATING_RO_ROLLUP],0),MATCH(F$9,MMWR_RATING_RO_ROLLUP[#Headers],0)),"ERROR"))</f>
        <v>36</v>
      </c>
      <c r="G47" s="155">
        <f>IF($B47=" ","",IFERROR(INDEX(MMWR_RATING_RO_ROLLUP[],MATCH($B47,MMWR_RATING_RO_ROLLUP[MMWR_RATING_RO_ROLLUP],0),MATCH(G$9,MMWR_RATING_RO_ROLLUP[#Headers],0)),"ERROR"))</f>
        <v>36</v>
      </c>
      <c r="H47" s="156">
        <f>IF($B47=" ","",IFERROR(INDEX(MMWR_RATING_RO_ROLLUP[],MATCH($B47,MMWR_RATING_RO_ROLLUP[MMWR_RATING_RO_ROLLUP],0),MATCH(H$9,MMWR_RATING_RO_ROLLUP[#Headers],0)),"ERROR"))</f>
        <v>132.8333333333</v>
      </c>
      <c r="I47" s="156">
        <f>IF($B47=" ","",IFERROR(INDEX(MMWR_RATING_RO_ROLLUP[],MATCH($B47,MMWR_RATING_RO_ROLLUP[MMWR_RATING_RO_ROLLUP],0),MATCH(I$9,MMWR_RATING_RO_ROLLUP[#Headers],0)),"ERROR"))</f>
        <v>132.8333333333</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5" t="s">
        <v>985</v>
      </c>
      <c r="D2" s="356"/>
      <c r="E2" s="356"/>
      <c r="F2" s="356"/>
      <c r="G2" s="356"/>
      <c r="H2" s="356"/>
      <c r="I2" s="356"/>
      <c r="J2" s="355" t="s">
        <v>306</v>
      </c>
      <c r="K2" s="356"/>
      <c r="L2" s="356"/>
      <c r="M2" s="357"/>
      <c r="N2" s="28"/>
    </row>
    <row r="3" spans="1:15" ht="24" customHeight="1" thickBot="1" x14ac:dyDescent="0.4">
      <c r="A3" s="25"/>
      <c r="B3" s="29"/>
      <c r="C3" s="358"/>
      <c r="D3" s="359"/>
      <c r="E3" s="359"/>
      <c r="F3" s="359"/>
      <c r="G3" s="359"/>
      <c r="H3" s="359"/>
      <c r="I3" s="359"/>
      <c r="J3" s="358" t="str">
        <f>Transformation!B4</f>
        <v>As of: October 03, 2015</v>
      </c>
      <c r="K3" s="359"/>
      <c r="L3" s="359"/>
      <c r="M3" s="360"/>
      <c r="N3" s="28"/>
    </row>
    <row r="4" spans="1:15" ht="51.75" customHeight="1" thickBot="1" x14ac:dyDescent="0.35">
      <c r="A4" s="30"/>
      <c r="B4" s="248" t="s">
        <v>462</v>
      </c>
      <c r="C4" s="361" t="s">
        <v>438</v>
      </c>
      <c r="D4" s="362"/>
      <c r="E4" s="362"/>
      <c r="F4" s="362"/>
      <c r="G4" s="362"/>
      <c r="H4" s="362"/>
      <c r="I4" s="362"/>
      <c r="J4" s="362"/>
      <c r="K4" s="362"/>
      <c r="L4" s="362"/>
      <c r="M4" s="363"/>
      <c r="N4" s="28"/>
    </row>
    <row r="5" spans="1:15" ht="27" customHeight="1" thickBot="1" x14ac:dyDescent="0.25">
      <c r="A5" s="30"/>
      <c r="B5" s="247" t="s">
        <v>376</v>
      </c>
      <c r="C5" s="364" t="s">
        <v>1049</v>
      </c>
      <c r="D5" s="365"/>
      <c r="E5" s="365"/>
      <c r="F5" s="365"/>
      <c r="G5" s="365"/>
      <c r="H5" s="365"/>
      <c r="I5" s="365"/>
      <c r="J5" s="365"/>
      <c r="K5" s="365"/>
      <c r="L5" s="365"/>
      <c r="M5" s="365"/>
      <c r="N5" s="365"/>
      <c r="O5" s="366"/>
    </row>
    <row r="6" spans="1:15" ht="55.5" customHeight="1" x14ac:dyDescent="0.2">
      <c r="A6" s="30"/>
      <c r="B6" s="31"/>
      <c r="C6" s="32" t="s">
        <v>196</v>
      </c>
      <c r="D6" s="367" t="s">
        <v>16</v>
      </c>
      <c r="E6" s="368"/>
      <c r="F6" s="33" t="s">
        <v>199</v>
      </c>
      <c r="G6" s="367" t="s">
        <v>204</v>
      </c>
      <c r="H6" s="369"/>
      <c r="I6" s="33" t="s">
        <v>202</v>
      </c>
      <c r="J6" s="49" t="s">
        <v>14</v>
      </c>
      <c r="K6" s="33" t="s">
        <v>207</v>
      </c>
      <c r="L6" s="373" t="s">
        <v>88</v>
      </c>
      <c r="M6" s="386"/>
      <c r="N6" s="28"/>
    </row>
    <row r="7" spans="1:15" ht="51.75" customHeight="1" x14ac:dyDescent="0.2">
      <c r="A7" s="30"/>
      <c r="B7" s="34"/>
      <c r="C7" s="35" t="s">
        <v>197</v>
      </c>
      <c r="D7" s="343" t="s">
        <v>0</v>
      </c>
      <c r="E7" s="344"/>
      <c r="F7" s="36" t="s">
        <v>200</v>
      </c>
      <c r="G7" s="345" t="s">
        <v>205</v>
      </c>
      <c r="H7" s="345"/>
      <c r="I7" s="36" t="s">
        <v>203</v>
      </c>
      <c r="J7" s="50" t="s">
        <v>19</v>
      </c>
      <c r="K7" s="36" t="s">
        <v>208</v>
      </c>
      <c r="L7" s="387" t="s">
        <v>90</v>
      </c>
      <c r="M7" s="388"/>
      <c r="N7" s="28"/>
    </row>
    <row r="8" spans="1:15" ht="51.75" customHeight="1" thickBot="1" x14ac:dyDescent="0.25">
      <c r="A8" s="25"/>
      <c r="B8" s="28"/>
      <c r="C8" s="37" t="s">
        <v>198</v>
      </c>
      <c r="D8" s="346" t="s">
        <v>18</v>
      </c>
      <c r="E8" s="347"/>
      <c r="F8" s="38" t="s">
        <v>201</v>
      </c>
      <c r="G8" s="348" t="s">
        <v>17</v>
      </c>
      <c r="H8" s="348"/>
      <c r="I8" s="38" t="s">
        <v>206</v>
      </c>
      <c r="J8" s="51" t="s">
        <v>87</v>
      </c>
      <c r="K8" s="38" t="s">
        <v>209</v>
      </c>
      <c r="L8" s="389" t="s">
        <v>89</v>
      </c>
      <c r="M8" s="390"/>
      <c r="N8" s="28"/>
    </row>
    <row r="9" spans="1:15" x14ac:dyDescent="0.2">
      <c r="A9" s="28"/>
      <c r="B9" s="39"/>
      <c r="C9" s="39" t="s">
        <v>721</v>
      </c>
      <c r="D9" s="39" t="s">
        <v>723</v>
      </c>
      <c r="E9" s="39" t="s">
        <v>722</v>
      </c>
      <c r="F9" s="39" t="s">
        <v>725</v>
      </c>
      <c r="G9" s="39" t="s">
        <v>724</v>
      </c>
      <c r="H9" s="39" t="s">
        <v>727</v>
      </c>
      <c r="I9" s="39" t="s">
        <v>726</v>
      </c>
      <c r="J9" s="39"/>
      <c r="K9" s="39"/>
      <c r="L9" s="39"/>
      <c r="M9" s="39"/>
      <c r="N9" s="39"/>
    </row>
    <row r="10" spans="1:15" ht="15.75" customHeight="1" x14ac:dyDescent="0.2">
      <c r="A10" s="25"/>
      <c r="B10" s="26"/>
      <c r="C10" s="349" t="s">
        <v>299</v>
      </c>
      <c r="D10" s="349"/>
      <c r="E10" s="349"/>
      <c r="F10" s="349"/>
      <c r="G10" s="349"/>
      <c r="H10" s="349"/>
      <c r="I10" s="349"/>
      <c r="J10" s="349"/>
      <c r="K10" s="349"/>
      <c r="L10" s="349"/>
      <c r="M10" s="391"/>
      <c r="N10" s="28"/>
    </row>
    <row r="11" spans="1:15" ht="63.75" customHeight="1" x14ac:dyDescent="0.2">
      <c r="A11" s="25"/>
      <c r="B11" s="26"/>
      <c r="C11" s="52" t="s">
        <v>232</v>
      </c>
      <c r="D11" s="52" t="s">
        <v>140</v>
      </c>
      <c r="E11" s="52" t="s">
        <v>233</v>
      </c>
      <c r="F11" s="52" t="s">
        <v>195</v>
      </c>
      <c r="G11" s="52" t="s">
        <v>210</v>
      </c>
      <c r="H11" s="52" t="s">
        <v>212</v>
      </c>
      <c r="I11" s="52" t="s">
        <v>213</v>
      </c>
      <c r="J11" s="393" t="s">
        <v>979</v>
      </c>
      <c r="K11" s="394"/>
      <c r="L11" s="394"/>
      <c r="M11" s="395"/>
      <c r="N11" s="28"/>
    </row>
    <row r="12" spans="1:15" x14ac:dyDescent="0.2">
      <c r="A12" s="25"/>
      <c r="B12" s="41" t="s">
        <v>736</v>
      </c>
      <c r="C12" s="155">
        <f>IF($B12=" ","",IFERROR(INDEX(MMWR_RATING_STATE_ROLLUP_VSC[],MATCH($B12,MMWR_RATING_STATE_ROLLUP_VSC[MMWR_RATING_STATE_ROLLUP_VSC],0),MATCH(C$9,MMWR_RATING_STATE_ROLLUP_VSC[#Headers],0)),"ERROR"))</f>
        <v>368771</v>
      </c>
      <c r="D12" s="156">
        <f>IF($B12=" ","",IFERROR(INDEX(MMWR_RATING_STATE_ROLLUP_VSC[],MATCH($B12,MMWR_RATING_STATE_ROLLUP_VSC[MMWR_RATING_STATE_ROLLUP_VSC],0),MATCH(D$9,MMWR_RATING_STATE_ROLLUP_VSC[#Headers],0)),"ERROR"))</f>
        <v>91.908528598999993</v>
      </c>
      <c r="E12" s="159">
        <f>IF($B12=" ","",IFERROR(INDEX(MMWR_RATING_STATE_ROLLUP_VSC[],MATCH($B12,MMWR_RATING_STATE_ROLLUP_VSC[MMWR_RATING_STATE_ROLLUP_VSC],0),MATCH(E$9,MMWR_RATING_STATE_ROLLUP_VSC[#Headers],0))/$C12,"ERROR"))</f>
        <v>0.19693251367379755</v>
      </c>
      <c r="F12" s="155">
        <f>IF($B12=" ","",IFERROR(INDEX(MMWR_RATING_STATE_ROLLUP_VSC[],MATCH($B12,MMWR_RATING_STATE_ROLLUP_VSC[MMWR_RATING_STATE_ROLLUP_VSC],0),MATCH(F$9,MMWR_RATING_STATE_ROLLUP_VSC[#Headers],0)),"ERROR"))</f>
        <v>8836</v>
      </c>
      <c r="G12" s="155">
        <f>IF($B12=" ","",IFERROR(INDEX(MMWR_RATING_STATE_ROLLUP_VSC[],MATCH($B12,MMWR_RATING_STATE_ROLLUP_VSC[MMWR_RATING_STATE_ROLLUP_VSC],0),MATCH(G$9,MMWR_RATING_STATE_ROLLUP_VSC[#Headers],0)),"ERROR"))</f>
        <v>8836</v>
      </c>
      <c r="H12" s="156">
        <f>IF($B12=" ","",IFERROR(INDEX(MMWR_RATING_STATE_ROLLUP_VSC[],MATCH($B12,MMWR_RATING_STATE_ROLLUP_VSC[MMWR_RATING_STATE_ROLLUP_VSC],0),MATCH(H$9,MMWR_RATING_STATE_ROLLUP_VSC[#Headers],0)),"ERROR"))</f>
        <v>129.0985740154</v>
      </c>
      <c r="I12" s="156">
        <f>IF($B12=" ","",IFERROR(INDEX(MMWR_RATING_STATE_ROLLUP_VSC[],MATCH($B12,MMWR_RATING_STATE_ROLLUP_VSC[MMWR_RATING_STATE_ROLLUP_VSC],0),MATCH(I$9,MMWR_RATING_STATE_ROLLUP_VSC[#Headers],0)),"ERROR"))</f>
        <v>129.0985740154</v>
      </c>
      <c r="J12" s="42"/>
      <c r="K12" s="42"/>
      <c r="L12" s="42"/>
      <c r="M12" s="42"/>
      <c r="N12" s="28"/>
    </row>
    <row r="13" spans="1:15" x14ac:dyDescent="0.2">
      <c r="A13" s="25"/>
      <c r="B13" s="341" t="s">
        <v>965</v>
      </c>
      <c r="C13" s="342"/>
      <c r="D13" s="342"/>
      <c r="E13" s="342"/>
      <c r="F13" s="342"/>
      <c r="G13" s="342"/>
      <c r="H13" s="342"/>
      <c r="I13" s="342"/>
      <c r="J13" s="342"/>
      <c r="K13" s="342"/>
      <c r="L13" s="342"/>
      <c r="M13" s="392"/>
      <c r="N13" s="28"/>
    </row>
    <row r="14" spans="1:15" x14ac:dyDescent="0.2">
      <c r="A14" s="25"/>
      <c r="B14" s="41" t="s">
        <v>1043</v>
      </c>
      <c r="C14" s="155">
        <f>IF($B14=" ","",IFERROR(INDEX(MMWR_RATING_STATE_ROLLUP_VSC[],MATCH($B14,MMWR_RATING_STATE_ROLLUP_VSC[MMWR_RATING_STATE_ROLLUP_VSC],0),MATCH(C$9,MMWR_RATING_STATE_ROLLUP_VSC[#Headers],0)),"ERROR"))</f>
        <v>325890</v>
      </c>
      <c r="D14" s="156">
        <f>IF($B14=" ","",IFERROR(INDEX(MMWR_RATING_STATE_ROLLUP_VSC[],MATCH($B14,MMWR_RATING_STATE_ROLLUP_VSC[MMWR_RATING_STATE_ROLLUP_VSC],0),MATCH(D$9,MMWR_RATING_STATE_ROLLUP_VSC[#Headers],0)),"ERROR"))</f>
        <v>95.979462395300004</v>
      </c>
      <c r="E14" s="157">
        <f>IF($B14=" ","",IFERROR(INDEX(MMWR_RATING_STATE_ROLLUP_VSC[],MATCH($B14,MMWR_RATING_STATE_ROLLUP_VSC[MMWR_RATING_STATE_ROLLUP_VSC],0),MATCH(E$9,MMWR_RATING_STATE_ROLLUP_VSC[#Headers],0))/$C14,"ERROR"))</f>
        <v>0.21309644358525884</v>
      </c>
      <c r="F14" s="155">
        <f>IF($B14=" ","",IFERROR(INDEX(MMWR_RATING_STATE_ROLLUP_VSC[],MATCH($B14,MMWR_RATING_STATE_ROLLUP_VSC[MMWR_RATING_STATE_ROLLUP_VSC],0),MATCH(F$9,MMWR_RATING_STATE_ROLLUP_VSC[#Headers],0)),"ERROR"))</f>
        <v>7725</v>
      </c>
      <c r="G14" s="155">
        <f>IF($B14=" ","",IFERROR(INDEX(MMWR_RATING_STATE_ROLLUP_VSC[],MATCH($B14,MMWR_RATING_STATE_ROLLUP_VSC[MMWR_RATING_STATE_ROLLUP_VSC],0),MATCH(G$9,MMWR_RATING_STATE_ROLLUP_VSC[#Headers],0)),"ERROR"))</f>
        <v>7725</v>
      </c>
      <c r="H14" s="156">
        <f>IF($B14=" ","",IFERROR(INDEX(MMWR_RATING_STATE_ROLLUP_VSC[],MATCH($B14,MMWR_RATING_STATE_ROLLUP_VSC[MMWR_RATING_STATE_ROLLUP_VSC],0),MATCH(H$9,MMWR_RATING_STATE_ROLLUP_VSC[#Headers],0)),"ERROR"))</f>
        <v>135.94796116500001</v>
      </c>
      <c r="I14" s="156">
        <f>IF($B14=" ","",IFERROR(INDEX(MMWR_RATING_STATE_ROLLUP_VSC[],MATCH($B14,MMWR_RATING_STATE_ROLLUP_VSC[MMWR_RATING_STATE_ROLLUP_VSC],0),MATCH(I$9,MMWR_RATING_STATE_ROLLUP_VSC[#Headers],0)),"ERROR"))</f>
        <v>135.94796116500001</v>
      </c>
      <c r="J14" s="42"/>
      <c r="K14" s="42"/>
      <c r="L14" s="42"/>
      <c r="M14" s="42"/>
      <c r="N14" s="28"/>
    </row>
    <row r="15" spans="1:15" x14ac:dyDescent="0.2">
      <c r="A15" s="25"/>
      <c r="B15" s="250" t="str">
        <f>INDEX(DISTRICT_STATES[],MATCH($B$5,DISTRICT_RO[District],0),1)</f>
        <v>North Atlantic</v>
      </c>
      <c r="C15" s="155">
        <f>IF($B15=" ","",IFERROR(INDEX(MMWR_RATING_STATE_ROLLUP_VSC[],MATCH($B15,MMWR_RATING_STATE_ROLLUP_VSC[MMWR_RATING_STATE_ROLLUP_VSC],0),MATCH(C$9,MMWR_RATING_STATE_ROLLUP_VSC[#Headers],0)),"ERROR"))</f>
        <v>69539</v>
      </c>
      <c r="D15" s="156">
        <f>IF($B15=" ","",IFERROR(INDEX(MMWR_RATING_STATE_ROLLUP_VSC[],MATCH($B15,MMWR_RATING_STATE_ROLLUP_VSC[MMWR_RATING_STATE_ROLLUP_VSC],0),MATCH(D$9,MMWR_RATING_STATE_ROLLUP_VSC[#Headers],0)),"ERROR"))</f>
        <v>98.125239074500001</v>
      </c>
      <c r="E15" s="157">
        <f>IF($B15=" ","",IFERROR(INDEX(MMWR_RATING_STATE_ROLLUP_VSC[],MATCH($B15,MMWR_RATING_STATE_ROLLUP_VSC[MMWR_RATING_STATE_ROLLUP_VSC],0),MATCH(E$9,MMWR_RATING_STATE_ROLLUP_VSC[#Headers],0))/$C15,"ERROR"))</f>
        <v>0.2179208789312472</v>
      </c>
      <c r="F15" s="155">
        <f>IF($B15=" ","",IFERROR(INDEX(MMWR_RATING_STATE_ROLLUP_VSC[],MATCH($B15,MMWR_RATING_STATE_ROLLUP_VSC[MMWR_RATING_STATE_ROLLUP_VSC],0),MATCH(F$9,MMWR_RATING_STATE_ROLLUP_VSC[#Headers],0)),"ERROR"))</f>
        <v>1624</v>
      </c>
      <c r="G15" s="155">
        <f>IF($B15=" ","",IFERROR(INDEX(MMWR_RATING_STATE_ROLLUP_VSC[],MATCH($B15,MMWR_RATING_STATE_ROLLUP_VSC[MMWR_RATING_STATE_ROLLUP_VSC],0),MATCH(G$9,MMWR_RATING_STATE_ROLLUP_VSC[#Headers],0)),"ERROR"))</f>
        <v>1624</v>
      </c>
      <c r="H15" s="156">
        <f>IF($B15=" ","",IFERROR(INDEX(MMWR_RATING_STATE_ROLLUP_VSC[],MATCH($B15,MMWR_RATING_STATE_ROLLUP_VSC[MMWR_RATING_STATE_ROLLUP_VSC],0),MATCH(H$9,MMWR_RATING_STATE_ROLLUP_VSC[#Headers],0)),"ERROR"))</f>
        <v>136.58682266010001</v>
      </c>
      <c r="I15" s="156">
        <f>IF($B15=" ","",IFERROR(INDEX(MMWR_RATING_STATE_ROLLUP_VSC[],MATCH($B15,MMWR_RATING_STATE_ROLLUP_VSC[MMWR_RATING_STATE_ROLLUP_VSC],0),MATCH(I$9,MMWR_RATING_STATE_ROLLUP_VSC[#Headers],0)),"ERROR"))</f>
        <v>136.58682266010001</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1737</v>
      </c>
      <c r="D16" s="156">
        <f>IF($B16=" ","",IFERROR(INDEX(MMWR_RATING_STATE_ROLLUP_VSC[],MATCH($B16,MMWR_RATING_STATE_ROLLUP_VSC[MMWR_RATING_STATE_ROLLUP_VSC],0),MATCH(D$9,MMWR_RATING_STATE_ROLLUP_VSC[#Headers],0)),"ERROR"))</f>
        <v>85.057570523899997</v>
      </c>
      <c r="E16" s="157">
        <f>IF($B16=" ","",IFERROR(INDEX(MMWR_RATING_STATE_ROLLUP_VSC[],MATCH($B16,MMWR_RATING_STATE_ROLLUP_VSC[MMWR_RATING_STATE_ROLLUP_VSC],0),MATCH(E$9,MMWR_RATING_STATE_ROLLUP_VSC[#Headers],0))/$C16,"ERROR"))</f>
        <v>0.17213586643638457</v>
      </c>
      <c r="F16" s="155">
        <f>IF($B16=" ","",IFERROR(INDEX(MMWR_RATING_STATE_ROLLUP_VSC[],MATCH($B16,MMWR_RATING_STATE_ROLLUP_VSC[MMWR_RATING_STATE_ROLLUP_VSC],0),MATCH(F$9,MMWR_RATING_STATE_ROLLUP_VSC[#Headers],0)),"ERROR"))</f>
        <v>60</v>
      </c>
      <c r="G16" s="155">
        <f>IF($B16=" ","",IFERROR(INDEX(MMWR_RATING_STATE_ROLLUP_VSC[],MATCH($B16,MMWR_RATING_STATE_ROLLUP_VSC[MMWR_RATING_STATE_ROLLUP_VSC],0),MATCH(G$9,MMWR_RATING_STATE_ROLLUP_VSC[#Headers],0)),"ERROR"))</f>
        <v>60</v>
      </c>
      <c r="H16" s="156">
        <f>IF($B16=" ","",IFERROR(INDEX(MMWR_RATING_STATE_ROLLUP_VSC[],MATCH($B16,MMWR_RATING_STATE_ROLLUP_VSC[MMWR_RATING_STATE_ROLLUP_VSC],0),MATCH(H$9,MMWR_RATING_STATE_ROLLUP_VSC[#Headers],0)),"ERROR"))</f>
        <v>103.1833333333</v>
      </c>
      <c r="I16" s="156">
        <f>IF($B16=" ","",IFERROR(INDEX(MMWR_RATING_STATE_ROLLUP_VSC[],MATCH($B16,MMWR_RATING_STATE_ROLLUP_VSC[MMWR_RATING_STATE_ROLLUP_VSC],0),MATCH(I$9,MMWR_RATING_STATE_ROLLUP_VSC[#Headers],0)),"ERROR"))</f>
        <v>103.1833333333</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922</v>
      </c>
      <c r="D17" s="156">
        <f>IF($B17=" ","",IFERROR(INDEX(MMWR_RATING_STATE_ROLLUP_VSC[],MATCH($B17,MMWR_RATING_STATE_ROLLUP_VSC[MMWR_RATING_STATE_ROLLUP_VSC],0),MATCH(D$9,MMWR_RATING_STATE_ROLLUP_VSC[#Headers],0)),"ERROR"))</f>
        <v>106.3036876356</v>
      </c>
      <c r="E17" s="157">
        <f>IF($B17=" ","",IFERROR(INDEX(MMWR_RATING_STATE_ROLLUP_VSC[],MATCH($B17,MMWR_RATING_STATE_ROLLUP_VSC[MMWR_RATING_STATE_ROLLUP_VSC],0),MATCH(E$9,MMWR_RATING_STATE_ROLLUP_VSC[#Headers],0))/$C17,"ERROR"))</f>
        <v>0.25704989154013014</v>
      </c>
      <c r="F17" s="155">
        <f>IF($B17=" ","",IFERROR(INDEX(MMWR_RATING_STATE_ROLLUP_VSC[],MATCH($B17,MMWR_RATING_STATE_ROLLUP_VSC[MMWR_RATING_STATE_ROLLUP_VSC],0),MATCH(F$9,MMWR_RATING_STATE_ROLLUP_VSC[#Headers],0)),"ERROR"))</f>
        <v>25</v>
      </c>
      <c r="G17" s="155">
        <f>IF($B17=" ","",IFERROR(INDEX(MMWR_RATING_STATE_ROLLUP_VSC[],MATCH($B17,MMWR_RATING_STATE_ROLLUP_VSC[MMWR_RATING_STATE_ROLLUP_VSC],0),MATCH(G$9,MMWR_RATING_STATE_ROLLUP_VSC[#Headers],0)),"ERROR"))</f>
        <v>25</v>
      </c>
      <c r="H17" s="156">
        <f>IF($B17=" ","",IFERROR(INDEX(MMWR_RATING_STATE_ROLLUP_VSC[],MATCH($B17,MMWR_RATING_STATE_ROLLUP_VSC[MMWR_RATING_STATE_ROLLUP_VSC],0),MATCH(H$9,MMWR_RATING_STATE_ROLLUP_VSC[#Headers],0)),"ERROR"))</f>
        <v>167.76</v>
      </c>
      <c r="I17" s="156">
        <f>IF($B17=" ","",IFERROR(INDEX(MMWR_RATING_STATE_ROLLUP_VSC[],MATCH($B17,MMWR_RATING_STATE_ROLLUP_VSC[MMWR_RATING_STATE_ROLLUP_VSC],0),MATCH(I$9,MMWR_RATING_STATE_ROLLUP_VSC[#Headers],0)),"ERROR"))</f>
        <v>167.76</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402</v>
      </c>
      <c r="D18" s="156">
        <f>IF($B18=" ","",IFERROR(INDEX(MMWR_RATING_STATE_ROLLUP_VSC[],MATCH($B18,MMWR_RATING_STATE_ROLLUP_VSC[MMWR_RATING_STATE_ROLLUP_VSC],0),MATCH(D$9,MMWR_RATING_STATE_ROLLUP_VSC[#Headers],0)),"ERROR"))</f>
        <v>109.80597014929999</v>
      </c>
      <c r="E18" s="157">
        <f>IF($B18=" ","",IFERROR(INDEX(MMWR_RATING_STATE_ROLLUP_VSC[],MATCH($B18,MMWR_RATING_STATE_ROLLUP_VSC[MMWR_RATING_STATE_ROLLUP_VSC],0),MATCH(E$9,MMWR_RATING_STATE_ROLLUP_VSC[#Headers],0))/$C18,"ERROR"))</f>
        <v>0.2537313432835821</v>
      </c>
      <c r="F18" s="155">
        <f>IF($B18=" ","",IFERROR(INDEX(MMWR_RATING_STATE_ROLLUP_VSC[],MATCH($B18,MMWR_RATING_STATE_ROLLUP_VSC[MMWR_RATING_STATE_ROLLUP_VSC],0),MATCH(F$9,MMWR_RATING_STATE_ROLLUP_VSC[#Headers],0)),"ERROR"))</f>
        <v>14</v>
      </c>
      <c r="G18" s="155">
        <f>IF($B18=" ","",IFERROR(INDEX(MMWR_RATING_STATE_ROLLUP_VSC[],MATCH($B18,MMWR_RATING_STATE_ROLLUP_VSC[MMWR_RATING_STATE_ROLLUP_VSC],0),MATCH(G$9,MMWR_RATING_STATE_ROLLUP_VSC[#Headers],0)),"ERROR"))</f>
        <v>14</v>
      </c>
      <c r="H18" s="156">
        <f>IF($B18=" ","",IFERROR(INDEX(MMWR_RATING_STATE_ROLLUP_VSC[],MATCH($B18,MMWR_RATING_STATE_ROLLUP_VSC[MMWR_RATING_STATE_ROLLUP_VSC],0),MATCH(H$9,MMWR_RATING_STATE_ROLLUP_VSC[#Headers],0)),"ERROR"))</f>
        <v>155.8571428571</v>
      </c>
      <c r="I18" s="156">
        <f>IF($B18=" ","",IFERROR(INDEX(MMWR_RATING_STATE_ROLLUP_VSC[],MATCH($B18,MMWR_RATING_STATE_ROLLUP_VSC[MMWR_RATING_STATE_ROLLUP_VSC],0),MATCH(I$9,MMWR_RATING_STATE_ROLLUP_VSC[#Headers],0)),"ERROR"))</f>
        <v>155.8571428571</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1268</v>
      </c>
      <c r="D19" s="156">
        <f>IF($B19=" ","",IFERROR(INDEX(MMWR_RATING_STATE_ROLLUP_VSC[],MATCH($B19,MMWR_RATING_STATE_ROLLUP_VSC[MMWR_RATING_STATE_ROLLUP_VSC],0),MATCH(D$9,MMWR_RATING_STATE_ROLLUP_VSC[#Headers],0)),"ERROR"))</f>
        <v>79.888801261799998</v>
      </c>
      <c r="E19" s="157">
        <f>IF($B19=" ","",IFERROR(INDEX(MMWR_RATING_STATE_ROLLUP_VSC[],MATCH($B19,MMWR_RATING_STATE_ROLLUP_VSC[MMWR_RATING_STATE_ROLLUP_VSC],0),MATCH(E$9,MMWR_RATING_STATE_ROLLUP_VSC[#Headers],0))/$C19,"ERROR"))</f>
        <v>0.1309148264984227</v>
      </c>
      <c r="F19" s="155">
        <f>IF($B19=" ","",IFERROR(INDEX(MMWR_RATING_STATE_ROLLUP_VSC[],MATCH($B19,MMWR_RATING_STATE_ROLLUP_VSC[MMWR_RATING_STATE_ROLLUP_VSC],0),MATCH(F$9,MMWR_RATING_STATE_ROLLUP_VSC[#Headers],0)),"ERROR"))</f>
        <v>25</v>
      </c>
      <c r="G19" s="155">
        <f>IF($B19=" ","",IFERROR(INDEX(MMWR_RATING_STATE_ROLLUP_VSC[],MATCH($B19,MMWR_RATING_STATE_ROLLUP_VSC[MMWR_RATING_STATE_ROLLUP_VSC],0),MATCH(G$9,MMWR_RATING_STATE_ROLLUP_VSC[#Headers],0)),"ERROR"))</f>
        <v>25</v>
      </c>
      <c r="H19" s="156">
        <f>IF($B19=" ","",IFERROR(INDEX(MMWR_RATING_STATE_ROLLUP_VSC[],MATCH($B19,MMWR_RATING_STATE_ROLLUP_VSC[MMWR_RATING_STATE_ROLLUP_VSC],0),MATCH(H$9,MMWR_RATING_STATE_ROLLUP_VSC[#Headers],0)),"ERROR"))</f>
        <v>129.84</v>
      </c>
      <c r="I19" s="156">
        <f>IF($B19=" ","",IFERROR(INDEX(MMWR_RATING_STATE_ROLLUP_VSC[],MATCH($B19,MMWR_RATING_STATE_ROLLUP_VSC[MMWR_RATING_STATE_ROLLUP_VSC],0),MATCH(I$9,MMWR_RATING_STATE_ROLLUP_VSC[#Headers],0)),"ERROR"))</f>
        <v>129.84</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5546</v>
      </c>
      <c r="D20" s="156">
        <f>IF($B20=" ","",IFERROR(INDEX(MMWR_RATING_STATE_ROLLUP_VSC[],MATCH($B20,MMWR_RATING_STATE_ROLLUP_VSC[MMWR_RATING_STATE_ROLLUP_VSC],0),MATCH(D$9,MMWR_RATING_STATE_ROLLUP_VSC[#Headers],0)),"ERROR"))</f>
        <v>96.047962495500002</v>
      </c>
      <c r="E20" s="157">
        <f>IF($B20=" ","",IFERROR(INDEX(MMWR_RATING_STATE_ROLLUP_VSC[],MATCH($B20,MMWR_RATING_STATE_ROLLUP_VSC[MMWR_RATING_STATE_ROLLUP_VSC],0),MATCH(E$9,MMWR_RATING_STATE_ROLLUP_VSC[#Headers],0))/$C20,"ERROR"))</f>
        <v>0.18175261449693472</v>
      </c>
      <c r="F20" s="155">
        <f>IF($B20=" ","",IFERROR(INDEX(MMWR_RATING_STATE_ROLLUP_VSC[],MATCH($B20,MMWR_RATING_STATE_ROLLUP_VSC[MMWR_RATING_STATE_ROLLUP_VSC],0),MATCH(F$9,MMWR_RATING_STATE_ROLLUP_VSC[#Headers],0)),"ERROR"))</f>
        <v>120</v>
      </c>
      <c r="G20" s="155">
        <f>IF($B20=" ","",IFERROR(INDEX(MMWR_RATING_STATE_ROLLUP_VSC[],MATCH($B20,MMWR_RATING_STATE_ROLLUP_VSC[MMWR_RATING_STATE_ROLLUP_VSC],0),MATCH(G$9,MMWR_RATING_STATE_ROLLUP_VSC[#Headers],0)),"ERROR"))</f>
        <v>120</v>
      </c>
      <c r="H20" s="156">
        <f>IF($B20=" ","",IFERROR(INDEX(MMWR_RATING_STATE_ROLLUP_VSC[],MATCH($B20,MMWR_RATING_STATE_ROLLUP_VSC[MMWR_RATING_STATE_ROLLUP_VSC],0),MATCH(H$9,MMWR_RATING_STATE_ROLLUP_VSC[#Headers],0)),"ERROR"))</f>
        <v>133.6</v>
      </c>
      <c r="I20" s="156">
        <f>IF($B20=" ","",IFERROR(INDEX(MMWR_RATING_STATE_ROLLUP_VSC[],MATCH($B20,MMWR_RATING_STATE_ROLLUP_VSC[MMWR_RATING_STATE_ROLLUP_VSC],0),MATCH(I$9,MMWR_RATING_STATE_ROLLUP_VSC[#Headers],0)),"ERROR"))</f>
        <v>133.6</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4400</v>
      </c>
      <c r="D21" s="156">
        <f>IF($B21=" ","",IFERROR(INDEX(MMWR_RATING_STATE_ROLLUP_VSC[],MATCH($B21,MMWR_RATING_STATE_ROLLUP_VSC[MMWR_RATING_STATE_ROLLUP_VSC],0),MATCH(D$9,MMWR_RATING_STATE_ROLLUP_VSC[#Headers],0)),"ERROR"))</f>
        <v>94.749318181800007</v>
      </c>
      <c r="E21" s="157">
        <f>IF($B21=" ","",IFERROR(INDEX(MMWR_RATING_STATE_ROLLUP_VSC[],MATCH($B21,MMWR_RATING_STATE_ROLLUP_VSC[MMWR_RATING_STATE_ROLLUP_VSC],0),MATCH(E$9,MMWR_RATING_STATE_ROLLUP_VSC[#Headers],0))/$C21,"ERROR"))</f>
        <v>0.22704545454545455</v>
      </c>
      <c r="F21" s="155">
        <f>IF($B21=" ","",IFERROR(INDEX(MMWR_RATING_STATE_ROLLUP_VSC[],MATCH($B21,MMWR_RATING_STATE_ROLLUP_VSC[MMWR_RATING_STATE_ROLLUP_VSC],0),MATCH(F$9,MMWR_RATING_STATE_ROLLUP_VSC[#Headers],0)),"ERROR"))</f>
        <v>120</v>
      </c>
      <c r="G21" s="155">
        <f>IF($B21=" ","",IFERROR(INDEX(MMWR_RATING_STATE_ROLLUP_VSC[],MATCH($B21,MMWR_RATING_STATE_ROLLUP_VSC[MMWR_RATING_STATE_ROLLUP_VSC],0),MATCH(G$9,MMWR_RATING_STATE_ROLLUP_VSC[#Headers],0)),"ERROR"))</f>
        <v>120</v>
      </c>
      <c r="H21" s="156">
        <f>IF($B21=" ","",IFERROR(INDEX(MMWR_RATING_STATE_ROLLUP_VSC[],MATCH($B21,MMWR_RATING_STATE_ROLLUP_VSC[MMWR_RATING_STATE_ROLLUP_VSC],0),MATCH(H$9,MMWR_RATING_STATE_ROLLUP_VSC[#Headers],0)),"ERROR"))</f>
        <v>118.5833333333</v>
      </c>
      <c r="I21" s="156">
        <f>IF($B21=" ","",IFERROR(INDEX(MMWR_RATING_STATE_ROLLUP_VSC[],MATCH($B21,MMWR_RATING_STATE_ROLLUP_VSC[MMWR_RATING_STATE_ROLLUP_VSC],0),MATCH(I$9,MMWR_RATING_STATE_ROLLUP_VSC[#Headers],0)),"ERROR"))</f>
        <v>118.5833333333</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1364</v>
      </c>
      <c r="D22" s="156">
        <f>IF($B22=" ","",IFERROR(INDEX(MMWR_RATING_STATE_ROLLUP_VSC[],MATCH($B22,MMWR_RATING_STATE_ROLLUP_VSC[MMWR_RATING_STATE_ROLLUP_VSC],0),MATCH(D$9,MMWR_RATING_STATE_ROLLUP_VSC[#Headers],0)),"ERROR"))</f>
        <v>90.645894428199995</v>
      </c>
      <c r="E22" s="157">
        <f>IF($B22=" ","",IFERROR(INDEX(MMWR_RATING_STATE_ROLLUP_VSC[],MATCH($B22,MMWR_RATING_STATE_ROLLUP_VSC[MMWR_RATING_STATE_ROLLUP_VSC],0),MATCH(E$9,MMWR_RATING_STATE_ROLLUP_VSC[#Headers],0))/$C22,"ERROR"))</f>
        <v>0.20821114369501467</v>
      </c>
      <c r="F22" s="155">
        <f>IF($B22=" ","",IFERROR(INDEX(MMWR_RATING_STATE_ROLLUP_VSC[],MATCH($B22,MMWR_RATING_STATE_ROLLUP_VSC[MMWR_RATING_STATE_ROLLUP_VSC],0),MATCH(F$9,MMWR_RATING_STATE_ROLLUP_VSC[#Headers],0)),"ERROR"))</f>
        <v>16</v>
      </c>
      <c r="G22" s="155">
        <f>IF($B22=" ","",IFERROR(INDEX(MMWR_RATING_STATE_ROLLUP_VSC[],MATCH($B22,MMWR_RATING_STATE_ROLLUP_VSC[MMWR_RATING_STATE_ROLLUP_VSC],0),MATCH(G$9,MMWR_RATING_STATE_ROLLUP_VSC[#Headers],0)),"ERROR"))</f>
        <v>16</v>
      </c>
      <c r="H22" s="156">
        <f>IF($B22=" ","",IFERROR(INDEX(MMWR_RATING_STATE_ROLLUP_VSC[],MATCH($B22,MMWR_RATING_STATE_ROLLUP_VSC[MMWR_RATING_STATE_ROLLUP_VSC],0),MATCH(H$9,MMWR_RATING_STATE_ROLLUP_VSC[#Headers],0)),"ERROR"))</f>
        <v>120</v>
      </c>
      <c r="I22" s="156">
        <f>IF($B22=" ","",IFERROR(INDEX(MMWR_RATING_STATE_ROLLUP_VSC[],MATCH($B22,MMWR_RATING_STATE_ROLLUP_VSC[MMWR_RATING_STATE_ROLLUP_VSC],0),MATCH(I$9,MMWR_RATING_STATE_ROLLUP_VSC[#Headers],0)),"ERROR"))</f>
        <v>120</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4099</v>
      </c>
      <c r="D23" s="156">
        <f>IF($B23=" ","",IFERROR(INDEX(MMWR_RATING_STATE_ROLLUP_VSC[],MATCH($B23,MMWR_RATING_STATE_ROLLUP_VSC[MMWR_RATING_STATE_ROLLUP_VSC],0),MATCH(D$9,MMWR_RATING_STATE_ROLLUP_VSC[#Headers],0)),"ERROR"))</f>
        <v>99.161990729400003</v>
      </c>
      <c r="E23" s="157">
        <f>IF($B23=" ","",IFERROR(INDEX(MMWR_RATING_STATE_ROLLUP_VSC[],MATCH($B23,MMWR_RATING_STATE_ROLLUP_VSC[MMWR_RATING_STATE_ROLLUP_VSC],0),MATCH(E$9,MMWR_RATING_STATE_ROLLUP_VSC[#Headers],0))/$C23,"ERROR"))</f>
        <v>0.20346425957550623</v>
      </c>
      <c r="F23" s="155">
        <f>IF($B23=" ","",IFERROR(INDEX(MMWR_RATING_STATE_ROLLUP_VSC[],MATCH($B23,MMWR_RATING_STATE_ROLLUP_VSC[MMWR_RATING_STATE_ROLLUP_VSC],0),MATCH(F$9,MMWR_RATING_STATE_ROLLUP_VSC[#Headers],0)),"ERROR"))</f>
        <v>111</v>
      </c>
      <c r="G23" s="155">
        <f>IF($B23=" ","",IFERROR(INDEX(MMWR_RATING_STATE_ROLLUP_VSC[],MATCH($B23,MMWR_RATING_STATE_ROLLUP_VSC[MMWR_RATING_STATE_ROLLUP_VSC],0),MATCH(G$9,MMWR_RATING_STATE_ROLLUP_VSC[#Headers],0)),"ERROR"))</f>
        <v>111</v>
      </c>
      <c r="H23" s="156">
        <f>IF($B23=" ","",IFERROR(INDEX(MMWR_RATING_STATE_ROLLUP_VSC[],MATCH($B23,MMWR_RATING_STATE_ROLLUP_VSC[MMWR_RATING_STATE_ROLLUP_VSC],0),MATCH(H$9,MMWR_RATING_STATE_ROLLUP_VSC[#Headers],0)),"ERROR"))</f>
        <v>131.49549549549999</v>
      </c>
      <c r="I23" s="156">
        <f>IF($B23=" ","",IFERROR(INDEX(MMWR_RATING_STATE_ROLLUP_VSC[],MATCH($B23,MMWR_RATING_STATE_ROLLUP_VSC[MMWR_RATING_STATE_ROLLUP_VSC],0),MATCH(I$9,MMWR_RATING_STATE_ROLLUP_VSC[#Headers],0)),"ERROR"))</f>
        <v>131.49549549549999</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8836</v>
      </c>
      <c r="D24" s="156">
        <f>IF($B24=" ","",IFERROR(INDEX(MMWR_RATING_STATE_ROLLUP_VSC[],MATCH($B24,MMWR_RATING_STATE_ROLLUP_VSC[MMWR_RATING_STATE_ROLLUP_VSC],0),MATCH(D$9,MMWR_RATING_STATE_ROLLUP_VSC[#Headers],0)),"ERROR"))</f>
        <v>96.2246491625</v>
      </c>
      <c r="E24" s="157">
        <f>IF($B24=" ","",IFERROR(INDEX(MMWR_RATING_STATE_ROLLUP_VSC[],MATCH($B24,MMWR_RATING_STATE_ROLLUP_VSC[MMWR_RATING_STATE_ROLLUP_VSC],0),MATCH(E$9,MMWR_RATING_STATE_ROLLUP_VSC[#Headers],0))/$C24,"ERROR"))</f>
        <v>0.19386600271616117</v>
      </c>
      <c r="F24" s="155">
        <f>IF($B24=" ","",IFERROR(INDEX(MMWR_RATING_STATE_ROLLUP_VSC[],MATCH($B24,MMWR_RATING_STATE_ROLLUP_VSC[MMWR_RATING_STATE_ROLLUP_VSC],0),MATCH(F$9,MMWR_RATING_STATE_ROLLUP_VSC[#Headers],0)),"ERROR"))</f>
        <v>223</v>
      </c>
      <c r="G24" s="155">
        <f>IF($B24=" ","",IFERROR(INDEX(MMWR_RATING_STATE_ROLLUP_VSC[],MATCH($B24,MMWR_RATING_STATE_ROLLUP_VSC[MMWR_RATING_STATE_ROLLUP_VSC],0),MATCH(G$9,MMWR_RATING_STATE_ROLLUP_VSC[#Headers],0)),"ERROR"))</f>
        <v>223</v>
      </c>
      <c r="H24" s="156">
        <f>IF($B24=" ","",IFERROR(INDEX(MMWR_RATING_STATE_ROLLUP_VSC[],MATCH($B24,MMWR_RATING_STATE_ROLLUP_VSC[MMWR_RATING_STATE_ROLLUP_VSC],0),MATCH(H$9,MMWR_RATING_STATE_ROLLUP_VSC[#Headers],0)),"ERROR"))</f>
        <v>146.31838565020001</v>
      </c>
      <c r="I24" s="156">
        <f>IF($B24=" ","",IFERROR(INDEX(MMWR_RATING_STATE_ROLLUP_VSC[],MATCH($B24,MMWR_RATING_STATE_ROLLUP_VSC[MMWR_RATING_STATE_ROLLUP_VSC],0),MATCH(I$9,MMWR_RATING_STATE_ROLLUP_VSC[#Headers],0)),"ERROR"))</f>
        <v>146.31838565020001</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17529</v>
      </c>
      <c r="D25" s="156">
        <f>IF($B25=" ","",IFERROR(INDEX(MMWR_RATING_STATE_ROLLUP_VSC[],MATCH($B25,MMWR_RATING_STATE_ROLLUP_VSC[MMWR_RATING_STATE_ROLLUP_VSC],0),MATCH(D$9,MMWR_RATING_STATE_ROLLUP_VSC[#Headers],0)),"ERROR"))</f>
        <v>101.4087512123</v>
      </c>
      <c r="E25" s="157">
        <f>IF($B25=" ","",IFERROR(INDEX(MMWR_RATING_STATE_ROLLUP_VSC[],MATCH($B25,MMWR_RATING_STATE_ROLLUP_VSC[MMWR_RATING_STATE_ROLLUP_VSC],0),MATCH(E$9,MMWR_RATING_STATE_ROLLUP_VSC[#Headers],0))/$C25,"ERROR"))</f>
        <v>0.24279764960921901</v>
      </c>
      <c r="F25" s="155">
        <f>IF($B25=" ","",IFERROR(INDEX(MMWR_RATING_STATE_ROLLUP_VSC[],MATCH($B25,MMWR_RATING_STATE_ROLLUP_VSC[MMWR_RATING_STATE_ROLLUP_VSC],0),MATCH(F$9,MMWR_RATING_STATE_ROLLUP_VSC[#Headers],0)),"ERROR"))</f>
        <v>369</v>
      </c>
      <c r="G25" s="155">
        <f>IF($B25=" ","",IFERROR(INDEX(MMWR_RATING_STATE_ROLLUP_VSC[],MATCH($B25,MMWR_RATING_STATE_ROLLUP_VSC[MMWR_RATING_STATE_ROLLUP_VSC],0),MATCH(G$9,MMWR_RATING_STATE_ROLLUP_VSC[#Headers],0)),"ERROR"))</f>
        <v>369</v>
      </c>
      <c r="H25" s="156">
        <f>IF($B25=" ","",IFERROR(INDEX(MMWR_RATING_STATE_ROLLUP_VSC[],MATCH($B25,MMWR_RATING_STATE_ROLLUP_VSC[MMWR_RATING_STATE_ROLLUP_VSC],0),MATCH(H$9,MMWR_RATING_STATE_ROLLUP_VSC[#Headers],0)),"ERROR"))</f>
        <v>142.72086720870001</v>
      </c>
      <c r="I25" s="156">
        <f>IF($B25=" ","",IFERROR(INDEX(MMWR_RATING_STATE_ROLLUP_VSC[],MATCH($B25,MMWR_RATING_STATE_ROLLUP_VSC[MMWR_RATING_STATE_ROLLUP_VSC],0),MATCH(I$9,MMWR_RATING_STATE_ROLLUP_VSC[#Headers],0)),"ERROR"))</f>
        <v>142.72086720870001</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8883</v>
      </c>
      <c r="D26" s="156">
        <f>IF($B26=" ","",IFERROR(INDEX(MMWR_RATING_STATE_ROLLUP_VSC[],MATCH($B26,MMWR_RATING_STATE_ROLLUP_VSC[MMWR_RATING_STATE_ROLLUP_VSC],0),MATCH(D$9,MMWR_RATING_STATE_ROLLUP_VSC[#Headers],0)),"ERROR"))</f>
        <v>117.0897219408</v>
      </c>
      <c r="E26" s="157">
        <f>IF($B26=" ","",IFERROR(INDEX(MMWR_RATING_STATE_ROLLUP_VSC[],MATCH($B26,MMWR_RATING_STATE_ROLLUP_VSC[MMWR_RATING_STATE_ROLLUP_VSC],0),MATCH(E$9,MMWR_RATING_STATE_ROLLUP_VSC[#Headers],0))/$C26,"ERROR"))</f>
        <v>0.30012383203872567</v>
      </c>
      <c r="F26" s="155">
        <f>IF($B26=" ","",IFERROR(INDEX(MMWR_RATING_STATE_ROLLUP_VSC[],MATCH($B26,MMWR_RATING_STATE_ROLLUP_VSC[MMWR_RATING_STATE_ROLLUP_VSC],0),MATCH(F$9,MMWR_RATING_STATE_ROLLUP_VSC[#Headers],0)),"ERROR"))</f>
        <v>223</v>
      </c>
      <c r="G26" s="155">
        <f>IF($B26=" ","",IFERROR(INDEX(MMWR_RATING_STATE_ROLLUP_VSC[],MATCH($B26,MMWR_RATING_STATE_ROLLUP_VSC[MMWR_RATING_STATE_ROLLUP_VSC],0),MATCH(G$9,MMWR_RATING_STATE_ROLLUP_VSC[#Headers],0)),"ERROR"))</f>
        <v>223</v>
      </c>
      <c r="H26" s="156">
        <f>IF($B26=" ","",IFERROR(INDEX(MMWR_RATING_STATE_ROLLUP_VSC[],MATCH($B26,MMWR_RATING_STATE_ROLLUP_VSC[MMWR_RATING_STATE_ROLLUP_VSC],0),MATCH(H$9,MMWR_RATING_STATE_ROLLUP_VSC[#Headers],0)),"ERROR"))</f>
        <v>146.69955156949999</v>
      </c>
      <c r="I26" s="156">
        <f>IF($B26=" ","",IFERROR(INDEX(MMWR_RATING_STATE_ROLLUP_VSC[],MATCH($B26,MMWR_RATING_STATE_ROLLUP_VSC[MMWR_RATING_STATE_ROLLUP_VSC],0),MATCH(I$9,MMWR_RATING_STATE_ROLLUP_VSC[#Headers],0)),"ERROR"))</f>
        <v>146.69955156949999</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903</v>
      </c>
      <c r="D27" s="156">
        <f>IF($B27=" ","",IFERROR(INDEX(MMWR_RATING_STATE_ROLLUP_VSC[],MATCH($B27,MMWR_RATING_STATE_ROLLUP_VSC[MMWR_RATING_STATE_ROLLUP_VSC],0),MATCH(D$9,MMWR_RATING_STATE_ROLLUP_VSC[#Headers],0)),"ERROR"))</f>
        <v>83.750830564799998</v>
      </c>
      <c r="E27" s="157">
        <f>IF($B27=" ","",IFERROR(INDEX(MMWR_RATING_STATE_ROLLUP_VSC[],MATCH($B27,MMWR_RATING_STATE_ROLLUP_VSC[MMWR_RATING_STATE_ROLLUP_VSC],0),MATCH(E$9,MMWR_RATING_STATE_ROLLUP_VSC[#Headers],0))/$C27,"ERROR"))</f>
        <v>0.20598006644518271</v>
      </c>
      <c r="F27" s="155">
        <f>IF($B27=" ","",IFERROR(INDEX(MMWR_RATING_STATE_ROLLUP_VSC[],MATCH($B27,MMWR_RATING_STATE_ROLLUP_VSC[MMWR_RATING_STATE_ROLLUP_VSC],0),MATCH(F$9,MMWR_RATING_STATE_ROLLUP_VSC[#Headers],0)),"ERROR"))</f>
        <v>26</v>
      </c>
      <c r="G27" s="155">
        <f>IF($B27=" ","",IFERROR(INDEX(MMWR_RATING_STATE_ROLLUP_VSC[],MATCH($B27,MMWR_RATING_STATE_ROLLUP_VSC[MMWR_RATING_STATE_ROLLUP_VSC],0),MATCH(G$9,MMWR_RATING_STATE_ROLLUP_VSC[#Headers],0)),"ERROR"))</f>
        <v>26</v>
      </c>
      <c r="H27" s="156">
        <f>IF($B27=" ","",IFERROR(INDEX(MMWR_RATING_STATE_ROLLUP_VSC[],MATCH($B27,MMWR_RATING_STATE_ROLLUP_VSC[MMWR_RATING_STATE_ROLLUP_VSC],0),MATCH(H$9,MMWR_RATING_STATE_ROLLUP_VSC[#Headers],0)),"ERROR"))</f>
        <v>113.30769230769999</v>
      </c>
      <c r="I27" s="156">
        <f>IF($B27=" ","",IFERROR(INDEX(MMWR_RATING_STATE_ROLLUP_VSC[],MATCH($B27,MMWR_RATING_STATE_ROLLUP_VSC[MMWR_RATING_STATE_ROLLUP_VSC],0),MATCH(I$9,MMWR_RATING_STATE_ROLLUP_VSC[#Headers],0)),"ERROR"))</f>
        <v>113.30769230769999</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388</v>
      </c>
      <c r="D28" s="156">
        <f>IF($B28=" ","",IFERROR(INDEX(MMWR_RATING_STATE_ROLLUP_VSC[],MATCH($B28,MMWR_RATING_STATE_ROLLUP_VSC[MMWR_RATING_STATE_ROLLUP_VSC],0),MATCH(D$9,MMWR_RATING_STATE_ROLLUP_VSC[#Headers],0)),"ERROR"))</f>
        <v>87.847938144300002</v>
      </c>
      <c r="E28" s="157">
        <f>IF($B28=" ","",IFERROR(INDEX(MMWR_RATING_STATE_ROLLUP_VSC[],MATCH($B28,MMWR_RATING_STATE_ROLLUP_VSC[MMWR_RATING_STATE_ROLLUP_VSC],0),MATCH(E$9,MMWR_RATING_STATE_ROLLUP_VSC[#Headers],0))/$C28,"ERROR"))</f>
        <v>0.21649484536082475</v>
      </c>
      <c r="F28" s="155">
        <f>IF($B28=" ","",IFERROR(INDEX(MMWR_RATING_STATE_ROLLUP_VSC[],MATCH($B28,MMWR_RATING_STATE_ROLLUP_VSC[MMWR_RATING_STATE_ROLLUP_VSC],0),MATCH(F$9,MMWR_RATING_STATE_ROLLUP_VSC[#Headers],0)),"ERROR"))</f>
        <v>9</v>
      </c>
      <c r="G28" s="155">
        <f>IF($B28=" ","",IFERROR(INDEX(MMWR_RATING_STATE_ROLLUP_VSC[],MATCH($B28,MMWR_RATING_STATE_ROLLUP_VSC[MMWR_RATING_STATE_ROLLUP_VSC],0),MATCH(G$9,MMWR_RATING_STATE_ROLLUP_VSC[#Headers],0)),"ERROR"))</f>
        <v>9</v>
      </c>
      <c r="H28" s="156">
        <f>IF($B28=" ","",IFERROR(INDEX(MMWR_RATING_STATE_ROLLUP_VSC[],MATCH($B28,MMWR_RATING_STATE_ROLLUP_VSC[MMWR_RATING_STATE_ROLLUP_VSC],0),MATCH(H$9,MMWR_RATING_STATE_ROLLUP_VSC[#Headers],0)),"ERROR"))</f>
        <v>124.8888888889</v>
      </c>
      <c r="I28" s="156">
        <f>IF($B28=" ","",IFERROR(INDEX(MMWR_RATING_STATE_ROLLUP_VSC[],MATCH($B28,MMWR_RATING_STATE_ROLLUP_VSC[MMWR_RATING_STATE_ROLLUP_VSC],0),MATCH(I$9,MMWR_RATING_STATE_ROLLUP_VSC[#Headers],0)),"ERROR"))</f>
        <v>124.8888888889</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10885</v>
      </c>
      <c r="D29" s="156">
        <f>IF($B29=" ","",IFERROR(INDEX(MMWR_RATING_STATE_ROLLUP_VSC[],MATCH($B29,MMWR_RATING_STATE_ROLLUP_VSC[MMWR_RATING_STATE_ROLLUP_VSC],0),MATCH(D$9,MMWR_RATING_STATE_ROLLUP_VSC[#Headers],0)),"ERROR"))</f>
        <v>89.676894809399997</v>
      </c>
      <c r="E29" s="157">
        <f>IF($B29=" ","",IFERROR(INDEX(MMWR_RATING_STATE_ROLLUP_VSC[],MATCH($B29,MMWR_RATING_STATE_ROLLUP_VSC[MMWR_RATING_STATE_ROLLUP_VSC],0),MATCH(E$9,MMWR_RATING_STATE_ROLLUP_VSC[#Headers],0))/$C29,"ERROR"))</f>
        <v>0.17932935231970601</v>
      </c>
      <c r="F29" s="155">
        <f>IF($B29=" ","",IFERROR(INDEX(MMWR_RATING_STATE_ROLLUP_VSC[],MATCH($B29,MMWR_RATING_STATE_ROLLUP_VSC[MMWR_RATING_STATE_ROLLUP_VSC],0),MATCH(F$9,MMWR_RATING_STATE_ROLLUP_VSC[#Headers],0)),"ERROR"))</f>
        <v>224</v>
      </c>
      <c r="G29" s="155">
        <f>IF($B29=" ","",IFERROR(INDEX(MMWR_RATING_STATE_ROLLUP_VSC[],MATCH($B29,MMWR_RATING_STATE_ROLLUP_VSC[MMWR_RATING_STATE_ROLLUP_VSC],0),MATCH(G$9,MMWR_RATING_STATE_ROLLUP_VSC[#Headers],0)),"ERROR"))</f>
        <v>224</v>
      </c>
      <c r="H29" s="156">
        <f>IF($B29=" ","",IFERROR(INDEX(MMWR_RATING_STATE_ROLLUP_VSC[],MATCH($B29,MMWR_RATING_STATE_ROLLUP_VSC[MMWR_RATING_STATE_ROLLUP_VSC],0),MATCH(H$9,MMWR_RATING_STATE_ROLLUP_VSC[#Headers],0)),"ERROR"))</f>
        <v>131.95982142860001</v>
      </c>
      <c r="I29" s="156">
        <f>IF($B29=" ","",IFERROR(INDEX(MMWR_RATING_STATE_ROLLUP_VSC[],MATCH($B29,MMWR_RATING_STATE_ROLLUP_VSC[MMWR_RATING_STATE_ROLLUP_VSC],0),MATCH(I$9,MMWR_RATING_STATE_ROLLUP_VSC[#Headers],0)),"ERROR"))</f>
        <v>131.95982142860001</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2377</v>
      </c>
      <c r="D30" s="156">
        <f>IF($B30=" ","",IFERROR(INDEX(MMWR_RATING_STATE_ROLLUP_VSC[],MATCH($B30,MMWR_RATING_STATE_ROLLUP_VSC[MMWR_RATING_STATE_ROLLUP_VSC],0),MATCH(D$9,MMWR_RATING_STATE_ROLLUP_VSC[#Headers],0)),"ERROR"))</f>
        <v>83.660075725699997</v>
      </c>
      <c r="E30" s="157">
        <f>IF($B30=" ","",IFERROR(INDEX(MMWR_RATING_STATE_ROLLUP_VSC[],MATCH($B30,MMWR_RATING_STATE_ROLLUP_VSC[MMWR_RATING_STATE_ROLLUP_VSC],0),MATCH(E$9,MMWR_RATING_STATE_ROLLUP_VSC[#Headers],0))/$C30,"ERROR"))</f>
        <v>0.15481699621371478</v>
      </c>
      <c r="F30" s="155">
        <f>IF($B30=" ","",IFERROR(INDEX(MMWR_RATING_STATE_ROLLUP_VSC[],MATCH($B30,MMWR_RATING_STATE_ROLLUP_VSC[MMWR_RATING_STATE_ROLLUP_VSC],0),MATCH(F$9,MMWR_RATING_STATE_ROLLUP_VSC[#Headers],0)),"ERROR"))</f>
        <v>59</v>
      </c>
      <c r="G30" s="155">
        <f>IF($B30=" ","",IFERROR(INDEX(MMWR_RATING_STATE_ROLLUP_VSC[],MATCH($B30,MMWR_RATING_STATE_ROLLUP_VSC[MMWR_RATING_STATE_ROLLUP_VSC],0),MATCH(G$9,MMWR_RATING_STATE_ROLLUP_VSC[#Headers],0)),"ERROR"))</f>
        <v>59</v>
      </c>
      <c r="H30" s="156">
        <f>IF($B30=" ","",IFERROR(INDEX(MMWR_RATING_STATE_ROLLUP_VSC[],MATCH($B30,MMWR_RATING_STATE_ROLLUP_VSC[MMWR_RATING_STATE_ROLLUP_VSC],0),MATCH(H$9,MMWR_RATING_STATE_ROLLUP_VSC[#Headers],0)),"ERROR"))</f>
        <v>128.64406779660001</v>
      </c>
      <c r="I30" s="156">
        <f>IF($B30=" ","",IFERROR(INDEX(MMWR_RATING_STATE_ROLLUP_VSC[],MATCH($B30,MMWR_RATING_STATE_ROLLUP_VSC[MMWR_RATING_STATE_ROLLUP_VSC],0),MATCH(I$9,MMWR_RATING_STATE_ROLLUP_VSC[#Headers],0)),"ERROR"))</f>
        <v>128.64406779660001</v>
      </c>
      <c r="J30" s="42"/>
      <c r="K30" s="42"/>
      <c r="L30" s="42"/>
      <c r="M30" s="42"/>
      <c r="N30" s="28"/>
    </row>
    <row r="31" spans="1:14" x14ac:dyDescent="0.2">
      <c r="A31" s="25"/>
      <c r="B31" s="341" t="s">
        <v>966</v>
      </c>
      <c r="C31" s="342"/>
      <c r="D31" s="342"/>
      <c r="E31" s="342"/>
      <c r="F31" s="342"/>
      <c r="G31" s="342"/>
      <c r="H31" s="342"/>
      <c r="I31" s="342"/>
      <c r="J31" s="342"/>
      <c r="K31" s="342"/>
      <c r="L31" s="342"/>
      <c r="M31" s="392"/>
      <c r="N31" s="28"/>
    </row>
    <row r="32" spans="1:14" x14ac:dyDescent="0.2">
      <c r="A32" s="25"/>
      <c r="B32" s="41" t="s">
        <v>1045</v>
      </c>
      <c r="C32" s="155">
        <f>IF($B32=" ","",IFERROR(INDEX(MMWR_RATING_STATE_ROLLUP_PMC[],MATCH($B32,MMWR_RATING_STATE_ROLLUP_PMC[MMWR_RATING_STATE_ROLLUP_PMC],0),MATCH(C$9,MMWR_RATING_STATE_ROLLUP_PMC[#Headers],0)),"ERROR"))</f>
        <v>21351</v>
      </c>
      <c r="D32" s="156">
        <f>IF($B32=" ","",IFERROR(INDEX(MMWR_RATING_STATE_ROLLUP_PMC[],MATCH($B32,MMWR_RATING_STATE_ROLLUP_PMC[MMWR_RATING_STATE_ROLLUP_PMC],0),MATCH(D$9,MMWR_RATING_STATE_ROLLUP_PMC[#Headers],0)),"ERROR"))</f>
        <v>59.325980047800002</v>
      </c>
      <c r="E32" s="157">
        <f>IF($B32=" ","",IFERROR(INDEX(MMWR_RATING_STATE_ROLLUP_PMC[],MATCH($B32,MMWR_RATING_STATE_ROLLUP_PMC[MMWR_RATING_STATE_ROLLUP_PMC],0),MATCH(E$9,MMWR_RATING_STATE_ROLLUP_PMC[#Headers],0))/$C32,"ERROR"))</f>
        <v>7.8872183972647655E-2</v>
      </c>
      <c r="F32" s="155">
        <f>IF($B32=" ","",IFERROR(INDEX(MMWR_RATING_STATE_ROLLUP_PMC[],MATCH($B32,MMWR_RATING_STATE_ROLLUP_PMC[MMWR_RATING_STATE_ROLLUP_PMC],0),MATCH(F$9,MMWR_RATING_STATE_ROLLUP_PMC[#Headers],0)),"ERROR"))</f>
        <v>773</v>
      </c>
      <c r="G32" s="155">
        <f>IF($B32=" ","",IFERROR(INDEX(MMWR_RATING_STATE_ROLLUP_PMC[],MATCH($B32,MMWR_RATING_STATE_ROLLUP_PMC[MMWR_RATING_STATE_ROLLUP_PMC],0),MATCH(G$9,MMWR_RATING_STATE_ROLLUP_PMC[#Headers],0)),"ERROR"))</f>
        <v>773</v>
      </c>
      <c r="H32" s="156">
        <f>IF($B32=" ","",IFERROR(INDEX(MMWR_RATING_STATE_ROLLUP_PMC[],MATCH($B32,MMWR_RATING_STATE_ROLLUP_PMC[MMWR_RATING_STATE_ROLLUP_PMC],0),MATCH(H$9,MMWR_RATING_STATE_ROLLUP_PMC[#Headers],0)),"ERROR"))</f>
        <v>59.126778784000003</v>
      </c>
      <c r="I32" s="156">
        <f>IF($B32=" ","",IFERROR(INDEX(MMWR_RATING_STATE_ROLLUP_PMC[],MATCH($B32,MMWR_RATING_STATE_ROLLUP_PMC[MMWR_RATING_STATE_ROLLUP_PMC],0),MATCH(I$9,MMWR_RATING_STATE_ROLLUP_PMC[#Headers],0)),"ERROR"))</f>
        <v>59.126778784000003</v>
      </c>
      <c r="J32" s="42"/>
      <c r="K32" s="42"/>
      <c r="L32" s="42"/>
      <c r="M32" s="42"/>
      <c r="N32" s="28"/>
    </row>
    <row r="33" spans="1:14" x14ac:dyDescent="0.2">
      <c r="A33" s="25"/>
      <c r="B33" s="250" t="str">
        <f>INDEX(DISTRICT_STATES[],MATCH($B$5,DISTRICT_RO[District],0),1)</f>
        <v>North Atlantic</v>
      </c>
      <c r="C33" s="155">
        <f>IF($B33=" ","",IFERROR(INDEX(MMWR_RATING_STATE_ROLLUP_PMC[],MATCH($B33,MMWR_RATING_STATE_ROLLUP_PMC[MMWR_RATING_STATE_ROLLUP_PMC],0),MATCH(C$9,MMWR_RATING_STATE_ROLLUP_PMC[#Headers],0)),"ERROR"))</f>
        <v>4145</v>
      </c>
      <c r="D33" s="156">
        <f>IF($B33=" ","",IFERROR(INDEX(MMWR_RATING_STATE_ROLLUP_PMC[],MATCH($B33,MMWR_RATING_STATE_ROLLUP_PMC[MMWR_RATING_STATE_ROLLUP_PMC],0),MATCH(D$9,MMWR_RATING_STATE_ROLLUP_PMC[#Headers],0)),"ERROR"))</f>
        <v>72.335102533200001</v>
      </c>
      <c r="E33" s="157">
        <f>IF($B33=" ","",IFERROR(INDEX(MMWR_RATING_STATE_ROLLUP_PMC[],MATCH($B33,MMWR_RATING_STATE_ROLLUP_PMC[MMWR_RATING_STATE_ROLLUP_PMC],0),MATCH(E$9,MMWR_RATING_STATE_ROLLUP_PMC[#Headers],0))/$C33,"ERROR"))</f>
        <v>0.11338962605548854</v>
      </c>
      <c r="F33" s="155">
        <f>IF($B33=" ","",IFERROR(INDEX(MMWR_RATING_STATE_ROLLUP_PMC[],MATCH($B33,MMWR_RATING_STATE_ROLLUP_PMC[MMWR_RATING_STATE_ROLLUP_PMC],0),MATCH(F$9,MMWR_RATING_STATE_ROLLUP_PMC[#Headers],0)),"ERROR"))</f>
        <v>129</v>
      </c>
      <c r="G33" s="155">
        <f>IF($B33=" ","",IFERROR(INDEX(MMWR_RATING_STATE_ROLLUP_PMC[],MATCH($B33,MMWR_RATING_STATE_ROLLUP_PMC[MMWR_RATING_STATE_ROLLUP_PMC],0),MATCH(G$9,MMWR_RATING_STATE_ROLLUP_PMC[#Headers],0)),"ERROR"))</f>
        <v>129</v>
      </c>
      <c r="H33" s="156">
        <f>IF($B33=" ","",IFERROR(INDEX(MMWR_RATING_STATE_ROLLUP_PMC[],MATCH($B33,MMWR_RATING_STATE_ROLLUP_PMC[MMWR_RATING_STATE_ROLLUP_PMC],0),MATCH(H$9,MMWR_RATING_STATE_ROLLUP_PMC[#Headers],0)),"ERROR"))</f>
        <v>72.426356589099996</v>
      </c>
      <c r="I33" s="156">
        <f>IF($B33=" ","",IFERROR(INDEX(MMWR_RATING_STATE_ROLLUP_PMC[],MATCH($B33,MMWR_RATING_STATE_ROLLUP_PMC[MMWR_RATING_STATE_ROLLUP_PMC],0),MATCH(I$9,MMWR_RATING_STATE_ROLLUP_PMC[#Headers],0)),"ERROR"))</f>
        <v>72.426356589099996</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114</v>
      </c>
      <c r="D34" s="156">
        <f>IF($B34=" ","",IFERROR(INDEX(MMWR_RATING_STATE_ROLLUP_PMC[],MATCH($B34,MMWR_RATING_STATE_ROLLUP_PMC[MMWR_RATING_STATE_ROLLUP_PMC],0),MATCH(D$9,MMWR_RATING_STATE_ROLLUP_PMC[#Headers],0)),"ERROR"))</f>
        <v>74.429824561399997</v>
      </c>
      <c r="E34" s="157">
        <f>IF($B34=" ","",IFERROR(INDEX(MMWR_RATING_STATE_ROLLUP_PMC[],MATCH($B34,MMWR_RATING_STATE_ROLLUP_PMC[MMWR_RATING_STATE_ROLLUP_PMC],0),MATCH(E$9,MMWR_RATING_STATE_ROLLUP_PMC[#Headers],0))/$C34,"ERROR"))</f>
        <v>0.12280701754385964</v>
      </c>
      <c r="F34" s="155">
        <f>IF($B34=" ","",IFERROR(INDEX(MMWR_RATING_STATE_ROLLUP_PMC[],MATCH($B34,MMWR_RATING_STATE_ROLLUP_PMC[MMWR_RATING_STATE_ROLLUP_PMC],0),MATCH(F$9,MMWR_RATING_STATE_ROLLUP_PMC[#Headers],0)),"ERROR"))</f>
        <v>4</v>
      </c>
      <c r="G34" s="155">
        <f>IF($B34=" ","",IFERROR(INDEX(MMWR_RATING_STATE_ROLLUP_PMC[],MATCH($B34,MMWR_RATING_STATE_ROLLUP_PMC[MMWR_RATING_STATE_ROLLUP_PMC],0),MATCH(G$9,MMWR_RATING_STATE_ROLLUP_PMC[#Headers],0)),"ERROR"))</f>
        <v>4</v>
      </c>
      <c r="H34" s="156">
        <f>IF($B34=" ","",IFERROR(INDEX(MMWR_RATING_STATE_ROLLUP_PMC[],MATCH($B34,MMWR_RATING_STATE_ROLLUP_PMC[MMWR_RATING_STATE_ROLLUP_PMC],0),MATCH(H$9,MMWR_RATING_STATE_ROLLUP_PMC[#Headers],0)),"ERROR"))</f>
        <v>117.5</v>
      </c>
      <c r="I34" s="156">
        <f>IF($B34=" ","",IFERROR(INDEX(MMWR_RATING_STATE_ROLLUP_PMC[],MATCH($B34,MMWR_RATING_STATE_ROLLUP_PMC[MMWR_RATING_STATE_ROLLUP_PMC],0),MATCH(I$9,MMWR_RATING_STATE_ROLLUP_PMC[#Headers],0)),"ERROR"))</f>
        <v>117.5</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34</v>
      </c>
      <c r="D35" s="156">
        <f>IF($B35=" ","",IFERROR(INDEX(MMWR_RATING_STATE_ROLLUP_PMC[],MATCH($B35,MMWR_RATING_STATE_ROLLUP_PMC[MMWR_RATING_STATE_ROLLUP_PMC],0),MATCH(D$9,MMWR_RATING_STATE_ROLLUP_PMC[#Headers],0)),"ERROR"))</f>
        <v>86.470588235299999</v>
      </c>
      <c r="E35" s="157">
        <f>IF($B35=" ","",IFERROR(INDEX(MMWR_RATING_STATE_ROLLUP_PMC[],MATCH($B35,MMWR_RATING_STATE_ROLLUP_PMC[MMWR_RATING_STATE_ROLLUP_PMC],0),MATCH(E$9,MMWR_RATING_STATE_ROLLUP_PMC[#Headers],0))/$C35,"ERROR"))</f>
        <v>0.11764705882352941</v>
      </c>
      <c r="F35" s="155">
        <f>IF($B35=" ","",IFERROR(INDEX(MMWR_RATING_STATE_ROLLUP_PMC[],MATCH($B35,MMWR_RATING_STATE_ROLLUP_PMC[MMWR_RATING_STATE_ROLLUP_PMC],0),MATCH(F$9,MMWR_RATING_STATE_ROLLUP_PMC[#Headers],0)),"ERROR"))</f>
        <v>2</v>
      </c>
      <c r="G35" s="155">
        <f>IF($B35=" ","",IFERROR(INDEX(MMWR_RATING_STATE_ROLLUP_PMC[],MATCH($B35,MMWR_RATING_STATE_ROLLUP_PMC[MMWR_RATING_STATE_ROLLUP_PMC],0),MATCH(G$9,MMWR_RATING_STATE_ROLLUP_PMC[#Headers],0)),"ERROR"))</f>
        <v>2</v>
      </c>
      <c r="H35" s="156">
        <f>IF($B35=" ","",IFERROR(INDEX(MMWR_RATING_STATE_ROLLUP_PMC[],MATCH($B35,MMWR_RATING_STATE_ROLLUP_PMC[MMWR_RATING_STATE_ROLLUP_PMC],0),MATCH(H$9,MMWR_RATING_STATE_ROLLUP_PMC[#Headers],0)),"ERROR"))</f>
        <v>79</v>
      </c>
      <c r="I35" s="156">
        <f>IF($B35=" ","",IFERROR(INDEX(MMWR_RATING_STATE_ROLLUP_PMC[],MATCH($B35,MMWR_RATING_STATE_ROLLUP_PMC[MMWR_RATING_STATE_ROLLUP_PMC],0),MATCH(I$9,MMWR_RATING_STATE_ROLLUP_PMC[#Headers],0)),"ERROR"))</f>
        <v>79</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57</v>
      </c>
      <c r="D36" s="156">
        <f>IF($B36=" ","",IFERROR(INDEX(MMWR_RATING_STATE_ROLLUP_PMC[],MATCH($B36,MMWR_RATING_STATE_ROLLUP_PMC[MMWR_RATING_STATE_ROLLUP_PMC],0),MATCH(D$9,MMWR_RATING_STATE_ROLLUP_PMC[#Headers],0)),"ERROR"))</f>
        <v>61.175438596500001</v>
      </c>
      <c r="E36" s="157">
        <f>IF($B36=" ","",IFERROR(INDEX(MMWR_RATING_STATE_ROLLUP_PMC[],MATCH($B36,MMWR_RATING_STATE_ROLLUP_PMC[MMWR_RATING_STATE_ROLLUP_PMC],0),MATCH(E$9,MMWR_RATING_STATE_ROLLUP_PMC[#Headers],0))/$C36,"ERROR"))</f>
        <v>1.7543859649122806E-2</v>
      </c>
      <c r="F36" s="155">
        <f>IF($B36=" ","",IFERROR(INDEX(MMWR_RATING_STATE_ROLLUP_PMC[],MATCH($B36,MMWR_RATING_STATE_ROLLUP_PMC[MMWR_RATING_STATE_ROLLUP_PMC],0),MATCH(F$9,MMWR_RATING_STATE_ROLLUP_PMC[#Headers],0)),"ERROR"))</f>
        <v>1</v>
      </c>
      <c r="G36" s="155">
        <f>IF($B36=" ","",IFERROR(INDEX(MMWR_RATING_STATE_ROLLUP_PMC[],MATCH($B36,MMWR_RATING_STATE_ROLLUP_PMC[MMWR_RATING_STATE_ROLLUP_PMC],0),MATCH(G$9,MMWR_RATING_STATE_ROLLUP_PMC[#Headers],0)),"ERROR"))</f>
        <v>1</v>
      </c>
      <c r="H36" s="156">
        <f>IF($B36=" ","",IFERROR(INDEX(MMWR_RATING_STATE_ROLLUP_PMC[],MATCH($B36,MMWR_RATING_STATE_ROLLUP_PMC[MMWR_RATING_STATE_ROLLUP_PMC],0),MATCH(H$9,MMWR_RATING_STATE_ROLLUP_PMC[#Headers],0)),"ERROR"))</f>
        <v>86</v>
      </c>
      <c r="I36" s="156">
        <f>IF($B36=" ","",IFERROR(INDEX(MMWR_RATING_STATE_ROLLUP_PMC[],MATCH($B36,MMWR_RATING_STATE_ROLLUP_PMC[MMWR_RATING_STATE_ROLLUP_PMC],0),MATCH(I$9,MMWR_RATING_STATE_ROLLUP_PMC[#Headers],0)),"ERROR"))</f>
        <v>86</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57</v>
      </c>
      <c r="D37" s="156">
        <f>IF($B37=" ","",IFERROR(INDEX(MMWR_RATING_STATE_ROLLUP_PMC[],MATCH($B37,MMWR_RATING_STATE_ROLLUP_PMC[MMWR_RATING_STATE_ROLLUP_PMC],0),MATCH(D$9,MMWR_RATING_STATE_ROLLUP_PMC[#Headers],0)),"ERROR"))</f>
        <v>58.736842105299999</v>
      </c>
      <c r="E37" s="157">
        <f>IF($B37=" ","",IFERROR(INDEX(MMWR_RATING_STATE_ROLLUP_PMC[],MATCH($B37,MMWR_RATING_STATE_ROLLUP_PMC[MMWR_RATING_STATE_ROLLUP_PMC],0),MATCH(E$9,MMWR_RATING_STATE_ROLLUP_PMC[#Headers],0))/$C37,"ERROR"))</f>
        <v>5.2631578947368418E-2</v>
      </c>
      <c r="F37" s="155">
        <f>IF($B37=" ","",IFERROR(INDEX(MMWR_RATING_STATE_ROLLUP_PMC[],MATCH($B37,MMWR_RATING_STATE_ROLLUP_PMC[MMWR_RATING_STATE_ROLLUP_PMC],0),MATCH(F$9,MMWR_RATING_STATE_ROLLUP_PMC[#Headers],0)),"ERROR"))</f>
        <v>3</v>
      </c>
      <c r="G37" s="155">
        <f>IF($B37=" ","",IFERROR(INDEX(MMWR_RATING_STATE_ROLLUP_PMC[],MATCH($B37,MMWR_RATING_STATE_ROLLUP_PMC[MMWR_RATING_STATE_ROLLUP_PMC],0),MATCH(G$9,MMWR_RATING_STATE_ROLLUP_PMC[#Headers],0)),"ERROR"))</f>
        <v>3</v>
      </c>
      <c r="H37" s="156">
        <f>IF($B37=" ","",IFERROR(INDEX(MMWR_RATING_STATE_ROLLUP_PMC[],MATCH($B37,MMWR_RATING_STATE_ROLLUP_PMC[MMWR_RATING_STATE_ROLLUP_PMC],0),MATCH(H$9,MMWR_RATING_STATE_ROLLUP_PMC[#Headers],0)),"ERROR"))</f>
        <v>50</v>
      </c>
      <c r="I37" s="156">
        <f>IF($B37=" ","",IFERROR(INDEX(MMWR_RATING_STATE_ROLLUP_PMC[],MATCH($B37,MMWR_RATING_STATE_ROLLUP_PMC[MMWR_RATING_STATE_ROLLUP_PMC],0),MATCH(I$9,MMWR_RATING_STATE_ROLLUP_PMC[#Headers],0)),"ERROR"))</f>
        <v>50</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265</v>
      </c>
      <c r="D38" s="156">
        <f>IF($B38=" ","",IFERROR(INDEX(MMWR_RATING_STATE_ROLLUP_PMC[],MATCH($B38,MMWR_RATING_STATE_ROLLUP_PMC[MMWR_RATING_STATE_ROLLUP_PMC],0),MATCH(D$9,MMWR_RATING_STATE_ROLLUP_PMC[#Headers],0)),"ERROR"))</f>
        <v>75.237735849100005</v>
      </c>
      <c r="E38" s="157">
        <f>IF($B38=" ","",IFERROR(INDEX(MMWR_RATING_STATE_ROLLUP_PMC[],MATCH($B38,MMWR_RATING_STATE_ROLLUP_PMC[MMWR_RATING_STATE_ROLLUP_PMC],0),MATCH(E$9,MMWR_RATING_STATE_ROLLUP_PMC[#Headers],0))/$C38,"ERROR"))</f>
        <v>0.10566037735849057</v>
      </c>
      <c r="F38" s="155">
        <f>IF($B38=" ","",IFERROR(INDEX(MMWR_RATING_STATE_ROLLUP_PMC[],MATCH($B38,MMWR_RATING_STATE_ROLLUP_PMC[MMWR_RATING_STATE_ROLLUP_PMC],0),MATCH(F$9,MMWR_RATING_STATE_ROLLUP_PMC[#Headers],0)),"ERROR"))</f>
        <v>12</v>
      </c>
      <c r="G38" s="155">
        <f>IF($B38=" ","",IFERROR(INDEX(MMWR_RATING_STATE_ROLLUP_PMC[],MATCH($B38,MMWR_RATING_STATE_ROLLUP_PMC[MMWR_RATING_STATE_ROLLUP_PMC],0),MATCH(G$9,MMWR_RATING_STATE_ROLLUP_PMC[#Headers],0)),"ERROR"))</f>
        <v>12</v>
      </c>
      <c r="H38" s="156">
        <f>IF($B38=" ","",IFERROR(INDEX(MMWR_RATING_STATE_ROLLUP_PMC[],MATCH($B38,MMWR_RATING_STATE_ROLLUP_PMC[MMWR_RATING_STATE_ROLLUP_PMC],0),MATCH(H$9,MMWR_RATING_STATE_ROLLUP_PMC[#Headers],0)),"ERROR"))</f>
        <v>91.416666666699996</v>
      </c>
      <c r="I38" s="156">
        <f>IF($B38=" ","",IFERROR(INDEX(MMWR_RATING_STATE_ROLLUP_PMC[],MATCH($B38,MMWR_RATING_STATE_ROLLUP_PMC[MMWR_RATING_STATE_ROLLUP_PMC],0),MATCH(I$9,MMWR_RATING_STATE_ROLLUP_PMC[#Headers],0)),"ERROR"))</f>
        <v>91.416666666699996</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264</v>
      </c>
      <c r="D39" s="156">
        <f>IF($B39=" ","",IFERROR(INDEX(MMWR_RATING_STATE_ROLLUP_PMC[],MATCH($B39,MMWR_RATING_STATE_ROLLUP_PMC[MMWR_RATING_STATE_ROLLUP_PMC],0),MATCH(D$9,MMWR_RATING_STATE_ROLLUP_PMC[#Headers],0)),"ERROR"))</f>
        <v>67.212121212100001</v>
      </c>
      <c r="E39" s="157">
        <f>IF($B39=" ","",IFERROR(INDEX(MMWR_RATING_STATE_ROLLUP_PMC[],MATCH($B39,MMWR_RATING_STATE_ROLLUP_PMC[MMWR_RATING_STATE_ROLLUP_PMC],0),MATCH(E$9,MMWR_RATING_STATE_ROLLUP_PMC[#Headers],0))/$C39,"ERROR"))</f>
        <v>7.9545454545454544E-2</v>
      </c>
      <c r="F39" s="155">
        <f>IF($B39=" ","",IFERROR(INDEX(MMWR_RATING_STATE_ROLLUP_PMC[],MATCH($B39,MMWR_RATING_STATE_ROLLUP_PMC[MMWR_RATING_STATE_ROLLUP_PMC],0),MATCH(F$9,MMWR_RATING_STATE_ROLLUP_PMC[#Headers],0)),"ERROR"))</f>
        <v>8</v>
      </c>
      <c r="G39" s="155">
        <f>IF($B39=" ","",IFERROR(INDEX(MMWR_RATING_STATE_ROLLUP_PMC[],MATCH($B39,MMWR_RATING_STATE_ROLLUP_PMC[MMWR_RATING_STATE_ROLLUP_PMC],0),MATCH(G$9,MMWR_RATING_STATE_ROLLUP_PMC[#Headers],0)),"ERROR"))</f>
        <v>8</v>
      </c>
      <c r="H39" s="156">
        <f>IF($B39=" ","",IFERROR(INDEX(MMWR_RATING_STATE_ROLLUP_PMC[],MATCH($B39,MMWR_RATING_STATE_ROLLUP_PMC[MMWR_RATING_STATE_ROLLUP_PMC],0),MATCH(H$9,MMWR_RATING_STATE_ROLLUP_PMC[#Headers],0)),"ERROR"))</f>
        <v>51.25</v>
      </c>
      <c r="I39" s="156">
        <f>IF($B39=" ","",IFERROR(INDEX(MMWR_RATING_STATE_ROLLUP_PMC[],MATCH($B39,MMWR_RATING_STATE_ROLLUP_PMC[MMWR_RATING_STATE_ROLLUP_PMC],0),MATCH(I$9,MMWR_RATING_STATE_ROLLUP_PMC[#Headers],0)),"ERROR"))</f>
        <v>51.25</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63</v>
      </c>
      <c r="D40" s="156">
        <f>IF($B40=" ","",IFERROR(INDEX(MMWR_RATING_STATE_ROLLUP_PMC[],MATCH($B40,MMWR_RATING_STATE_ROLLUP_PMC[MMWR_RATING_STATE_ROLLUP_PMC],0),MATCH(D$9,MMWR_RATING_STATE_ROLLUP_PMC[#Headers],0)),"ERROR"))</f>
        <v>77.126984127</v>
      </c>
      <c r="E40" s="157">
        <f>IF($B40=" ","",IFERROR(INDEX(MMWR_RATING_STATE_ROLLUP_PMC[],MATCH($B40,MMWR_RATING_STATE_ROLLUP_PMC[MMWR_RATING_STATE_ROLLUP_PMC],0),MATCH(E$9,MMWR_RATING_STATE_ROLLUP_PMC[#Headers],0))/$C40,"ERROR"))</f>
        <v>0.1111111111111111</v>
      </c>
      <c r="F40" s="155">
        <f>IF($B40=" ","",IFERROR(INDEX(MMWR_RATING_STATE_ROLLUP_PMC[],MATCH($B40,MMWR_RATING_STATE_ROLLUP_PMC[MMWR_RATING_STATE_ROLLUP_PMC],0),MATCH(F$9,MMWR_RATING_STATE_ROLLUP_PMC[#Headers],0)),"ERROR"))</f>
        <v>0</v>
      </c>
      <c r="G40" s="155">
        <f>IF($B40=" ","",IFERROR(INDEX(MMWR_RATING_STATE_ROLLUP_PMC[],MATCH($B40,MMWR_RATING_STATE_ROLLUP_PMC[MMWR_RATING_STATE_ROLLUP_PMC],0),MATCH(G$9,MMWR_RATING_STATE_ROLLUP_PMC[#Headers],0)),"ERROR"))</f>
        <v>0</v>
      </c>
      <c r="H40" s="156">
        <f>IF($B40=" ","",IFERROR(INDEX(MMWR_RATING_STATE_ROLLUP_PMC[],MATCH($B40,MMWR_RATING_STATE_ROLLUP_PMC[MMWR_RATING_STATE_ROLLUP_PMC],0),MATCH(H$9,MMWR_RATING_STATE_ROLLUP_PMC[#Headers],0)),"ERROR"))</f>
        <v>0</v>
      </c>
      <c r="I40" s="156">
        <f>IF($B40=" ","",IFERROR(INDEX(MMWR_RATING_STATE_ROLLUP_PMC[],MATCH($B40,MMWR_RATING_STATE_ROLLUP_PMC[MMWR_RATING_STATE_ROLLUP_PMC],0),MATCH(I$9,MMWR_RATING_STATE_ROLLUP_PMC[#Headers],0)),"ERROR"))</f>
        <v>0</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326</v>
      </c>
      <c r="D41" s="156">
        <f>IF($B41=" ","",IFERROR(INDEX(MMWR_RATING_STATE_ROLLUP_PMC[],MATCH($B41,MMWR_RATING_STATE_ROLLUP_PMC[MMWR_RATING_STATE_ROLLUP_PMC],0),MATCH(D$9,MMWR_RATING_STATE_ROLLUP_PMC[#Headers],0)),"ERROR"))</f>
        <v>68.932515337400005</v>
      </c>
      <c r="E41" s="157">
        <f>IF($B41=" ","",IFERROR(INDEX(MMWR_RATING_STATE_ROLLUP_PMC[],MATCH($B41,MMWR_RATING_STATE_ROLLUP_PMC[MMWR_RATING_STATE_ROLLUP_PMC],0),MATCH(E$9,MMWR_RATING_STATE_ROLLUP_PMC[#Headers],0))/$C41,"ERROR"))</f>
        <v>9.5092024539877307E-2</v>
      </c>
      <c r="F41" s="155">
        <f>IF($B41=" ","",IFERROR(INDEX(MMWR_RATING_STATE_ROLLUP_PMC[],MATCH($B41,MMWR_RATING_STATE_ROLLUP_PMC[MMWR_RATING_STATE_ROLLUP_PMC],0),MATCH(F$9,MMWR_RATING_STATE_ROLLUP_PMC[#Headers],0)),"ERROR"))</f>
        <v>7</v>
      </c>
      <c r="G41" s="155">
        <f>IF($B41=" ","",IFERROR(INDEX(MMWR_RATING_STATE_ROLLUP_PMC[],MATCH($B41,MMWR_RATING_STATE_ROLLUP_PMC[MMWR_RATING_STATE_ROLLUP_PMC],0),MATCH(G$9,MMWR_RATING_STATE_ROLLUP_PMC[#Headers],0)),"ERROR"))</f>
        <v>7</v>
      </c>
      <c r="H41" s="156">
        <f>IF($B41=" ","",IFERROR(INDEX(MMWR_RATING_STATE_ROLLUP_PMC[],MATCH($B41,MMWR_RATING_STATE_ROLLUP_PMC[MMWR_RATING_STATE_ROLLUP_PMC],0),MATCH(H$9,MMWR_RATING_STATE_ROLLUP_PMC[#Headers],0)),"ERROR"))</f>
        <v>60.142857142899999</v>
      </c>
      <c r="I41" s="156">
        <f>IF($B41=" ","",IFERROR(INDEX(MMWR_RATING_STATE_ROLLUP_PMC[],MATCH($B41,MMWR_RATING_STATE_ROLLUP_PMC[MMWR_RATING_STATE_ROLLUP_PMC],0),MATCH(I$9,MMWR_RATING_STATE_ROLLUP_PMC[#Headers],0)),"ERROR"))</f>
        <v>60.142857142899999</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692</v>
      </c>
      <c r="D42" s="156">
        <f>IF($B42=" ","",IFERROR(INDEX(MMWR_RATING_STATE_ROLLUP_PMC[],MATCH($B42,MMWR_RATING_STATE_ROLLUP_PMC[MMWR_RATING_STATE_ROLLUP_PMC],0),MATCH(D$9,MMWR_RATING_STATE_ROLLUP_PMC[#Headers],0)),"ERROR"))</f>
        <v>73.742774566500003</v>
      </c>
      <c r="E42" s="157">
        <f>IF($B42=" ","",IFERROR(INDEX(MMWR_RATING_STATE_ROLLUP_PMC[],MATCH($B42,MMWR_RATING_STATE_ROLLUP_PMC[MMWR_RATING_STATE_ROLLUP_PMC],0),MATCH(E$9,MMWR_RATING_STATE_ROLLUP_PMC[#Headers],0))/$C42,"ERROR"))</f>
        <v>0.11416184971098266</v>
      </c>
      <c r="F42" s="155">
        <f>IF($B42=" ","",IFERROR(INDEX(MMWR_RATING_STATE_ROLLUP_PMC[],MATCH($B42,MMWR_RATING_STATE_ROLLUP_PMC[MMWR_RATING_STATE_ROLLUP_PMC],0),MATCH(F$9,MMWR_RATING_STATE_ROLLUP_PMC[#Headers],0)),"ERROR"))</f>
        <v>25</v>
      </c>
      <c r="G42" s="155">
        <f>IF($B42=" ","",IFERROR(INDEX(MMWR_RATING_STATE_ROLLUP_PMC[],MATCH($B42,MMWR_RATING_STATE_ROLLUP_PMC[MMWR_RATING_STATE_ROLLUP_PMC],0),MATCH(G$9,MMWR_RATING_STATE_ROLLUP_PMC[#Headers],0)),"ERROR"))</f>
        <v>25</v>
      </c>
      <c r="H42" s="156">
        <f>IF($B42=" ","",IFERROR(INDEX(MMWR_RATING_STATE_ROLLUP_PMC[],MATCH($B42,MMWR_RATING_STATE_ROLLUP_PMC[MMWR_RATING_STATE_ROLLUP_PMC],0),MATCH(H$9,MMWR_RATING_STATE_ROLLUP_PMC[#Headers],0)),"ERROR"))</f>
        <v>83.24</v>
      </c>
      <c r="I42" s="156">
        <f>IF($B42=" ","",IFERROR(INDEX(MMWR_RATING_STATE_ROLLUP_PMC[],MATCH($B42,MMWR_RATING_STATE_ROLLUP_PMC[MMWR_RATING_STATE_ROLLUP_PMC],0),MATCH(I$9,MMWR_RATING_STATE_ROLLUP_PMC[#Headers],0)),"ERROR"))</f>
        <v>83.24</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671</v>
      </c>
      <c r="D43" s="156">
        <f>IF($B43=" ","",IFERROR(INDEX(MMWR_RATING_STATE_ROLLUP_PMC[],MATCH($B43,MMWR_RATING_STATE_ROLLUP_PMC[MMWR_RATING_STATE_ROLLUP_PMC],0),MATCH(D$9,MMWR_RATING_STATE_ROLLUP_PMC[#Headers],0)),"ERROR"))</f>
        <v>72.861400894200003</v>
      </c>
      <c r="E43" s="157">
        <f>IF($B43=" ","",IFERROR(INDEX(MMWR_RATING_STATE_ROLLUP_PMC[],MATCH($B43,MMWR_RATING_STATE_ROLLUP_PMC[MMWR_RATING_STATE_ROLLUP_PMC],0),MATCH(E$9,MMWR_RATING_STATE_ROLLUP_PMC[#Headers],0))/$C43,"ERROR"))</f>
        <v>0.13859910581222057</v>
      </c>
      <c r="F43" s="155">
        <f>IF($B43=" ","",IFERROR(INDEX(MMWR_RATING_STATE_ROLLUP_PMC[],MATCH($B43,MMWR_RATING_STATE_ROLLUP_PMC[MMWR_RATING_STATE_ROLLUP_PMC],0),MATCH(F$9,MMWR_RATING_STATE_ROLLUP_PMC[#Headers],0)),"ERROR"))</f>
        <v>21</v>
      </c>
      <c r="G43" s="155">
        <f>IF($B43=" ","",IFERROR(INDEX(MMWR_RATING_STATE_ROLLUP_PMC[],MATCH($B43,MMWR_RATING_STATE_ROLLUP_PMC[MMWR_RATING_STATE_ROLLUP_PMC],0),MATCH(G$9,MMWR_RATING_STATE_ROLLUP_PMC[#Headers],0)),"ERROR"))</f>
        <v>21</v>
      </c>
      <c r="H43" s="156">
        <f>IF($B43=" ","",IFERROR(INDEX(MMWR_RATING_STATE_ROLLUP_PMC[],MATCH($B43,MMWR_RATING_STATE_ROLLUP_PMC[MMWR_RATING_STATE_ROLLUP_PMC],0),MATCH(H$9,MMWR_RATING_STATE_ROLLUP_PMC[#Headers],0)),"ERROR"))</f>
        <v>78.333333333300004</v>
      </c>
      <c r="I43" s="156">
        <f>IF($B43=" ","",IFERROR(INDEX(MMWR_RATING_STATE_ROLLUP_PMC[],MATCH($B43,MMWR_RATING_STATE_ROLLUP_PMC[MMWR_RATING_STATE_ROLLUP_PMC],0),MATCH(I$9,MMWR_RATING_STATE_ROLLUP_PMC[#Headers],0)),"ERROR"))</f>
        <v>78.333333333300004</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854</v>
      </c>
      <c r="D44" s="156">
        <f>IF($B44=" ","",IFERROR(INDEX(MMWR_RATING_STATE_ROLLUP_PMC[],MATCH($B44,MMWR_RATING_STATE_ROLLUP_PMC[MMWR_RATING_STATE_ROLLUP_PMC],0),MATCH(D$9,MMWR_RATING_STATE_ROLLUP_PMC[#Headers],0)),"ERROR"))</f>
        <v>68.839578454299996</v>
      </c>
      <c r="E44" s="157">
        <f>IF($B44=" ","",IFERROR(INDEX(MMWR_RATING_STATE_ROLLUP_PMC[],MATCH($B44,MMWR_RATING_STATE_ROLLUP_PMC[MMWR_RATING_STATE_ROLLUP_PMC],0),MATCH(E$9,MMWR_RATING_STATE_ROLLUP_PMC[#Headers],0))/$C44,"ERROR"))</f>
        <v>0.10655737704918032</v>
      </c>
      <c r="F44" s="155">
        <f>IF($B44=" ","",IFERROR(INDEX(MMWR_RATING_STATE_ROLLUP_PMC[],MATCH($B44,MMWR_RATING_STATE_ROLLUP_PMC[MMWR_RATING_STATE_ROLLUP_PMC],0),MATCH(F$9,MMWR_RATING_STATE_ROLLUP_PMC[#Headers],0)),"ERROR"))</f>
        <v>24</v>
      </c>
      <c r="G44" s="155">
        <f>IF($B44=" ","",IFERROR(INDEX(MMWR_RATING_STATE_ROLLUP_PMC[],MATCH($B44,MMWR_RATING_STATE_ROLLUP_PMC[MMWR_RATING_STATE_ROLLUP_PMC],0),MATCH(G$9,MMWR_RATING_STATE_ROLLUP_PMC[#Headers],0)),"ERROR"))</f>
        <v>24</v>
      </c>
      <c r="H44" s="156">
        <f>IF($B44=" ","",IFERROR(INDEX(MMWR_RATING_STATE_ROLLUP_PMC[],MATCH($B44,MMWR_RATING_STATE_ROLLUP_PMC[MMWR_RATING_STATE_ROLLUP_PMC],0),MATCH(H$9,MMWR_RATING_STATE_ROLLUP_PMC[#Headers],0)),"ERROR"))</f>
        <v>59.916666666700003</v>
      </c>
      <c r="I44" s="156">
        <f>IF($B44=" ","",IFERROR(INDEX(MMWR_RATING_STATE_ROLLUP_PMC[],MATCH($B44,MMWR_RATING_STATE_ROLLUP_PMC[MMWR_RATING_STATE_ROLLUP_PMC],0),MATCH(I$9,MMWR_RATING_STATE_ROLLUP_PMC[#Headers],0)),"ERROR"))</f>
        <v>59.916666666700003</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76</v>
      </c>
      <c r="D45" s="156">
        <f>IF($B45=" ","",IFERROR(INDEX(MMWR_RATING_STATE_ROLLUP_PMC[],MATCH($B45,MMWR_RATING_STATE_ROLLUP_PMC[MMWR_RATING_STATE_ROLLUP_PMC],0),MATCH(D$9,MMWR_RATING_STATE_ROLLUP_PMC[#Headers],0)),"ERROR"))</f>
        <v>72.328947368399994</v>
      </c>
      <c r="E45" s="157">
        <f>IF($B45=" ","",IFERROR(INDEX(MMWR_RATING_STATE_ROLLUP_PMC[],MATCH($B45,MMWR_RATING_STATE_ROLLUP_PMC[MMWR_RATING_STATE_ROLLUP_PMC],0),MATCH(E$9,MMWR_RATING_STATE_ROLLUP_PMC[#Headers],0))/$C45,"ERROR"))</f>
        <v>7.8947368421052627E-2</v>
      </c>
      <c r="F45" s="155">
        <f>IF($B45=" ","",IFERROR(INDEX(MMWR_RATING_STATE_ROLLUP_PMC[],MATCH($B45,MMWR_RATING_STATE_ROLLUP_PMC[MMWR_RATING_STATE_ROLLUP_PMC],0),MATCH(F$9,MMWR_RATING_STATE_ROLLUP_PMC[#Headers],0)),"ERROR"))</f>
        <v>1</v>
      </c>
      <c r="G45" s="155">
        <f>IF($B45=" ","",IFERROR(INDEX(MMWR_RATING_STATE_ROLLUP_PMC[],MATCH($B45,MMWR_RATING_STATE_ROLLUP_PMC[MMWR_RATING_STATE_ROLLUP_PMC],0),MATCH(G$9,MMWR_RATING_STATE_ROLLUP_PMC[#Headers],0)),"ERROR"))</f>
        <v>1</v>
      </c>
      <c r="H45" s="156">
        <f>IF($B45=" ","",IFERROR(INDEX(MMWR_RATING_STATE_ROLLUP_PMC[],MATCH($B45,MMWR_RATING_STATE_ROLLUP_PMC[MMWR_RATING_STATE_ROLLUP_PMC],0),MATCH(H$9,MMWR_RATING_STATE_ROLLUP_PMC[#Headers],0)),"ERROR"))</f>
        <v>32</v>
      </c>
      <c r="I45" s="156">
        <f>IF($B45=" ","",IFERROR(INDEX(MMWR_RATING_STATE_ROLLUP_PMC[],MATCH($B45,MMWR_RATING_STATE_ROLLUP_PMC[MMWR_RATING_STATE_ROLLUP_PMC],0),MATCH(I$9,MMWR_RATING_STATE_ROLLUP_PMC[#Headers],0)),"ERROR"))</f>
        <v>32</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16</v>
      </c>
      <c r="D46" s="156">
        <f>IF($B46=" ","",IFERROR(INDEX(MMWR_RATING_STATE_ROLLUP_PMC[],MATCH($B46,MMWR_RATING_STATE_ROLLUP_PMC[MMWR_RATING_STATE_ROLLUP_PMC],0),MATCH(D$9,MMWR_RATING_STATE_ROLLUP_PMC[#Headers],0)),"ERROR"))</f>
        <v>80.5</v>
      </c>
      <c r="E46" s="157">
        <f>IF($B46=" ","",IFERROR(INDEX(MMWR_RATING_STATE_ROLLUP_PMC[],MATCH($B46,MMWR_RATING_STATE_ROLLUP_PMC[MMWR_RATING_STATE_ROLLUP_PMC],0),MATCH(E$9,MMWR_RATING_STATE_ROLLUP_PMC[#Headers],0))/$C46,"ERROR"))</f>
        <v>0.1875</v>
      </c>
      <c r="F46" s="155">
        <f>IF($B46=" ","",IFERROR(INDEX(MMWR_RATING_STATE_ROLLUP_PMC[],MATCH($B46,MMWR_RATING_STATE_ROLLUP_PMC[MMWR_RATING_STATE_ROLLUP_PMC],0),MATCH(F$9,MMWR_RATING_STATE_ROLLUP_PMC[#Headers],0)),"ERROR"))</f>
        <v>2</v>
      </c>
      <c r="G46" s="155">
        <f>IF($B46=" ","",IFERROR(INDEX(MMWR_RATING_STATE_ROLLUP_PMC[],MATCH($B46,MMWR_RATING_STATE_ROLLUP_PMC[MMWR_RATING_STATE_ROLLUP_PMC],0),MATCH(G$9,MMWR_RATING_STATE_ROLLUP_PMC[#Headers],0)),"ERROR"))</f>
        <v>2</v>
      </c>
      <c r="H46" s="156">
        <f>IF($B46=" ","",IFERROR(INDEX(MMWR_RATING_STATE_ROLLUP_PMC[],MATCH($B46,MMWR_RATING_STATE_ROLLUP_PMC[MMWR_RATING_STATE_ROLLUP_PMC],0),MATCH(H$9,MMWR_RATING_STATE_ROLLUP_PMC[#Headers],0)),"ERROR"))</f>
        <v>65</v>
      </c>
      <c r="I46" s="156">
        <f>IF($B46=" ","",IFERROR(INDEX(MMWR_RATING_STATE_ROLLUP_PMC[],MATCH($B46,MMWR_RATING_STATE_ROLLUP_PMC[MMWR_RATING_STATE_ROLLUP_PMC],0),MATCH(I$9,MMWR_RATING_STATE_ROLLUP_PMC[#Headers],0)),"ERROR"))</f>
        <v>65</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505</v>
      </c>
      <c r="D47" s="156">
        <f>IF($B47=" ","",IFERROR(INDEX(MMWR_RATING_STATE_ROLLUP_PMC[],MATCH($B47,MMWR_RATING_STATE_ROLLUP_PMC[MMWR_RATING_STATE_ROLLUP_PMC],0),MATCH(D$9,MMWR_RATING_STATE_ROLLUP_PMC[#Headers],0)),"ERROR"))</f>
        <v>78.077227722800004</v>
      </c>
      <c r="E47" s="157">
        <f>IF($B47=" ","",IFERROR(INDEX(MMWR_RATING_STATE_ROLLUP_PMC[],MATCH($B47,MMWR_RATING_STATE_ROLLUP_PMC[MMWR_RATING_STATE_ROLLUP_PMC],0),MATCH(E$9,MMWR_RATING_STATE_ROLLUP_PMC[#Headers],0))/$C47,"ERROR"))</f>
        <v>0.13861386138613863</v>
      </c>
      <c r="F47" s="155">
        <f>IF($B47=" ","",IFERROR(INDEX(MMWR_RATING_STATE_ROLLUP_PMC[],MATCH($B47,MMWR_RATING_STATE_ROLLUP_PMC[MMWR_RATING_STATE_ROLLUP_PMC],0),MATCH(F$9,MMWR_RATING_STATE_ROLLUP_PMC[#Headers],0)),"ERROR"))</f>
        <v>11</v>
      </c>
      <c r="G47" s="155">
        <f>IF($B47=" ","",IFERROR(INDEX(MMWR_RATING_STATE_ROLLUP_PMC[],MATCH($B47,MMWR_RATING_STATE_ROLLUP_PMC[MMWR_RATING_STATE_ROLLUP_PMC],0),MATCH(G$9,MMWR_RATING_STATE_ROLLUP_PMC[#Headers],0)),"ERROR"))</f>
        <v>11</v>
      </c>
      <c r="H47" s="156">
        <f>IF($B47=" ","",IFERROR(INDEX(MMWR_RATING_STATE_ROLLUP_PMC[],MATCH($B47,MMWR_RATING_STATE_ROLLUP_PMC[MMWR_RATING_STATE_ROLLUP_PMC],0),MATCH(H$9,MMWR_RATING_STATE_ROLLUP_PMC[#Headers],0)),"ERROR"))</f>
        <v>72.454545454500007</v>
      </c>
      <c r="I47" s="156">
        <f>IF($B47=" ","",IFERROR(INDEX(MMWR_RATING_STATE_ROLLUP_PMC[],MATCH($B47,MMWR_RATING_STATE_ROLLUP_PMC[MMWR_RATING_STATE_ROLLUP_PMC],0),MATCH(I$9,MMWR_RATING_STATE_ROLLUP_PMC[#Headers],0)),"ERROR"))</f>
        <v>72.454545454500007</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151</v>
      </c>
      <c r="D48" s="156">
        <f>IF($B48=" ","",IFERROR(INDEX(MMWR_RATING_STATE_ROLLUP_PMC[],MATCH($B48,MMWR_RATING_STATE_ROLLUP_PMC[MMWR_RATING_STATE_ROLLUP_PMC],0),MATCH(D$9,MMWR_RATING_STATE_ROLLUP_PMC[#Headers],0)),"ERROR"))</f>
        <v>77.039735099300003</v>
      </c>
      <c r="E48" s="157">
        <f>IF($B48=" ","",IFERROR(INDEX(MMWR_RATING_STATE_ROLLUP_PMC[],MATCH($B48,MMWR_RATING_STATE_ROLLUP_PMC[MMWR_RATING_STATE_ROLLUP_PMC],0),MATCH(E$9,MMWR_RATING_STATE_ROLLUP_PMC[#Headers],0))/$C48,"ERROR"))</f>
        <v>0.12582781456953643</v>
      </c>
      <c r="F48" s="155">
        <f>IF($B48=" ","",IFERROR(INDEX(MMWR_RATING_STATE_ROLLUP_PMC[],MATCH($B48,MMWR_RATING_STATE_ROLLUP_PMC[MMWR_RATING_STATE_ROLLUP_PMC],0),MATCH(F$9,MMWR_RATING_STATE_ROLLUP_PMC[#Headers],0)),"ERROR"))</f>
        <v>8</v>
      </c>
      <c r="G48" s="155">
        <f>IF($B48=" ","",IFERROR(INDEX(MMWR_RATING_STATE_ROLLUP_PMC[],MATCH($B48,MMWR_RATING_STATE_ROLLUP_PMC[MMWR_RATING_STATE_ROLLUP_PMC],0),MATCH(G$9,MMWR_RATING_STATE_ROLLUP_PMC[#Headers],0)),"ERROR"))</f>
        <v>8</v>
      </c>
      <c r="H48" s="156">
        <f>IF($B48=" ","",IFERROR(INDEX(MMWR_RATING_STATE_ROLLUP_PMC[],MATCH($B48,MMWR_RATING_STATE_ROLLUP_PMC[MMWR_RATING_STATE_ROLLUP_PMC],0),MATCH(H$9,MMWR_RATING_STATE_ROLLUP_PMC[#Headers],0)),"ERROR"))</f>
        <v>53.5</v>
      </c>
      <c r="I48" s="156">
        <f>IF($B48=" ","",IFERROR(INDEX(MMWR_RATING_STATE_ROLLUP_PMC[],MATCH($B48,MMWR_RATING_STATE_ROLLUP_PMC[MMWR_RATING_STATE_ROLLUP_PMC],0),MATCH(I$9,MMWR_RATING_STATE_ROLLUP_PMC[#Headers],0)),"ERROR"))</f>
        <v>53.5</v>
      </c>
      <c r="J48" s="42"/>
      <c r="K48" s="42"/>
      <c r="L48" s="42"/>
      <c r="M48" s="42"/>
      <c r="N48" s="28"/>
    </row>
    <row r="49" spans="1:14" x14ac:dyDescent="0.2">
      <c r="A49" s="25"/>
      <c r="B49" s="341" t="s">
        <v>1047</v>
      </c>
      <c r="C49" s="342"/>
      <c r="D49" s="342"/>
      <c r="E49" s="342"/>
      <c r="F49" s="342"/>
      <c r="G49" s="342"/>
      <c r="H49" s="342"/>
      <c r="I49" s="342"/>
      <c r="J49" s="342"/>
      <c r="K49" s="342"/>
      <c r="L49" s="342"/>
      <c r="M49" s="392"/>
      <c r="N49" s="28"/>
    </row>
    <row r="50" spans="1:14" x14ac:dyDescent="0.2">
      <c r="A50" s="25"/>
      <c r="B50" s="41" t="s">
        <v>1046</v>
      </c>
      <c r="C50" s="155">
        <f>IF($B50=" ","",IFERROR(INDEX(MMWR_RATING_STATE_ROLLUP_QST[],MATCH($B50,MMWR_RATING_STATE_ROLLUP_QST[MMWR_RATING_STATE_ROLLUP_QST],0),MATCH(C$9,MMWR_RATING_STATE_ROLLUP_QST[#Headers],0)),"ERROR"))</f>
        <v>9865</v>
      </c>
      <c r="D50" s="156">
        <f>IF($B50=" ","",IFERROR(INDEX(MMWR_RATING_STATE_ROLLUP_QST[],MATCH($B50,MMWR_RATING_STATE_ROLLUP_QST[MMWR_RATING_STATE_ROLLUP_QST],0),MATCH(D$9,MMWR_RATING_STATE_ROLLUP_QST[#Headers],0)),"ERROR"))</f>
        <v>64.185098834300007</v>
      </c>
      <c r="E50" s="157">
        <f>IF($B50=" ","",IFERROR(INDEX(MMWR_RATING_STATE_ROLLUP_QST[],MATCH($B50,MMWR_RATING_STATE_ROLLUP_QST[MMWR_RATING_STATE_ROLLUP_QST],0),MATCH(E$9,MMWR_RATING_STATE_ROLLUP_QST[#Headers],0))/$C50,"ERROR"))</f>
        <v>8.1398884946781547E-2</v>
      </c>
      <c r="F50" s="155">
        <f>IF($B50=" ","",IFERROR(INDEX(MMWR_RATING_STATE_ROLLUP_QST[],MATCH($B50,MMWR_RATING_STATE_ROLLUP_QST[MMWR_RATING_STATE_ROLLUP_QST],0),MATCH(F$9,MMWR_RATING_STATE_ROLLUP_QST[#Headers],0)),"ERROR"))</f>
        <v>150</v>
      </c>
      <c r="G50" s="155">
        <f>IF($B50=" ","",IFERROR(INDEX(MMWR_RATING_STATE_ROLLUP_QST[],MATCH($B50,MMWR_RATING_STATE_ROLLUP_QST[MMWR_RATING_STATE_ROLLUP_QST],0),MATCH(G$9,MMWR_RATING_STATE_ROLLUP_QST[#Headers],0)),"ERROR"))</f>
        <v>150</v>
      </c>
      <c r="H50" s="156">
        <f>IF($B50=" ","",IFERROR(INDEX(MMWR_RATING_STATE_ROLLUP_QST[],MATCH($B50,MMWR_RATING_STATE_ROLLUP_QST[MMWR_RATING_STATE_ROLLUP_QST],0),MATCH(H$9,MMWR_RATING_STATE_ROLLUP_QST[#Headers],0)),"ERROR"))</f>
        <v>137.54666666669999</v>
      </c>
      <c r="I50" s="156">
        <f>IF($B50=" ","",IFERROR(INDEX(MMWR_RATING_STATE_ROLLUP_QST[],MATCH($B50,MMWR_RATING_STATE_ROLLUP_QST[MMWR_RATING_STATE_ROLLUP_QST],0),MATCH(I$9,MMWR_RATING_STATE_ROLLUP_QST[#Headers],0)),"ERROR"))</f>
        <v>137.54666666669999</v>
      </c>
      <c r="J50" s="42"/>
      <c r="K50" s="42"/>
      <c r="L50" s="42"/>
      <c r="M50" s="42"/>
      <c r="N50" s="28"/>
    </row>
    <row r="51" spans="1:14" x14ac:dyDescent="0.2">
      <c r="A51" s="25"/>
      <c r="B51" s="250" t="str">
        <f>INDEX(DISTRICT_STATES[],MATCH($B$5,DISTRICT_RO[District],0),1)</f>
        <v>North Atlantic</v>
      </c>
      <c r="C51" s="155">
        <f>IF($B51=" ","",IFERROR(INDEX(MMWR_RATING_STATE_ROLLUP_QST[],MATCH($B51,MMWR_RATING_STATE_ROLLUP_QST[MMWR_RATING_STATE_ROLLUP_QST],0),MATCH(C$9,MMWR_RATING_STATE_ROLLUP_QST[#Headers],0)),"ERROR"))</f>
        <v>2395</v>
      </c>
      <c r="D51" s="156">
        <f>IF($B51=" ","",IFERROR(INDEX(MMWR_RATING_STATE_ROLLUP_QST[],MATCH($B51,MMWR_RATING_STATE_ROLLUP_QST[MMWR_RATING_STATE_ROLLUP_QST],0),MATCH(D$9,MMWR_RATING_STATE_ROLLUP_QST[#Headers],0)),"ERROR"))</f>
        <v>66.266388309000007</v>
      </c>
      <c r="E51" s="157">
        <f>IF($B51=" ","",IFERROR(INDEX(MMWR_RATING_STATE_ROLLUP_QST[],MATCH($B51,MMWR_RATING_STATE_ROLLUP_QST[MMWR_RATING_STATE_ROLLUP_QST],0),MATCH(E$9,MMWR_RATING_STATE_ROLLUP_QST[#Headers],0))/$C51,"ERROR"))</f>
        <v>7.5156576200417533E-2</v>
      </c>
      <c r="F51" s="155">
        <f>IF($B51=" ","",IFERROR(INDEX(MMWR_RATING_STATE_ROLLUP_QST[],MATCH($B51,MMWR_RATING_STATE_ROLLUP_QST[MMWR_RATING_STATE_ROLLUP_QST],0),MATCH(F$9,MMWR_RATING_STATE_ROLLUP_QST[#Headers],0)),"ERROR"))</f>
        <v>29</v>
      </c>
      <c r="G51" s="155">
        <f>IF($B51=" ","",IFERROR(INDEX(MMWR_RATING_STATE_ROLLUP_QST[],MATCH($B51,MMWR_RATING_STATE_ROLLUP_QST[MMWR_RATING_STATE_ROLLUP_QST],0),MATCH(G$9,MMWR_RATING_STATE_ROLLUP_QST[#Headers],0)),"ERROR"))</f>
        <v>29</v>
      </c>
      <c r="H51" s="156">
        <f>IF($B51=" ","",IFERROR(INDEX(MMWR_RATING_STATE_ROLLUP_QST[],MATCH($B51,MMWR_RATING_STATE_ROLLUP_QST[MMWR_RATING_STATE_ROLLUP_QST],0),MATCH(H$9,MMWR_RATING_STATE_ROLLUP_QST[#Headers],0)),"ERROR"))</f>
        <v>156.68965517239999</v>
      </c>
      <c r="I51" s="156">
        <f>IF($B51=" ","",IFERROR(INDEX(MMWR_RATING_STATE_ROLLUP_QST[],MATCH($B51,MMWR_RATING_STATE_ROLLUP_QST[MMWR_RATING_STATE_ROLLUP_QST],0),MATCH(I$9,MMWR_RATING_STATE_ROLLUP_QST[#Headers],0)),"ERROR"))</f>
        <v>156.68965517239999</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60</v>
      </c>
      <c r="D52" s="156">
        <f>IF($B52=" ","",IFERROR(INDEX(MMWR_RATING_STATE_ROLLUP_QST[],MATCH($B52,MMWR_RATING_STATE_ROLLUP_QST[MMWR_RATING_STATE_ROLLUP_QST],0),MATCH(D$9,MMWR_RATING_STATE_ROLLUP_QST[#Headers],0)),"ERROR"))</f>
        <v>56.45</v>
      </c>
      <c r="E52" s="157">
        <f>IF($B52=" ","",IFERROR(INDEX(MMWR_RATING_STATE_ROLLUP_QST[],MATCH($B52,MMWR_RATING_STATE_ROLLUP_QST[MMWR_RATING_STATE_ROLLUP_QST],0),MATCH(E$9,MMWR_RATING_STATE_ROLLUP_QST[#Headers],0))/$C52,"ERROR"))</f>
        <v>3.3333333333333333E-2</v>
      </c>
      <c r="F52" s="155">
        <f>IF($B52=" ","",IFERROR(INDEX(MMWR_RATING_STATE_ROLLUP_QST[],MATCH($B52,MMWR_RATING_STATE_ROLLUP_QST[MMWR_RATING_STATE_ROLLUP_QST],0),MATCH(F$9,MMWR_RATING_STATE_ROLLUP_QST[#Headers],0)),"ERROR"))</f>
        <v>1</v>
      </c>
      <c r="G52" s="155">
        <f>IF($B52=" ","",IFERROR(INDEX(MMWR_RATING_STATE_ROLLUP_QST[],MATCH($B52,MMWR_RATING_STATE_ROLLUP_QST[MMWR_RATING_STATE_ROLLUP_QST],0),MATCH(G$9,MMWR_RATING_STATE_ROLLUP_QST[#Headers],0)),"ERROR"))</f>
        <v>1</v>
      </c>
      <c r="H52" s="156">
        <f>IF($B52=" ","",IFERROR(INDEX(MMWR_RATING_STATE_ROLLUP_QST[],MATCH($B52,MMWR_RATING_STATE_ROLLUP_QST[MMWR_RATING_STATE_ROLLUP_QST],0),MATCH(H$9,MMWR_RATING_STATE_ROLLUP_QST[#Headers],0)),"ERROR"))</f>
        <v>74</v>
      </c>
      <c r="I52" s="156">
        <f>IF($B52=" ","",IFERROR(INDEX(MMWR_RATING_STATE_ROLLUP_QST[],MATCH($B52,MMWR_RATING_STATE_ROLLUP_QST[MMWR_RATING_STATE_ROLLUP_QST],0),MATCH(I$9,MMWR_RATING_STATE_ROLLUP_QST[#Headers],0)),"ERROR"))</f>
        <v>74</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22</v>
      </c>
      <c r="D53" s="156">
        <f>IF($B53=" ","",IFERROR(INDEX(MMWR_RATING_STATE_ROLLUP_QST[],MATCH($B53,MMWR_RATING_STATE_ROLLUP_QST[MMWR_RATING_STATE_ROLLUP_QST],0),MATCH(D$9,MMWR_RATING_STATE_ROLLUP_QST[#Headers],0)),"ERROR"))</f>
        <v>66.181818181799997</v>
      </c>
      <c r="E53" s="157">
        <f>IF($B53=" ","",IFERROR(INDEX(MMWR_RATING_STATE_ROLLUP_QST[],MATCH($B53,MMWR_RATING_STATE_ROLLUP_QST[MMWR_RATING_STATE_ROLLUP_QST],0),MATCH(E$9,MMWR_RATING_STATE_ROLLUP_QST[#Headers],0))/$C53,"ERROR"))</f>
        <v>0.13636363636363635</v>
      </c>
      <c r="F53" s="155">
        <f>IF($B53=" ","",IFERROR(INDEX(MMWR_RATING_STATE_ROLLUP_QST[],MATCH($B53,MMWR_RATING_STATE_ROLLUP_QST[MMWR_RATING_STATE_ROLLUP_QST],0),MATCH(F$9,MMWR_RATING_STATE_ROLLUP_QST[#Headers],0)),"ERROR"))</f>
        <v>0</v>
      </c>
      <c r="G53" s="155">
        <f>IF($B53=" ","",IFERROR(INDEX(MMWR_RATING_STATE_ROLLUP_QST[],MATCH($B53,MMWR_RATING_STATE_ROLLUP_QST[MMWR_RATING_STATE_ROLLUP_QST],0),MATCH(G$9,MMWR_RATING_STATE_ROLLUP_QST[#Headers],0)),"ERROR"))</f>
        <v>0</v>
      </c>
      <c r="H53" s="156">
        <f>IF($B53=" ","",IFERROR(INDEX(MMWR_RATING_STATE_ROLLUP_QST[],MATCH($B53,MMWR_RATING_STATE_ROLLUP_QST[MMWR_RATING_STATE_ROLLUP_QST],0),MATCH(H$9,MMWR_RATING_STATE_ROLLUP_QST[#Headers],0)),"ERROR"))</f>
        <v>0</v>
      </c>
      <c r="I53" s="156">
        <f>IF($B53=" ","",IFERROR(INDEX(MMWR_RATING_STATE_ROLLUP_QST[],MATCH($B53,MMWR_RATING_STATE_ROLLUP_QST[MMWR_RATING_STATE_ROLLUP_QST],0),MATCH(I$9,MMWR_RATING_STATE_ROLLUP_QST[#Headers],0)),"ERROR"))</f>
        <v>0</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20</v>
      </c>
      <c r="D54" s="156">
        <f>IF($B54=" ","",IFERROR(INDEX(MMWR_RATING_STATE_ROLLUP_QST[],MATCH($B54,MMWR_RATING_STATE_ROLLUP_QST[MMWR_RATING_STATE_ROLLUP_QST],0),MATCH(D$9,MMWR_RATING_STATE_ROLLUP_QST[#Headers],0)),"ERROR"))</f>
        <v>55.45</v>
      </c>
      <c r="E54" s="157">
        <f>IF($B54=" ","",IFERROR(INDEX(MMWR_RATING_STATE_ROLLUP_QST[],MATCH($B54,MMWR_RATING_STATE_ROLLUP_QST[MMWR_RATING_STATE_ROLLUP_QST],0),MATCH(E$9,MMWR_RATING_STATE_ROLLUP_QST[#Headers],0))/$C54,"ERROR"))</f>
        <v>0</v>
      </c>
      <c r="F54" s="155">
        <f>IF($B54=" ","",IFERROR(INDEX(MMWR_RATING_STATE_ROLLUP_QST[],MATCH($B54,MMWR_RATING_STATE_ROLLUP_QST[MMWR_RATING_STATE_ROLLUP_QST],0),MATCH(F$9,MMWR_RATING_STATE_ROLLUP_QST[#Headers],0)),"ERROR"))</f>
        <v>1</v>
      </c>
      <c r="G54" s="155">
        <f>IF($B54=" ","",IFERROR(INDEX(MMWR_RATING_STATE_ROLLUP_QST[],MATCH($B54,MMWR_RATING_STATE_ROLLUP_QST[MMWR_RATING_STATE_ROLLUP_QST],0),MATCH(G$9,MMWR_RATING_STATE_ROLLUP_QST[#Headers],0)),"ERROR"))</f>
        <v>1</v>
      </c>
      <c r="H54" s="156">
        <f>IF($B54=" ","",IFERROR(INDEX(MMWR_RATING_STATE_ROLLUP_QST[],MATCH($B54,MMWR_RATING_STATE_ROLLUP_QST[MMWR_RATING_STATE_ROLLUP_QST],0),MATCH(H$9,MMWR_RATING_STATE_ROLLUP_QST[#Headers],0)),"ERROR"))</f>
        <v>142</v>
      </c>
      <c r="I54" s="156">
        <f>IF($B54=" ","",IFERROR(INDEX(MMWR_RATING_STATE_ROLLUP_QST[],MATCH($B54,MMWR_RATING_STATE_ROLLUP_QST[MMWR_RATING_STATE_ROLLUP_QST],0),MATCH(I$9,MMWR_RATING_STATE_ROLLUP_QST[#Headers],0)),"ERROR"))</f>
        <v>142</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21</v>
      </c>
      <c r="D55" s="156">
        <f>IF($B55=" ","",IFERROR(INDEX(MMWR_RATING_STATE_ROLLUP_QST[],MATCH($B55,MMWR_RATING_STATE_ROLLUP_QST[MMWR_RATING_STATE_ROLLUP_QST],0),MATCH(D$9,MMWR_RATING_STATE_ROLLUP_QST[#Headers],0)),"ERROR"))</f>
        <v>60.952380952399999</v>
      </c>
      <c r="E55" s="157">
        <f>IF($B55=" ","",IFERROR(INDEX(MMWR_RATING_STATE_ROLLUP_QST[],MATCH($B55,MMWR_RATING_STATE_ROLLUP_QST[MMWR_RATING_STATE_ROLLUP_QST],0),MATCH(E$9,MMWR_RATING_STATE_ROLLUP_QST[#Headers],0))/$C55,"ERROR"))</f>
        <v>9.5238095238095233E-2</v>
      </c>
      <c r="F55" s="155">
        <f>IF($B55=" ","",IFERROR(INDEX(MMWR_RATING_STATE_ROLLUP_QST[],MATCH($B55,MMWR_RATING_STATE_ROLLUP_QST[MMWR_RATING_STATE_ROLLUP_QST],0),MATCH(F$9,MMWR_RATING_STATE_ROLLUP_QST[#Headers],0)),"ERROR"))</f>
        <v>1</v>
      </c>
      <c r="G55" s="155">
        <f>IF($B55=" ","",IFERROR(INDEX(MMWR_RATING_STATE_ROLLUP_QST[],MATCH($B55,MMWR_RATING_STATE_ROLLUP_QST[MMWR_RATING_STATE_ROLLUP_QST],0),MATCH(G$9,MMWR_RATING_STATE_ROLLUP_QST[#Headers],0)),"ERROR"))</f>
        <v>1</v>
      </c>
      <c r="H55" s="156">
        <f>IF($B55=" ","",IFERROR(INDEX(MMWR_RATING_STATE_ROLLUP_QST[],MATCH($B55,MMWR_RATING_STATE_ROLLUP_QST[MMWR_RATING_STATE_ROLLUP_QST],0),MATCH(H$9,MMWR_RATING_STATE_ROLLUP_QST[#Headers],0)),"ERROR"))</f>
        <v>173</v>
      </c>
      <c r="I55" s="156">
        <f>IF($B55=" ","",IFERROR(INDEX(MMWR_RATING_STATE_ROLLUP_QST[],MATCH($B55,MMWR_RATING_STATE_ROLLUP_QST[MMWR_RATING_STATE_ROLLUP_QST],0),MATCH(I$9,MMWR_RATING_STATE_ROLLUP_QST[#Headers],0)),"ERROR"))</f>
        <v>173</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259</v>
      </c>
      <c r="D56" s="156">
        <f>IF($B56=" ","",IFERROR(INDEX(MMWR_RATING_STATE_ROLLUP_QST[],MATCH($B56,MMWR_RATING_STATE_ROLLUP_QST[MMWR_RATING_STATE_ROLLUP_QST],0),MATCH(D$9,MMWR_RATING_STATE_ROLLUP_QST[#Headers],0)),"ERROR"))</f>
        <v>65.0694980695</v>
      </c>
      <c r="E56" s="157">
        <f>IF($B56=" ","",IFERROR(INDEX(MMWR_RATING_STATE_ROLLUP_QST[],MATCH($B56,MMWR_RATING_STATE_ROLLUP_QST[MMWR_RATING_STATE_ROLLUP_QST],0),MATCH(E$9,MMWR_RATING_STATE_ROLLUP_QST[#Headers],0))/$C56,"ERROR"))</f>
        <v>5.4054054054054057E-2</v>
      </c>
      <c r="F56" s="155">
        <f>IF($B56=" ","",IFERROR(INDEX(MMWR_RATING_STATE_ROLLUP_QST[],MATCH($B56,MMWR_RATING_STATE_ROLLUP_QST[MMWR_RATING_STATE_ROLLUP_QST],0),MATCH(F$9,MMWR_RATING_STATE_ROLLUP_QST[#Headers],0)),"ERROR"))</f>
        <v>4</v>
      </c>
      <c r="G56" s="155">
        <f>IF($B56=" ","",IFERROR(INDEX(MMWR_RATING_STATE_ROLLUP_QST[],MATCH($B56,MMWR_RATING_STATE_ROLLUP_QST[MMWR_RATING_STATE_ROLLUP_QST],0),MATCH(G$9,MMWR_RATING_STATE_ROLLUP_QST[#Headers],0)),"ERROR"))</f>
        <v>4</v>
      </c>
      <c r="H56" s="156">
        <f>IF($B56=" ","",IFERROR(INDEX(MMWR_RATING_STATE_ROLLUP_QST[],MATCH($B56,MMWR_RATING_STATE_ROLLUP_QST[MMWR_RATING_STATE_ROLLUP_QST],0),MATCH(H$9,MMWR_RATING_STATE_ROLLUP_QST[#Headers],0)),"ERROR"))</f>
        <v>140</v>
      </c>
      <c r="I56" s="156">
        <f>IF($B56=" ","",IFERROR(INDEX(MMWR_RATING_STATE_ROLLUP_QST[],MATCH($B56,MMWR_RATING_STATE_ROLLUP_QST[MMWR_RATING_STATE_ROLLUP_QST],0),MATCH(I$9,MMWR_RATING_STATE_ROLLUP_QST[#Headers],0)),"ERROR"))</f>
        <v>140</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106</v>
      </c>
      <c r="D57" s="156">
        <f>IF($B57=" ","",IFERROR(INDEX(MMWR_RATING_STATE_ROLLUP_QST[],MATCH($B57,MMWR_RATING_STATE_ROLLUP_QST[MMWR_RATING_STATE_ROLLUP_QST],0),MATCH(D$9,MMWR_RATING_STATE_ROLLUP_QST[#Headers],0)),"ERROR"))</f>
        <v>69.688679245299994</v>
      </c>
      <c r="E57" s="157">
        <f>IF($B57=" ","",IFERROR(INDEX(MMWR_RATING_STATE_ROLLUP_QST[],MATCH($B57,MMWR_RATING_STATE_ROLLUP_QST[MMWR_RATING_STATE_ROLLUP_QST],0),MATCH(E$9,MMWR_RATING_STATE_ROLLUP_QST[#Headers],0))/$C57,"ERROR"))</f>
        <v>7.5471698113207544E-2</v>
      </c>
      <c r="F57" s="155">
        <f>IF($B57=" ","",IFERROR(INDEX(MMWR_RATING_STATE_ROLLUP_QST[],MATCH($B57,MMWR_RATING_STATE_ROLLUP_QST[MMWR_RATING_STATE_ROLLUP_QST],0),MATCH(F$9,MMWR_RATING_STATE_ROLLUP_QST[#Headers],0)),"ERROR"))</f>
        <v>0</v>
      </c>
      <c r="G57" s="155">
        <f>IF($B57=" ","",IFERROR(INDEX(MMWR_RATING_STATE_ROLLUP_QST[],MATCH($B57,MMWR_RATING_STATE_ROLLUP_QST[MMWR_RATING_STATE_ROLLUP_QST],0),MATCH(G$9,MMWR_RATING_STATE_ROLLUP_QST[#Headers],0)),"ERROR"))</f>
        <v>0</v>
      </c>
      <c r="H57" s="156">
        <f>IF($B57=" ","",IFERROR(INDEX(MMWR_RATING_STATE_ROLLUP_QST[],MATCH($B57,MMWR_RATING_STATE_ROLLUP_QST[MMWR_RATING_STATE_ROLLUP_QST],0),MATCH(H$9,MMWR_RATING_STATE_ROLLUP_QST[#Headers],0)),"ERROR"))</f>
        <v>0</v>
      </c>
      <c r="I57" s="156">
        <f>IF($B57=" ","",IFERROR(INDEX(MMWR_RATING_STATE_ROLLUP_QST[],MATCH($B57,MMWR_RATING_STATE_ROLLUP_QST[MMWR_RATING_STATE_ROLLUP_QST],0),MATCH(I$9,MMWR_RATING_STATE_ROLLUP_QST[#Headers],0)),"ERROR"))</f>
        <v>0</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21</v>
      </c>
      <c r="D58" s="156">
        <f>IF($B58=" ","",IFERROR(INDEX(MMWR_RATING_STATE_ROLLUP_QST[],MATCH($B58,MMWR_RATING_STATE_ROLLUP_QST[MMWR_RATING_STATE_ROLLUP_QST],0),MATCH(D$9,MMWR_RATING_STATE_ROLLUP_QST[#Headers],0)),"ERROR"))</f>
        <v>47.571428571399998</v>
      </c>
      <c r="E58" s="157">
        <f>IF($B58=" ","",IFERROR(INDEX(MMWR_RATING_STATE_ROLLUP_QST[],MATCH($B58,MMWR_RATING_STATE_ROLLUP_QST[MMWR_RATING_STATE_ROLLUP_QST],0),MATCH(E$9,MMWR_RATING_STATE_ROLLUP_QST[#Headers],0))/$C58,"ERROR"))</f>
        <v>4.7619047619047616E-2</v>
      </c>
      <c r="F58" s="155">
        <f>IF($B58=" ","",IFERROR(INDEX(MMWR_RATING_STATE_ROLLUP_QST[],MATCH($B58,MMWR_RATING_STATE_ROLLUP_QST[MMWR_RATING_STATE_ROLLUP_QST],0),MATCH(F$9,MMWR_RATING_STATE_ROLLUP_QST[#Headers],0)),"ERROR"))</f>
        <v>0</v>
      </c>
      <c r="G58" s="155">
        <f>IF($B58=" ","",IFERROR(INDEX(MMWR_RATING_STATE_ROLLUP_QST[],MATCH($B58,MMWR_RATING_STATE_ROLLUP_QST[MMWR_RATING_STATE_ROLLUP_QST],0),MATCH(G$9,MMWR_RATING_STATE_ROLLUP_QST[#Headers],0)),"ERROR"))</f>
        <v>0</v>
      </c>
      <c r="H58" s="156">
        <f>IF($B58=" ","",IFERROR(INDEX(MMWR_RATING_STATE_ROLLUP_QST[],MATCH($B58,MMWR_RATING_STATE_ROLLUP_QST[MMWR_RATING_STATE_ROLLUP_QST],0),MATCH(H$9,MMWR_RATING_STATE_ROLLUP_QST[#Headers],0)),"ERROR"))</f>
        <v>0</v>
      </c>
      <c r="I58" s="156">
        <f>IF($B58=" ","",IFERROR(INDEX(MMWR_RATING_STATE_ROLLUP_QST[],MATCH($B58,MMWR_RATING_STATE_ROLLUP_QST[MMWR_RATING_STATE_ROLLUP_QST],0),MATCH(I$9,MMWR_RATING_STATE_ROLLUP_QST[#Headers],0)),"ERROR"))</f>
        <v>0</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105</v>
      </c>
      <c r="D59" s="156">
        <f>IF($B59=" ","",IFERROR(INDEX(MMWR_RATING_STATE_ROLLUP_QST[],MATCH($B59,MMWR_RATING_STATE_ROLLUP_QST[MMWR_RATING_STATE_ROLLUP_QST],0),MATCH(D$9,MMWR_RATING_STATE_ROLLUP_QST[#Headers],0)),"ERROR"))</f>
        <v>62.4476190476</v>
      </c>
      <c r="E59" s="157">
        <f>IF($B59=" ","",IFERROR(INDEX(MMWR_RATING_STATE_ROLLUP_QST[],MATCH($B59,MMWR_RATING_STATE_ROLLUP_QST[MMWR_RATING_STATE_ROLLUP_QST],0),MATCH(E$9,MMWR_RATING_STATE_ROLLUP_QST[#Headers],0))/$C59,"ERROR"))</f>
        <v>5.7142857142857141E-2</v>
      </c>
      <c r="F59" s="155">
        <f>IF($B59=" ","",IFERROR(INDEX(MMWR_RATING_STATE_ROLLUP_QST[],MATCH($B59,MMWR_RATING_STATE_ROLLUP_QST[MMWR_RATING_STATE_ROLLUP_QST],0),MATCH(F$9,MMWR_RATING_STATE_ROLLUP_QST[#Headers],0)),"ERROR"))</f>
        <v>0</v>
      </c>
      <c r="G59" s="155">
        <f>IF($B59=" ","",IFERROR(INDEX(MMWR_RATING_STATE_ROLLUP_QST[],MATCH($B59,MMWR_RATING_STATE_ROLLUP_QST[MMWR_RATING_STATE_ROLLUP_QST],0),MATCH(G$9,MMWR_RATING_STATE_ROLLUP_QST[#Headers],0)),"ERROR"))</f>
        <v>0</v>
      </c>
      <c r="H59" s="156">
        <f>IF($B59=" ","",IFERROR(INDEX(MMWR_RATING_STATE_ROLLUP_QST[],MATCH($B59,MMWR_RATING_STATE_ROLLUP_QST[MMWR_RATING_STATE_ROLLUP_QST],0),MATCH(H$9,MMWR_RATING_STATE_ROLLUP_QST[#Headers],0)),"ERROR"))</f>
        <v>0</v>
      </c>
      <c r="I59" s="156">
        <f>IF($B59=" ","",IFERROR(INDEX(MMWR_RATING_STATE_ROLLUP_QST[],MATCH($B59,MMWR_RATING_STATE_ROLLUP_QST[MMWR_RATING_STATE_ROLLUP_QST],0),MATCH(I$9,MMWR_RATING_STATE_ROLLUP_QST[#Headers],0)),"ERROR"))</f>
        <v>0</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249</v>
      </c>
      <c r="D60" s="156">
        <f>IF($B60=" ","",IFERROR(INDEX(MMWR_RATING_STATE_ROLLUP_QST[],MATCH($B60,MMWR_RATING_STATE_ROLLUP_QST[MMWR_RATING_STATE_ROLLUP_QST],0),MATCH(D$9,MMWR_RATING_STATE_ROLLUP_QST[#Headers],0)),"ERROR"))</f>
        <v>59.317269076300001</v>
      </c>
      <c r="E60" s="157">
        <f>IF($B60=" ","",IFERROR(INDEX(MMWR_RATING_STATE_ROLLUP_QST[],MATCH($B60,MMWR_RATING_STATE_ROLLUP_QST[MMWR_RATING_STATE_ROLLUP_QST],0),MATCH(E$9,MMWR_RATING_STATE_ROLLUP_QST[#Headers],0))/$C60,"ERROR"))</f>
        <v>5.6224899598393573E-2</v>
      </c>
      <c r="F60" s="155">
        <f>IF($B60=" ","",IFERROR(INDEX(MMWR_RATING_STATE_ROLLUP_QST[],MATCH($B60,MMWR_RATING_STATE_ROLLUP_QST[MMWR_RATING_STATE_ROLLUP_QST],0),MATCH(F$9,MMWR_RATING_STATE_ROLLUP_QST[#Headers],0)),"ERROR"))</f>
        <v>3</v>
      </c>
      <c r="G60" s="155">
        <f>IF($B60=" ","",IFERROR(INDEX(MMWR_RATING_STATE_ROLLUP_QST[],MATCH($B60,MMWR_RATING_STATE_ROLLUP_QST[MMWR_RATING_STATE_ROLLUP_QST],0),MATCH(G$9,MMWR_RATING_STATE_ROLLUP_QST[#Headers],0)),"ERROR"))</f>
        <v>3</v>
      </c>
      <c r="H60" s="156">
        <f>IF($B60=" ","",IFERROR(INDEX(MMWR_RATING_STATE_ROLLUP_QST[],MATCH($B60,MMWR_RATING_STATE_ROLLUP_QST[MMWR_RATING_STATE_ROLLUP_QST],0),MATCH(H$9,MMWR_RATING_STATE_ROLLUP_QST[#Headers],0)),"ERROR"))</f>
        <v>129.6666666667</v>
      </c>
      <c r="I60" s="156">
        <f>IF($B60=" ","",IFERROR(INDEX(MMWR_RATING_STATE_ROLLUP_QST[],MATCH($B60,MMWR_RATING_STATE_ROLLUP_QST[MMWR_RATING_STATE_ROLLUP_QST],0),MATCH(I$9,MMWR_RATING_STATE_ROLLUP_QST[#Headers],0)),"ERROR"))</f>
        <v>129.6666666667</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624</v>
      </c>
      <c r="D61" s="156">
        <f>IF($B61=" ","",IFERROR(INDEX(MMWR_RATING_STATE_ROLLUP_QST[],MATCH($B61,MMWR_RATING_STATE_ROLLUP_QST[MMWR_RATING_STATE_ROLLUP_QST],0),MATCH(D$9,MMWR_RATING_STATE_ROLLUP_QST[#Headers],0)),"ERROR"))</f>
        <v>68.108974359000001</v>
      </c>
      <c r="E61" s="157">
        <f>IF($B61=" ","",IFERROR(INDEX(MMWR_RATING_STATE_ROLLUP_QST[],MATCH($B61,MMWR_RATING_STATE_ROLLUP_QST[MMWR_RATING_STATE_ROLLUP_QST],0),MATCH(E$9,MMWR_RATING_STATE_ROLLUP_QST[#Headers],0))/$C61,"ERROR"))</f>
        <v>7.6923076923076927E-2</v>
      </c>
      <c r="F61" s="155">
        <f>IF($B61=" ","",IFERROR(INDEX(MMWR_RATING_STATE_ROLLUP_QST[],MATCH($B61,MMWR_RATING_STATE_ROLLUP_QST[MMWR_RATING_STATE_ROLLUP_QST],0),MATCH(F$9,MMWR_RATING_STATE_ROLLUP_QST[#Headers],0)),"ERROR"))</f>
        <v>5</v>
      </c>
      <c r="G61" s="155">
        <f>IF($B61=" ","",IFERROR(INDEX(MMWR_RATING_STATE_ROLLUP_QST[],MATCH($B61,MMWR_RATING_STATE_ROLLUP_QST[MMWR_RATING_STATE_ROLLUP_QST],0),MATCH(G$9,MMWR_RATING_STATE_ROLLUP_QST[#Headers],0)),"ERROR"))</f>
        <v>5</v>
      </c>
      <c r="H61" s="156">
        <f>IF($B61=" ","",IFERROR(INDEX(MMWR_RATING_STATE_ROLLUP_QST[],MATCH($B61,MMWR_RATING_STATE_ROLLUP_QST[MMWR_RATING_STATE_ROLLUP_QST],0),MATCH(H$9,MMWR_RATING_STATE_ROLLUP_QST[#Headers],0)),"ERROR"))</f>
        <v>152</v>
      </c>
      <c r="I61" s="156">
        <f>IF($B61=" ","",IFERROR(INDEX(MMWR_RATING_STATE_ROLLUP_QST[],MATCH($B61,MMWR_RATING_STATE_ROLLUP_QST[MMWR_RATING_STATE_ROLLUP_QST],0),MATCH(I$9,MMWR_RATING_STATE_ROLLUP_QST[#Headers],0)),"ERROR"))</f>
        <v>152</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199</v>
      </c>
      <c r="D62" s="156">
        <f>IF($B62=" ","",IFERROR(INDEX(MMWR_RATING_STATE_ROLLUP_QST[],MATCH($B62,MMWR_RATING_STATE_ROLLUP_QST[MMWR_RATING_STATE_ROLLUP_QST],0),MATCH(D$9,MMWR_RATING_STATE_ROLLUP_QST[#Headers],0)),"ERROR"))</f>
        <v>68.246231155800004</v>
      </c>
      <c r="E62" s="157">
        <f>IF($B62=" ","",IFERROR(INDEX(MMWR_RATING_STATE_ROLLUP_QST[],MATCH($B62,MMWR_RATING_STATE_ROLLUP_QST[MMWR_RATING_STATE_ROLLUP_QST],0),MATCH(E$9,MMWR_RATING_STATE_ROLLUP_QST[#Headers],0))/$C62,"ERROR"))</f>
        <v>6.030150753768844E-2</v>
      </c>
      <c r="F62" s="155">
        <f>IF($B62=" ","",IFERROR(INDEX(MMWR_RATING_STATE_ROLLUP_QST[],MATCH($B62,MMWR_RATING_STATE_ROLLUP_QST[MMWR_RATING_STATE_ROLLUP_QST],0),MATCH(F$9,MMWR_RATING_STATE_ROLLUP_QST[#Headers],0)),"ERROR"))</f>
        <v>2</v>
      </c>
      <c r="G62" s="155">
        <f>IF($B62=" ","",IFERROR(INDEX(MMWR_RATING_STATE_ROLLUP_QST[],MATCH($B62,MMWR_RATING_STATE_ROLLUP_QST[MMWR_RATING_STATE_ROLLUP_QST],0),MATCH(G$9,MMWR_RATING_STATE_ROLLUP_QST[#Headers],0)),"ERROR"))</f>
        <v>2</v>
      </c>
      <c r="H62" s="156">
        <f>IF($B62=" ","",IFERROR(INDEX(MMWR_RATING_STATE_ROLLUP_QST[],MATCH($B62,MMWR_RATING_STATE_ROLLUP_QST[MMWR_RATING_STATE_ROLLUP_QST],0),MATCH(H$9,MMWR_RATING_STATE_ROLLUP_QST[#Headers],0)),"ERROR"))</f>
        <v>166</v>
      </c>
      <c r="I62" s="156">
        <f>IF($B62=" ","",IFERROR(INDEX(MMWR_RATING_STATE_ROLLUP_QST[],MATCH($B62,MMWR_RATING_STATE_ROLLUP_QST[MMWR_RATING_STATE_ROLLUP_QST],0),MATCH(I$9,MMWR_RATING_STATE_ROLLUP_QST[#Headers],0)),"ERROR"))</f>
        <v>166</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13</v>
      </c>
      <c r="D63" s="156">
        <f>IF($B63=" ","",IFERROR(INDEX(MMWR_RATING_STATE_ROLLUP_QST[],MATCH($B63,MMWR_RATING_STATE_ROLLUP_QST[MMWR_RATING_STATE_ROLLUP_QST],0),MATCH(D$9,MMWR_RATING_STATE_ROLLUP_QST[#Headers],0)),"ERROR"))</f>
        <v>67.384615384599996</v>
      </c>
      <c r="E63" s="157">
        <f>IF($B63=" ","",IFERROR(INDEX(MMWR_RATING_STATE_ROLLUP_QST[],MATCH($B63,MMWR_RATING_STATE_ROLLUP_QST[MMWR_RATING_STATE_ROLLUP_QST],0),MATCH(E$9,MMWR_RATING_STATE_ROLLUP_QST[#Headers],0))/$C63,"ERROR"))</f>
        <v>0</v>
      </c>
      <c r="F63" s="155">
        <f>IF($B63=" ","",IFERROR(INDEX(MMWR_RATING_STATE_ROLLUP_QST[],MATCH($B63,MMWR_RATING_STATE_ROLLUP_QST[MMWR_RATING_STATE_ROLLUP_QST],0),MATCH(F$9,MMWR_RATING_STATE_ROLLUP_QST[#Headers],0)),"ERROR"))</f>
        <v>0</v>
      </c>
      <c r="G63" s="155">
        <f>IF($B63=" ","",IFERROR(INDEX(MMWR_RATING_STATE_ROLLUP_QST[],MATCH($B63,MMWR_RATING_STATE_ROLLUP_QST[MMWR_RATING_STATE_ROLLUP_QST],0),MATCH(G$9,MMWR_RATING_STATE_ROLLUP_QST[#Headers],0)),"ERROR"))</f>
        <v>0</v>
      </c>
      <c r="H63" s="156">
        <f>IF($B63=" ","",IFERROR(INDEX(MMWR_RATING_STATE_ROLLUP_QST[],MATCH($B63,MMWR_RATING_STATE_ROLLUP_QST[MMWR_RATING_STATE_ROLLUP_QST],0),MATCH(H$9,MMWR_RATING_STATE_ROLLUP_QST[#Headers],0)),"ERROR"))</f>
        <v>0</v>
      </c>
      <c r="I63" s="156">
        <f>IF($B63=" ","",IFERROR(INDEX(MMWR_RATING_STATE_ROLLUP_QST[],MATCH($B63,MMWR_RATING_STATE_ROLLUP_QST[MMWR_RATING_STATE_ROLLUP_QST],0),MATCH(I$9,MMWR_RATING_STATE_ROLLUP_QST[#Headers],0)),"ERROR"))</f>
        <v>0</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7</v>
      </c>
      <c r="D64" s="156">
        <f>IF($B64=" ","",IFERROR(INDEX(MMWR_RATING_STATE_ROLLUP_QST[],MATCH($B64,MMWR_RATING_STATE_ROLLUP_QST[MMWR_RATING_STATE_ROLLUP_QST],0),MATCH(D$9,MMWR_RATING_STATE_ROLLUP_QST[#Headers],0)),"ERROR"))</f>
        <v>42</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0</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0</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665</v>
      </c>
      <c r="D65" s="156">
        <f>IF($B65=" ","",IFERROR(INDEX(MMWR_RATING_STATE_ROLLUP_QST[],MATCH($B65,MMWR_RATING_STATE_ROLLUP_QST[MMWR_RATING_STATE_ROLLUP_QST],0),MATCH(D$9,MMWR_RATING_STATE_ROLLUP_QST[#Headers],0)),"ERROR"))</f>
        <v>69.425563909800005</v>
      </c>
      <c r="E65" s="157">
        <f>IF($B65=" ","",IFERROR(INDEX(MMWR_RATING_STATE_ROLLUP_QST[],MATCH($B65,MMWR_RATING_STATE_ROLLUP_QST[MMWR_RATING_STATE_ROLLUP_QST],0),MATCH(E$9,MMWR_RATING_STATE_ROLLUP_QST[#Headers],0))/$C65,"ERROR"))</f>
        <v>0.10075187969924812</v>
      </c>
      <c r="F65" s="155">
        <f>IF($B65=" ","",IFERROR(INDEX(MMWR_RATING_STATE_ROLLUP_QST[],MATCH($B65,MMWR_RATING_STATE_ROLLUP_QST[MMWR_RATING_STATE_ROLLUP_QST],0),MATCH(F$9,MMWR_RATING_STATE_ROLLUP_QST[#Headers],0)),"ERROR"))</f>
        <v>12</v>
      </c>
      <c r="G65" s="155">
        <f>IF($B65=" ","",IFERROR(INDEX(MMWR_RATING_STATE_ROLLUP_QST[],MATCH($B65,MMWR_RATING_STATE_ROLLUP_QST[MMWR_RATING_STATE_ROLLUP_QST],0),MATCH(G$9,MMWR_RATING_STATE_ROLLUP_QST[#Headers],0)),"ERROR"))</f>
        <v>12</v>
      </c>
      <c r="H65" s="156">
        <f>IF($B65=" ","",IFERROR(INDEX(MMWR_RATING_STATE_ROLLUP_QST[],MATCH($B65,MMWR_RATING_STATE_ROLLUP_QST[MMWR_RATING_STATE_ROLLUP_QST],0),MATCH(H$9,MMWR_RATING_STATE_ROLLUP_QST[#Headers],0)),"ERROR"))</f>
        <v>176.1666666667</v>
      </c>
      <c r="I65" s="156">
        <f>IF($B65=" ","",IFERROR(INDEX(MMWR_RATING_STATE_ROLLUP_QST[],MATCH($B65,MMWR_RATING_STATE_ROLLUP_QST[MMWR_RATING_STATE_ROLLUP_QST],0),MATCH(I$9,MMWR_RATING_STATE_ROLLUP_QST[#Headers],0)),"ERROR"))</f>
        <v>176.1666666667</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24</v>
      </c>
      <c r="D66" s="156">
        <f>IF($B66=" ","",IFERROR(INDEX(MMWR_RATING_STATE_ROLLUP_QST[],MATCH($B66,MMWR_RATING_STATE_ROLLUP_QST[MMWR_RATING_STATE_ROLLUP_QST],0),MATCH(D$9,MMWR_RATING_STATE_ROLLUP_QST[#Headers],0)),"ERROR"))</f>
        <v>62.125</v>
      </c>
      <c r="E66" s="157">
        <f>IF($B66=" ","",IFERROR(INDEX(MMWR_RATING_STATE_ROLLUP_QST[],MATCH($B66,MMWR_RATING_STATE_ROLLUP_QST[MMWR_RATING_STATE_ROLLUP_QST],0),MATCH(E$9,MMWR_RATING_STATE_ROLLUP_QST[#Headers],0))/$C66,"ERROR"))</f>
        <v>0.125</v>
      </c>
      <c r="F66" s="155">
        <f>IF($B66=" ","",IFERROR(INDEX(MMWR_RATING_STATE_ROLLUP_QST[],MATCH($B66,MMWR_RATING_STATE_ROLLUP_QST[MMWR_RATING_STATE_ROLLUP_QST],0),MATCH(F$9,MMWR_RATING_STATE_ROLLUP_QST[#Headers],0)),"ERROR"))</f>
        <v>0</v>
      </c>
      <c r="G66" s="155">
        <f>IF($B66=" ","",IFERROR(INDEX(MMWR_RATING_STATE_ROLLUP_QST[],MATCH($B66,MMWR_RATING_STATE_ROLLUP_QST[MMWR_RATING_STATE_ROLLUP_QST],0),MATCH(G$9,MMWR_RATING_STATE_ROLLUP_QST[#Headers],0)),"ERROR"))</f>
        <v>0</v>
      </c>
      <c r="H66" s="156">
        <f>IF($B66=" ","",IFERROR(INDEX(MMWR_RATING_STATE_ROLLUP_QST[],MATCH($B66,MMWR_RATING_STATE_ROLLUP_QST[MMWR_RATING_STATE_ROLLUP_QST],0),MATCH(H$9,MMWR_RATING_STATE_ROLLUP_QST[#Headers],0)),"ERROR"))</f>
        <v>0</v>
      </c>
      <c r="I66" s="156">
        <f>IF($B66=" ","",IFERROR(INDEX(MMWR_RATING_STATE_ROLLUP_QST[],MATCH($B66,MMWR_RATING_STATE_ROLLUP_QST[MMWR_RATING_STATE_ROLLUP_QST],0),MATCH(I$9,MMWR_RATING_STATE_ROLLUP_QST[#Headers],0)),"ERROR"))</f>
        <v>0</v>
      </c>
      <c r="J66" s="42"/>
      <c r="K66" s="42"/>
      <c r="L66" s="42"/>
      <c r="M66" s="42"/>
      <c r="N66" s="28"/>
    </row>
    <row r="67" spans="1:14" x14ac:dyDescent="0.2">
      <c r="A67" s="25"/>
      <c r="B67" s="341" t="s">
        <v>1048</v>
      </c>
      <c r="C67" s="342"/>
      <c r="D67" s="342"/>
      <c r="E67" s="342"/>
      <c r="F67" s="342"/>
      <c r="G67" s="342"/>
      <c r="H67" s="342"/>
      <c r="I67" s="342"/>
      <c r="J67" s="342"/>
      <c r="K67" s="342"/>
      <c r="L67" s="342"/>
      <c r="M67" s="392"/>
      <c r="N67" s="28"/>
    </row>
    <row r="68" spans="1:14" ht="25.5" x14ac:dyDescent="0.2">
      <c r="A68" s="25"/>
      <c r="B68" s="252" t="s">
        <v>1044</v>
      </c>
      <c r="C68" s="155">
        <f>IF($B68=" ","",IFERROR(INDEX(MMWR_RATING_STATE_ROLLUP_BDD[],MATCH($B68,MMWR_RATING_STATE_ROLLUP_BDD[MMWR_RATING_STATE_ROLLUP_BDD],0),MATCH(C$9,MMWR_RATING_STATE_ROLLUP_BDD[#Headers],0)),"ERROR"))</f>
        <v>11665</v>
      </c>
      <c r="D68" s="156">
        <f>IF($B68=" ","",IFERROR(INDEX(MMWR_RATING_STATE_ROLLUP_BDD[],MATCH($B68,MMWR_RATING_STATE_ROLLUP_BDD[MMWR_RATING_STATE_ROLLUP_BDD],0),MATCH(D$9,MMWR_RATING_STATE_ROLLUP_BDD[#Headers],0)),"ERROR"))</f>
        <v>61.260008572700002</v>
      </c>
      <c r="E68" s="157">
        <f>IF($B68=" ","",IFERROR(INDEX(MMWR_RATING_STATE_ROLLUP_BDD[],MATCH($B68,MMWR_RATING_STATE_ROLLUP_BDD[MMWR_RATING_STATE_ROLLUP_BDD],0),MATCH(E$9,MMWR_RATING_STATE_ROLLUP_BDD[#Headers],0))/$C68,"ERROR"))</f>
        <v>5.915130732961852E-2</v>
      </c>
      <c r="F68" s="155">
        <f>IF($B68=" ","",IFERROR(INDEX(MMWR_RATING_STATE_ROLLUP_BDD[],MATCH($B68,MMWR_RATING_STATE_ROLLUP_BDD[MMWR_RATING_STATE_ROLLUP_BDD],0),MATCH(F$9,MMWR_RATING_STATE_ROLLUP_BDD[#Headers],0)),"ERROR"))</f>
        <v>188</v>
      </c>
      <c r="G68" s="155">
        <f>IF($B68=" ","",IFERROR(INDEX(MMWR_RATING_STATE_ROLLUP_BDD[],MATCH($B68,MMWR_RATING_STATE_ROLLUP_BDD[MMWR_RATING_STATE_ROLLUP_BDD],0),MATCH(G$9,MMWR_RATING_STATE_ROLLUP_BDD[#Headers],0)),"ERROR"))</f>
        <v>188</v>
      </c>
      <c r="H68" s="156">
        <f>IF($B68=" ","",IFERROR(INDEX(MMWR_RATING_STATE_ROLLUP_BDD[],MATCH($B68,MMWR_RATING_STATE_ROLLUP_BDD[MMWR_RATING_STATE_ROLLUP_BDD],0),MATCH(H$9,MMWR_RATING_STATE_ROLLUP_BDD[#Headers],0)),"ERROR"))</f>
        <v>128.61702127660001</v>
      </c>
      <c r="I68" s="156">
        <f>IF($B68=" ","",IFERROR(INDEX(MMWR_RATING_STATE_ROLLUP_BDD[],MATCH($B68,MMWR_RATING_STATE_ROLLUP_BDD[MMWR_RATING_STATE_ROLLUP_BDD],0),MATCH(I$9,MMWR_RATING_STATE_ROLLUP_BDD[#Headers],0)),"ERROR"))</f>
        <v>128.61702127660001</v>
      </c>
      <c r="J68" s="42"/>
      <c r="K68" s="42"/>
      <c r="L68" s="42"/>
      <c r="M68" s="42"/>
      <c r="N68" s="28"/>
    </row>
    <row r="69" spans="1:14" x14ac:dyDescent="0.2">
      <c r="A69" s="25"/>
      <c r="B69" s="250" t="str">
        <f>INDEX(DISTRICT_STATES[],MATCH($B$5,DISTRICT_RO[District],0),1)</f>
        <v>North Atlantic</v>
      </c>
      <c r="C69" s="155">
        <f>IF($B69=" ","",IFERROR(INDEX(MMWR_RATING_STATE_ROLLUP_BDD[],MATCH($B69,MMWR_RATING_STATE_ROLLUP_BDD[MMWR_RATING_STATE_ROLLUP_BDD],0),MATCH(C$9,MMWR_RATING_STATE_ROLLUP_BDD[#Headers],0)),"ERROR"))</f>
        <v>3592</v>
      </c>
      <c r="D69" s="156">
        <f>IF($B69=" ","",IFERROR(INDEX(MMWR_RATING_STATE_ROLLUP_BDD[],MATCH($B69,MMWR_RATING_STATE_ROLLUP_BDD[MMWR_RATING_STATE_ROLLUP_BDD],0),MATCH(D$9,MMWR_RATING_STATE_ROLLUP_BDD[#Headers],0)),"ERROR"))</f>
        <v>62.180400890900003</v>
      </c>
      <c r="E69" s="157">
        <f>IF($B69=" ","",IFERROR(INDEX(MMWR_RATING_STATE_ROLLUP_BDD[],MATCH($B69,MMWR_RATING_STATE_ROLLUP_BDD[MMWR_RATING_STATE_ROLLUP_BDD],0),MATCH(E$9,MMWR_RATING_STATE_ROLLUP_BDD[#Headers],0))/$C69,"ERROR"))</f>
        <v>5.4287305122494432E-2</v>
      </c>
      <c r="F69" s="155">
        <f>IF($B69=" ","",IFERROR(INDEX(MMWR_RATING_STATE_ROLLUP_BDD[],MATCH($B69,MMWR_RATING_STATE_ROLLUP_BDD[MMWR_RATING_STATE_ROLLUP_BDD],0),MATCH(F$9,MMWR_RATING_STATE_ROLLUP_BDD[#Headers],0)),"ERROR"))</f>
        <v>45</v>
      </c>
      <c r="G69" s="155">
        <f>IF($B69=" ","",IFERROR(INDEX(MMWR_RATING_STATE_ROLLUP_BDD[],MATCH($B69,MMWR_RATING_STATE_ROLLUP_BDD[MMWR_RATING_STATE_ROLLUP_BDD],0),MATCH(G$9,MMWR_RATING_STATE_ROLLUP_BDD[#Headers],0)),"ERROR"))</f>
        <v>45</v>
      </c>
      <c r="H69" s="156">
        <f>IF($B69=" ","",IFERROR(INDEX(MMWR_RATING_STATE_ROLLUP_BDD[],MATCH($B69,MMWR_RATING_STATE_ROLLUP_BDD[MMWR_RATING_STATE_ROLLUP_BDD],0),MATCH(H$9,MMWR_RATING_STATE_ROLLUP_BDD[#Headers],0)),"ERROR"))</f>
        <v>140.44444444440001</v>
      </c>
      <c r="I69" s="156">
        <f>IF($B69=" ","",IFERROR(INDEX(MMWR_RATING_STATE_ROLLUP_BDD[],MATCH($B69,MMWR_RATING_STATE_ROLLUP_BDD[MMWR_RATING_STATE_ROLLUP_BDD],0),MATCH(I$9,MMWR_RATING_STATE_ROLLUP_BDD[#Headers],0)),"ERROR"))</f>
        <v>140.44444444440001</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73</v>
      </c>
      <c r="D70" s="156">
        <f>IF($B70=" ","",IFERROR(INDEX(MMWR_RATING_STATE_ROLLUP_BDD[],MATCH($B70,MMWR_RATING_STATE_ROLLUP_BDD[MMWR_RATING_STATE_ROLLUP_BDD],0),MATCH(D$9,MMWR_RATING_STATE_ROLLUP_BDD[#Headers],0)),"ERROR"))</f>
        <v>61.109589041100001</v>
      </c>
      <c r="E70" s="157">
        <f>IF($B70=" ","",IFERROR(INDEX(MMWR_RATING_STATE_ROLLUP_BDD[],MATCH($B70,MMWR_RATING_STATE_ROLLUP_BDD[MMWR_RATING_STATE_ROLLUP_BDD],0),MATCH(E$9,MMWR_RATING_STATE_ROLLUP_BDD[#Headers],0))/$C70,"ERROR"))</f>
        <v>1.3698630136986301E-2</v>
      </c>
      <c r="F70" s="155">
        <f>IF($B70=" ","",IFERROR(INDEX(MMWR_RATING_STATE_ROLLUP_BDD[],MATCH($B70,MMWR_RATING_STATE_ROLLUP_BDD[MMWR_RATING_STATE_ROLLUP_BDD],0),MATCH(F$9,MMWR_RATING_STATE_ROLLUP_BDD[#Headers],0)),"ERROR"))</f>
        <v>0</v>
      </c>
      <c r="G70" s="155">
        <f>IF($B70=" ","",IFERROR(INDEX(MMWR_RATING_STATE_ROLLUP_BDD[],MATCH($B70,MMWR_RATING_STATE_ROLLUP_BDD[MMWR_RATING_STATE_ROLLUP_BDD],0),MATCH(G$9,MMWR_RATING_STATE_ROLLUP_BDD[#Headers],0)),"ERROR"))</f>
        <v>0</v>
      </c>
      <c r="H70" s="156">
        <f>IF($B70=" ","",IFERROR(INDEX(MMWR_RATING_STATE_ROLLUP_BDD[],MATCH($B70,MMWR_RATING_STATE_ROLLUP_BDD[MMWR_RATING_STATE_ROLLUP_BDD],0),MATCH(H$9,MMWR_RATING_STATE_ROLLUP_BDD[#Headers],0)),"ERROR"))</f>
        <v>0</v>
      </c>
      <c r="I70" s="156">
        <f>IF($B70=" ","",IFERROR(INDEX(MMWR_RATING_STATE_ROLLUP_BDD[],MATCH($B70,MMWR_RATING_STATE_ROLLUP_BDD[MMWR_RATING_STATE_ROLLUP_BDD],0),MATCH(I$9,MMWR_RATING_STATE_ROLLUP_BDD[#Headers],0)),"ERROR"))</f>
        <v>0</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23</v>
      </c>
      <c r="D71" s="156">
        <f>IF($B71=" ","",IFERROR(INDEX(MMWR_RATING_STATE_ROLLUP_BDD[],MATCH($B71,MMWR_RATING_STATE_ROLLUP_BDD[MMWR_RATING_STATE_ROLLUP_BDD],0),MATCH(D$9,MMWR_RATING_STATE_ROLLUP_BDD[#Headers],0)),"ERROR"))</f>
        <v>59.304347826099999</v>
      </c>
      <c r="E71" s="157">
        <f>IF($B71=" ","",IFERROR(INDEX(MMWR_RATING_STATE_ROLLUP_BDD[],MATCH($B71,MMWR_RATING_STATE_ROLLUP_BDD[MMWR_RATING_STATE_ROLLUP_BDD],0),MATCH(E$9,MMWR_RATING_STATE_ROLLUP_BDD[#Headers],0))/$C71,"ERROR"))</f>
        <v>0.13043478260869565</v>
      </c>
      <c r="F71" s="155">
        <f>IF($B71=" ","",IFERROR(INDEX(MMWR_RATING_STATE_ROLLUP_BDD[],MATCH($B71,MMWR_RATING_STATE_ROLLUP_BDD[MMWR_RATING_STATE_ROLLUP_BDD],0),MATCH(F$9,MMWR_RATING_STATE_ROLLUP_BDD[#Headers],0)),"ERROR"))</f>
        <v>0</v>
      </c>
      <c r="G71" s="155">
        <f>IF($B71=" ","",IFERROR(INDEX(MMWR_RATING_STATE_ROLLUP_BDD[],MATCH($B71,MMWR_RATING_STATE_ROLLUP_BDD[MMWR_RATING_STATE_ROLLUP_BDD],0),MATCH(G$9,MMWR_RATING_STATE_ROLLUP_BDD[#Headers],0)),"ERROR"))</f>
        <v>0</v>
      </c>
      <c r="H71" s="156">
        <f>IF($B71=" ","",IFERROR(INDEX(MMWR_RATING_STATE_ROLLUP_BDD[],MATCH($B71,MMWR_RATING_STATE_ROLLUP_BDD[MMWR_RATING_STATE_ROLLUP_BDD],0),MATCH(H$9,MMWR_RATING_STATE_ROLLUP_BDD[#Headers],0)),"ERROR"))</f>
        <v>0</v>
      </c>
      <c r="I71" s="156">
        <f>IF($B71=" ","",IFERROR(INDEX(MMWR_RATING_STATE_ROLLUP_BDD[],MATCH($B71,MMWR_RATING_STATE_ROLLUP_BDD[MMWR_RATING_STATE_ROLLUP_BDD],0),MATCH(I$9,MMWR_RATING_STATE_ROLLUP_BDD[#Headers],0)),"ERROR"))</f>
        <v>0</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31</v>
      </c>
      <c r="D72" s="156">
        <f>IF($B72=" ","",IFERROR(INDEX(MMWR_RATING_STATE_ROLLUP_BDD[],MATCH($B72,MMWR_RATING_STATE_ROLLUP_BDD[MMWR_RATING_STATE_ROLLUP_BDD],0),MATCH(D$9,MMWR_RATING_STATE_ROLLUP_BDD[#Headers],0)),"ERROR"))</f>
        <v>51.548387096799999</v>
      </c>
      <c r="E72" s="157">
        <f>IF($B72=" ","",IFERROR(INDEX(MMWR_RATING_STATE_ROLLUP_BDD[],MATCH($B72,MMWR_RATING_STATE_ROLLUP_BDD[MMWR_RATING_STATE_ROLLUP_BDD],0),MATCH(E$9,MMWR_RATING_STATE_ROLLUP_BDD[#Headers],0))/$C72,"ERROR"))</f>
        <v>3.2258064516129031E-2</v>
      </c>
      <c r="F72" s="155">
        <f>IF($B72=" ","",IFERROR(INDEX(MMWR_RATING_STATE_ROLLUP_BDD[],MATCH($B72,MMWR_RATING_STATE_ROLLUP_BDD[MMWR_RATING_STATE_ROLLUP_BDD],0),MATCH(F$9,MMWR_RATING_STATE_ROLLUP_BDD[#Headers],0)),"ERROR"))</f>
        <v>1</v>
      </c>
      <c r="G72" s="155">
        <f>IF($B72=" ","",IFERROR(INDEX(MMWR_RATING_STATE_ROLLUP_BDD[],MATCH($B72,MMWR_RATING_STATE_ROLLUP_BDD[MMWR_RATING_STATE_ROLLUP_BDD],0),MATCH(G$9,MMWR_RATING_STATE_ROLLUP_BDD[#Headers],0)),"ERROR"))</f>
        <v>1</v>
      </c>
      <c r="H72" s="156">
        <f>IF($B72=" ","",IFERROR(INDEX(MMWR_RATING_STATE_ROLLUP_BDD[],MATCH($B72,MMWR_RATING_STATE_ROLLUP_BDD[MMWR_RATING_STATE_ROLLUP_BDD],0),MATCH(H$9,MMWR_RATING_STATE_ROLLUP_BDD[#Headers],0)),"ERROR"))</f>
        <v>124</v>
      </c>
      <c r="I72" s="156">
        <f>IF($B72=" ","",IFERROR(INDEX(MMWR_RATING_STATE_ROLLUP_BDD[],MATCH($B72,MMWR_RATING_STATE_ROLLUP_BDD[MMWR_RATING_STATE_ROLLUP_BDD],0),MATCH(I$9,MMWR_RATING_STATE_ROLLUP_BDD[#Headers],0)),"ERROR"))</f>
        <v>124</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18</v>
      </c>
      <c r="D73" s="156">
        <f>IF($B73=" ","",IFERROR(INDEX(MMWR_RATING_STATE_ROLLUP_BDD[],MATCH($B73,MMWR_RATING_STATE_ROLLUP_BDD[MMWR_RATING_STATE_ROLLUP_BDD],0),MATCH(D$9,MMWR_RATING_STATE_ROLLUP_BDD[#Headers],0)),"ERROR"))</f>
        <v>78.388888888899999</v>
      </c>
      <c r="E73" s="157">
        <f>IF($B73=" ","",IFERROR(INDEX(MMWR_RATING_STATE_ROLLUP_BDD[],MATCH($B73,MMWR_RATING_STATE_ROLLUP_BDD[MMWR_RATING_STATE_ROLLUP_BDD],0),MATCH(E$9,MMWR_RATING_STATE_ROLLUP_BDD[#Headers],0))/$C73,"ERROR"))</f>
        <v>0.1111111111111111</v>
      </c>
      <c r="F73" s="155">
        <f>IF($B73=" ","",IFERROR(INDEX(MMWR_RATING_STATE_ROLLUP_BDD[],MATCH($B73,MMWR_RATING_STATE_ROLLUP_BDD[MMWR_RATING_STATE_ROLLUP_BDD],0),MATCH(F$9,MMWR_RATING_STATE_ROLLUP_BDD[#Headers],0)),"ERROR"))</f>
        <v>1</v>
      </c>
      <c r="G73" s="155">
        <f>IF($B73=" ","",IFERROR(INDEX(MMWR_RATING_STATE_ROLLUP_BDD[],MATCH($B73,MMWR_RATING_STATE_ROLLUP_BDD[MMWR_RATING_STATE_ROLLUP_BDD],0),MATCH(G$9,MMWR_RATING_STATE_ROLLUP_BDD[#Headers],0)),"ERROR"))</f>
        <v>1</v>
      </c>
      <c r="H73" s="156">
        <f>IF($B73=" ","",IFERROR(INDEX(MMWR_RATING_STATE_ROLLUP_BDD[],MATCH($B73,MMWR_RATING_STATE_ROLLUP_BDD[MMWR_RATING_STATE_ROLLUP_BDD],0),MATCH(H$9,MMWR_RATING_STATE_ROLLUP_BDD[#Headers],0)),"ERROR"))</f>
        <v>154</v>
      </c>
      <c r="I73" s="156">
        <f>IF($B73=" ","",IFERROR(INDEX(MMWR_RATING_STATE_ROLLUP_BDD[],MATCH($B73,MMWR_RATING_STATE_ROLLUP_BDD[MMWR_RATING_STATE_ROLLUP_BDD],0),MATCH(I$9,MMWR_RATING_STATE_ROLLUP_BDD[#Headers],0)),"ERROR"))</f>
        <v>154</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352</v>
      </c>
      <c r="D74" s="156">
        <f>IF($B74=" ","",IFERROR(INDEX(MMWR_RATING_STATE_ROLLUP_BDD[],MATCH($B74,MMWR_RATING_STATE_ROLLUP_BDD[MMWR_RATING_STATE_ROLLUP_BDD],0),MATCH(D$9,MMWR_RATING_STATE_ROLLUP_BDD[#Headers],0)),"ERROR"))</f>
        <v>60.394886363600001</v>
      </c>
      <c r="E74" s="157">
        <f>IF($B74=" ","",IFERROR(INDEX(MMWR_RATING_STATE_ROLLUP_BDD[],MATCH($B74,MMWR_RATING_STATE_ROLLUP_BDD[MMWR_RATING_STATE_ROLLUP_BDD],0),MATCH(E$9,MMWR_RATING_STATE_ROLLUP_BDD[#Headers],0))/$C74,"ERROR"))</f>
        <v>3.9772727272727272E-2</v>
      </c>
      <c r="F74" s="155">
        <f>IF($B74=" ","",IFERROR(INDEX(MMWR_RATING_STATE_ROLLUP_BDD[],MATCH($B74,MMWR_RATING_STATE_ROLLUP_BDD[MMWR_RATING_STATE_ROLLUP_BDD],0),MATCH(F$9,MMWR_RATING_STATE_ROLLUP_BDD[#Headers],0)),"ERROR"))</f>
        <v>7</v>
      </c>
      <c r="G74" s="155">
        <f>IF($B74=" ","",IFERROR(INDEX(MMWR_RATING_STATE_ROLLUP_BDD[],MATCH($B74,MMWR_RATING_STATE_ROLLUP_BDD[MMWR_RATING_STATE_ROLLUP_BDD],0),MATCH(G$9,MMWR_RATING_STATE_ROLLUP_BDD[#Headers],0)),"ERROR"))</f>
        <v>7</v>
      </c>
      <c r="H74" s="156">
        <f>IF($B74=" ","",IFERROR(INDEX(MMWR_RATING_STATE_ROLLUP_BDD[],MATCH($B74,MMWR_RATING_STATE_ROLLUP_BDD[MMWR_RATING_STATE_ROLLUP_BDD],0),MATCH(H$9,MMWR_RATING_STATE_ROLLUP_BDD[#Headers],0)),"ERROR"))</f>
        <v>132.57142857139999</v>
      </c>
      <c r="I74" s="156">
        <f>IF($B74=" ","",IFERROR(INDEX(MMWR_RATING_STATE_ROLLUP_BDD[],MATCH($B74,MMWR_RATING_STATE_ROLLUP_BDD[MMWR_RATING_STATE_ROLLUP_BDD],0),MATCH(I$9,MMWR_RATING_STATE_ROLLUP_BDD[#Headers],0)),"ERROR"))</f>
        <v>132.57142857139999</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50</v>
      </c>
      <c r="D75" s="156">
        <f>IF($B75=" ","",IFERROR(INDEX(MMWR_RATING_STATE_ROLLUP_BDD[],MATCH($B75,MMWR_RATING_STATE_ROLLUP_BDD[MMWR_RATING_STATE_ROLLUP_BDD],0),MATCH(D$9,MMWR_RATING_STATE_ROLLUP_BDD[#Headers],0)),"ERROR"))</f>
        <v>66.760000000000005</v>
      </c>
      <c r="E75" s="157">
        <f>IF($B75=" ","",IFERROR(INDEX(MMWR_RATING_STATE_ROLLUP_BDD[],MATCH($B75,MMWR_RATING_STATE_ROLLUP_BDD[MMWR_RATING_STATE_ROLLUP_BDD],0),MATCH(E$9,MMWR_RATING_STATE_ROLLUP_BDD[#Headers],0))/$C75,"ERROR"))</f>
        <v>0.1</v>
      </c>
      <c r="F75" s="155">
        <f>IF($B75=" ","",IFERROR(INDEX(MMWR_RATING_STATE_ROLLUP_BDD[],MATCH($B75,MMWR_RATING_STATE_ROLLUP_BDD[MMWR_RATING_STATE_ROLLUP_BDD],0),MATCH(F$9,MMWR_RATING_STATE_ROLLUP_BDD[#Headers],0)),"ERROR"))</f>
        <v>0</v>
      </c>
      <c r="G75" s="155">
        <f>IF($B75=" ","",IFERROR(INDEX(MMWR_RATING_STATE_ROLLUP_BDD[],MATCH($B75,MMWR_RATING_STATE_ROLLUP_BDD[MMWR_RATING_STATE_ROLLUP_BDD],0),MATCH(G$9,MMWR_RATING_STATE_ROLLUP_BDD[#Headers],0)),"ERROR"))</f>
        <v>0</v>
      </c>
      <c r="H75" s="156">
        <f>IF($B75=" ","",IFERROR(INDEX(MMWR_RATING_STATE_ROLLUP_BDD[],MATCH($B75,MMWR_RATING_STATE_ROLLUP_BDD[MMWR_RATING_STATE_ROLLUP_BDD],0),MATCH(H$9,MMWR_RATING_STATE_ROLLUP_BDD[#Headers],0)),"ERROR"))</f>
        <v>0</v>
      </c>
      <c r="I75" s="156">
        <f>IF($B75=" ","",IFERROR(INDEX(MMWR_RATING_STATE_ROLLUP_BDD[],MATCH($B75,MMWR_RATING_STATE_ROLLUP_BDD[MMWR_RATING_STATE_ROLLUP_BDD],0),MATCH(I$9,MMWR_RATING_STATE_ROLLUP_BDD[#Headers],0)),"ERROR"))</f>
        <v>0</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18</v>
      </c>
      <c r="D76" s="156">
        <f>IF($B76=" ","",IFERROR(INDEX(MMWR_RATING_STATE_ROLLUP_BDD[],MATCH($B76,MMWR_RATING_STATE_ROLLUP_BDD[MMWR_RATING_STATE_ROLLUP_BDD],0),MATCH(D$9,MMWR_RATING_STATE_ROLLUP_BDD[#Headers],0)),"ERROR"))</f>
        <v>70</v>
      </c>
      <c r="E76" s="157">
        <f>IF($B76=" ","",IFERROR(INDEX(MMWR_RATING_STATE_ROLLUP_BDD[],MATCH($B76,MMWR_RATING_STATE_ROLLUP_BDD[MMWR_RATING_STATE_ROLLUP_BDD],0),MATCH(E$9,MMWR_RATING_STATE_ROLLUP_BDD[#Headers],0))/$C76,"ERROR"))</f>
        <v>0.1111111111111111</v>
      </c>
      <c r="F76" s="155">
        <f>IF($B76=" ","",IFERROR(INDEX(MMWR_RATING_STATE_ROLLUP_BDD[],MATCH($B76,MMWR_RATING_STATE_ROLLUP_BDD[MMWR_RATING_STATE_ROLLUP_BDD],0),MATCH(F$9,MMWR_RATING_STATE_ROLLUP_BDD[#Headers],0)),"ERROR"))</f>
        <v>1</v>
      </c>
      <c r="G76" s="155">
        <f>IF($B76=" ","",IFERROR(INDEX(MMWR_RATING_STATE_ROLLUP_BDD[],MATCH($B76,MMWR_RATING_STATE_ROLLUP_BDD[MMWR_RATING_STATE_ROLLUP_BDD],0),MATCH(G$9,MMWR_RATING_STATE_ROLLUP_BDD[#Headers],0)),"ERROR"))</f>
        <v>1</v>
      </c>
      <c r="H76" s="156">
        <f>IF($B76=" ","",IFERROR(INDEX(MMWR_RATING_STATE_ROLLUP_BDD[],MATCH($B76,MMWR_RATING_STATE_ROLLUP_BDD[MMWR_RATING_STATE_ROLLUP_BDD],0),MATCH(H$9,MMWR_RATING_STATE_ROLLUP_BDD[#Headers],0)),"ERROR"))</f>
        <v>124</v>
      </c>
      <c r="I76" s="156">
        <f>IF($B76=" ","",IFERROR(INDEX(MMWR_RATING_STATE_ROLLUP_BDD[],MATCH($B76,MMWR_RATING_STATE_ROLLUP_BDD[MMWR_RATING_STATE_ROLLUP_BDD],0),MATCH(I$9,MMWR_RATING_STATE_ROLLUP_BDD[#Headers],0)),"ERROR"))</f>
        <v>124</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84</v>
      </c>
      <c r="D77" s="156">
        <f>IF($B77=" ","",IFERROR(INDEX(MMWR_RATING_STATE_ROLLUP_BDD[],MATCH($B77,MMWR_RATING_STATE_ROLLUP_BDD[MMWR_RATING_STATE_ROLLUP_BDD],0),MATCH(D$9,MMWR_RATING_STATE_ROLLUP_BDD[#Headers],0)),"ERROR"))</f>
        <v>65.452380952400006</v>
      </c>
      <c r="E77" s="157">
        <f>IF($B77=" ","",IFERROR(INDEX(MMWR_RATING_STATE_ROLLUP_BDD[],MATCH($B77,MMWR_RATING_STATE_ROLLUP_BDD[MMWR_RATING_STATE_ROLLUP_BDD],0),MATCH(E$9,MMWR_RATING_STATE_ROLLUP_BDD[#Headers],0))/$C77,"ERROR"))</f>
        <v>9.5238095238095233E-2</v>
      </c>
      <c r="F77" s="155">
        <f>IF($B77=" ","",IFERROR(INDEX(MMWR_RATING_STATE_ROLLUP_BDD[],MATCH($B77,MMWR_RATING_STATE_ROLLUP_BDD[MMWR_RATING_STATE_ROLLUP_BDD],0),MATCH(F$9,MMWR_RATING_STATE_ROLLUP_BDD[#Headers],0)),"ERROR"))</f>
        <v>0</v>
      </c>
      <c r="G77" s="155">
        <f>IF($B77=" ","",IFERROR(INDEX(MMWR_RATING_STATE_ROLLUP_BDD[],MATCH($B77,MMWR_RATING_STATE_ROLLUP_BDD[MMWR_RATING_STATE_ROLLUP_BDD],0),MATCH(G$9,MMWR_RATING_STATE_ROLLUP_BDD[#Headers],0)),"ERROR"))</f>
        <v>0</v>
      </c>
      <c r="H77" s="156">
        <f>IF($B77=" ","",IFERROR(INDEX(MMWR_RATING_STATE_ROLLUP_BDD[],MATCH($B77,MMWR_RATING_STATE_ROLLUP_BDD[MMWR_RATING_STATE_ROLLUP_BDD],0),MATCH(H$9,MMWR_RATING_STATE_ROLLUP_BDD[#Headers],0)),"ERROR"))</f>
        <v>0</v>
      </c>
      <c r="I77" s="156">
        <f>IF($B77=" ","",IFERROR(INDEX(MMWR_RATING_STATE_ROLLUP_BDD[],MATCH($B77,MMWR_RATING_STATE_ROLLUP_BDD[MMWR_RATING_STATE_ROLLUP_BDD],0),MATCH(I$9,MMWR_RATING_STATE_ROLLUP_BDD[#Headers],0)),"ERROR"))</f>
        <v>0</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162</v>
      </c>
      <c r="D78" s="156">
        <f>IF($B78=" ","",IFERROR(INDEX(MMWR_RATING_STATE_ROLLUP_BDD[],MATCH($B78,MMWR_RATING_STATE_ROLLUP_BDD[MMWR_RATING_STATE_ROLLUP_BDD],0),MATCH(D$9,MMWR_RATING_STATE_ROLLUP_BDD[#Headers],0)),"ERROR"))</f>
        <v>61.913580246899997</v>
      </c>
      <c r="E78" s="157">
        <f>IF($B78=" ","",IFERROR(INDEX(MMWR_RATING_STATE_ROLLUP_BDD[],MATCH($B78,MMWR_RATING_STATE_ROLLUP_BDD[MMWR_RATING_STATE_ROLLUP_BDD],0),MATCH(E$9,MMWR_RATING_STATE_ROLLUP_BDD[#Headers],0))/$C78,"ERROR"))</f>
        <v>4.9382716049382713E-2</v>
      </c>
      <c r="F78" s="155">
        <f>IF($B78=" ","",IFERROR(INDEX(MMWR_RATING_STATE_ROLLUP_BDD[],MATCH($B78,MMWR_RATING_STATE_ROLLUP_BDD[MMWR_RATING_STATE_ROLLUP_BDD],0),MATCH(F$9,MMWR_RATING_STATE_ROLLUP_BDD[#Headers],0)),"ERROR"))</f>
        <v>9</v>
      </c>
      <c r="G78" s="155">
        <f>IF($B78=" ","",IFERROR(INDEX(MMWR_RATING_STATE_ROLLUP_BDD[],MATCH($B78,MMWR_RATING_STATE_ROLLUP_BDD[MMWR_RATING_STATE_ROLLUP_BDD],0),MATCH(G$9,MMWR_RATING_STATE_ROLLUP_BDD[#Headers],0)),"ERROR"))</f>
        <v>9</v>
      </c>
      <c r="H78" s="156">
        <f>IF($B78=" ","",IFERROR(INDEX(MMWR_RATING_STATE_ROLLUP_BDD[],MATCH($B78,MMWR_RATING_STATE_ROLLUP_BDD[MMWR_RATING_STATE_ROLLUP_BDD],0),MATCH(H$9,MMWR_RATING_STATE_ROLLUP_BDD[#Headers],0)),"ERROR"))</f>
        <v>146.1111111111</v>
      </c>
      <c r="I78" s="156">
        <f>IF($B78=" ","",IFERROR(INDEX(MMWR_RATING_STATE_ROLLUP_BDD[],MATCH($B78,MMWR_RATING_STATE_ROLLUP_BDD[MMWR_RATING_STATE_ROLLUP_BDD],0),MATCH(I$9,MMWR_RATING_STATE_ROLLUP_BDD[#Headers],0)),"ERROR"))</f>
        <v>146.1111111111</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1336</v>
      </c>
      <c r="D79" s="156">
        <f>IF($B79=" ","",IFERROR(INDEX(MMWR_RATING_STATE_ROLLUP_BDD[],MATCH($B79,MMWR_RATING_STATE_ROLLUP_BDD[MMWR_RATING_STATE_ROLLUP_BDD],0),MATCH(D$9,MMWR_RATING_STATE_ROLLUP_BDD[#Headers],0)),"ERROR"))</f>
        <v>61.642215568899999</v>
      </c>
      <c r="E79" s="157">
        <f>IF($B79=" ","",IFERROR(INDEX(MMWR_RATING_STATE_ROLLUP_BDD[],MATCH($B79,MMWR_RATING_STATE_ROLLUP_BDD[MMWR_RATING_STATE_ROLLUP_BDD],0),MATCH(E$9,MMWR_RATING_STATE_ROLLUP_BDD[#Headers],0))/$C79,"ERROR"))</f>
        <v>5.089820359281437E-2</v>
      </c>
      <c r="F79" s="155">
        <f>IF($B79=" ","",IFERROR(INDEX(MMWR_RATING_STATE_ROLLUP_BDD[],MATCH($B79,MMWR_RATING_STATE_ROLLUP_BDD[MMWR_RATING_STATE_ROLLUP_BDD],0),MATCH(F$9,MMWR_RATING_STATE_ROLLUP_BDD[#Headers],0)),"ERROR"))</f>
        <v>13</v>
      </c>
      <c r="G79" s="155">
        <f>IF($B79=" ","",IFERROR(INDEX(MMWR_RATING_STATE_ROLLUP_BDD[],MATCH($B79,MMWR_RATING_STATE_ROLLUP_BDD[MMWR_RATING_STATE_ROLLUP_BDD],0),MATCH(G$9,MMWR_RATING_STATE_ROLLUP_BDD[#Headers],0)),"ERROR"))</f>
        <v>13</v>
      </c>
      <c r="H79" s="156">
        <f>IF($B79=" ","",IFERROR(INDEX(MMWR_RATING_STATE_ROLLUP_BDD[],MATCH($B79,MMWR_RATING_STATE_ROLLUP_BDD[MMWR_RATING_STATE_ROLLUP_BDD],0),MATCH(H$9,MMWR_RATING_STATE_ROLLUP_BDD[#Headers],0)),"ERROR"))</f>
        <v>152.07692307689999</v>
      </c>
      <c r="I79" s="156">
        <f>IF($B79=" ","",IFERROR(INDEX(MMWR_RATING_STATE_ROLLUP_BDD[],MATCH($B79,MMWR_RATING_STATE_ROLLUP_BDD[MMWR_RATING_STATE_ROLLUP_BDD],0),MATCH(I$9,MMWR_RATING_STATE_ROLLUP_BDD[#Headers],0)),"ERROR"))</f>
        <v>152.07692307689999</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135</v>
      </c>
      <c r="D80" s="156">
        <f>IF($B80=" ","",IFERROR(INDEX(MMWR_RATING_STATE_ROLLUP_BDD[],MATCH($B80,MMWR_RATING_STATE_ROLLUP_BDD[MMWR_RATING_STATE_ROLLUP_BDD],0),MATCH(D$9,MMWR_RATING_STATE_ROLLUP_BDD[#Headers],0)),"ERROR"))</f>
        <v>69.037037037000005</v>
      </c>
      <c r="E80" s="157">
        <f>IF($B80=" ","",IFERROR(INDEX(MMWR_RATING_STATE_ROLLUP_BDD[],MATCH($B80,MMWR_RATING_STATE_ROLLUP_BDD[MMWR_RATING_STATE_ROLLUP_BDD],0),MATCH(E$9,MMWR_RATING_STATE_ROLLUP_BDD[#Headers],0))/$C80,"ERROR"))</f>
        <v>5.185185185185185E-2</v>
      </c>
      <c r="F80" s="155">
        <f>IF($B80=" ","",IFERROR(INDEX(MMWR_RATING_STATE_ROLLUP_BDD[],MATCH($B80,MMWR_RATING_STATE_ROLLUP_BDD[MMWR_RATING_STATE_ROLLUP_BDD],0),MATCH(F$9,MMWR_RATING_STATE_ROLLUP_BDD[#Headers],0)),"ERROR"))</f>
        <v>1</v>
      </c>
      <c r="G80" s="155">
        <f>IF($B80=" ","",IFERROR(INDEX(MMWR_RATING_STATE_ROLLUP_BDD[],MATCH($B80,MMWR_RATING_STATE_ROLLUP_BDD[MMWR_RATING_STATE_ROLLUP_BDD],0),MATCH(G$9,MMWR_RATING_STATE_ROLLUP_BDD[#Headers],0)),"ERROR"))</f>
        <v>1</v>
      </c>
      <c r="H80" s="156">
        <f>IF($B80=" ","",IFERROR(INDEX(MMWR_RATING_STATE_ROLLUP_BDD[],MATCH($B80,MMWR_RATING_STATE_ROLLUP_BDD[MMWR_RATING_STATE_ROLLUP_BDD],0),MATCH(H$9,MMWR_RATING_STATE_ROLLUP_BDD[#Headers],0)),"ERROR"))</f>
        <v>106</v>
      </c>
      <c r="I80" s="156">
        <f>IF($B80=" ","",IFERROR(INDEX(MMWR_RATING_STATE_ROLLUP_BDD[],MATCH($B80,MMWR_RATING_STATE_ROLLUP_BDD[MMWR_RATING_STATE_ROLLUP_BDD],0),MATCH(I$9,MMWR_RATING_STATE_ROLLUP_BDD[#Headers],0)),"ERROR"))</f>
        <v>106</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10</v>
      </c>
      <c r="D81" s="156">
        <f>IF($B81=" ","",IFERROR(INDEX(MMWR_RATING_STATE_ROLLUP_BDD[],MATCH($B81,MMWR_RATING_STATE_ROLLUP_BDD[MMWR_RATING_STATE_ROLLUP_BDD],0),MATCH(D$9,MMWR_RATING_STATE_ROLLUP_BDD[#Headers],0)),"ERROR"))</f>
        <v>55.1</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0</v>
      </c>
      <c r="G81" s="155">
        <f>IF($B81=" ","",IFERROR(INDEX(MMWR_RATING_STATE_ROLLUP_BDD[],MATCH($B81,MMWR_RATING_STATE_ROLLUP_BDD[MMWR_RATING_STATE_ROLLUP_BDD],0),MATCH(G$9,MMWR_RATING_STATE_ROLLUP_BDD[#Headers],0)),"ERROR"))</f>
        <v>0</v>
      </c>
      <c r="H81" s="156">
        <f>IF($B81=" ","",IFERROR(INDEX(MMWR_RATING_STATE_ROLLUP_BDD[],MATCH($B81,MMWR_RATING_STATE_ROLLUP_BDD[MMWR_RATING_STATE_ROLLUP_BDD],0),MATCH(H$9,MMWR_RATING_STATE_ROLLUP_BDD[#Headers],0)),"ERROR"))</f>
        <v>0</v>
      </c>
      <c r="I81" s="156">
        <f>IF($B81=" ","",IFERROR(INDEX(MMWR_RATING_STATE_ROLLUP_BDD[],MATCH($B81,MMWR_RATING_STATE_ROLLUP_BDD[MMWR_RATING_STATE_ROLLUP_BDD],0),MATCH(I$9,MMWR_RATING_STATE_ROLLUP_BDD[#Headers],0)),"ERROR"))</f>
        <v>0</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6</v>
      </c>
      <c r="D82" s="156">
        <f>IF($B82=" ","",IFERROR(INDEX(MMWR_RATING_STATE_ROLLUP_BDD[],MATCH($B82,MMWR_RATING_STATE_ROLLUP_BDD[MMWR_RATING_STATE_ROLLUP_BDD],0),MATCH(D$9,MMWR_RATING_STATE_ROLLUP_BDD[#Headers],0)),"ERROR"))</f>
        <v>59.333333333299997</v>
      </c>
      <c r="E82" s="157">
        <f>IF($B82=" ","",IFERROR(INDEX(MMWR_RATING_STATE_ROLLUP_BDD[],MATCH($B82,MMWR_RATING_STATE_ROLLUP_BDD[MMWR_RATING_STATE_ROLLUP_BDD],0),MATCH(E$9,MMWR_RATING_STATE_ROLLUP_BDD[#Headers],0))/$C82,"ERROR"))</f>
        <v>0</v>
      </c>
      <c r="F82" s="155">
        <f>IF($B82=" ","",IFERROR(INDEX(MMWR_RATING_STATE_ROLLUP_BDD[],MATCH($B82,MMWR_RATING_STATE_ROLLUP_BDD[MMWR_RATING_STATE_ROLLUP_BDD],0),MATCH(F$9,MMWR_RATING_STATE_ROLLUP_BDD[#Headers],0)),"ERROR"))</f>
        <v>0</v>
      </c>
      <c r="G82" s="155">
        <f>IF($B82=" ","",IFERROR(INDEX(MMWR_RATING_STATE_ROLLUP_BDD[],MATCH($B82,MMWR_RATING_STATE_ROLLUP_BDD[MMWR_RATING_STATE_ROLLUP_BDD],0),MATCH(G$9,MMWR_RATING_STATE_ROLLUP_BDD[#Headers],0)),"ERROR"))</f>
        <v>0</v>
      </c>
      <c r="H82" s="156">
        <f>IF($B82=" ","",IFERROR(INDEX(MMWR_RATING_STATE_ROLLUP_BDD[],MATCH($B82,MMWR_RATING_STATE_ROLLUP_BDD[MMWR_RATING_STATE_ROLLUP_BDD],0),MATCH(H$9,MMWR_RATING_STATE_ROLLUP_BDD[#Headers],0)),"ERROR"))</f>
        <v>0</v>
      </c>
      <c r="I82" s="156">
        <f>IF($B82=" ","",IFERROR(INDEX(MMWR_RATING_STATE_ROLLUP_BDD[],MATCH($B82,MMWR_RATING_STATE_ROLLUP_BDD[MMWR_RATING_STATE_ROLLUP_BDD],0),MATCH(I$9,MMWR_RATING_STATE_ROLLUP_BDD[#Headers],0)),"ERROR"))</f>
        <v>0</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1267</v>
      </c>
      <c r="D83" s="156">
        <f>IF($B83=" ","",IFERROR(INDEX(MMWR_RATING_STATE_ROLLUP_BDD[],MATCH($B83,MMWR_RATING_STATE_ROLLUP_BDD[MMWR_RATING_STATE_ROLLUP_BDD],0),MATCH(D$9,MMWR_RATING_STATE_ROLLUP_BDD[#Headers],0)),"ERROR"))</f>
        <v>61.745067087599999</v>
      </c>
      <c r="E83" s="157">
        <f>IF($B83=" ","",IFERROR(INDEX(MMWR_RATING_STATE_ROLLUP_BDD[],MATCH($B83,MMWR_RATING_STATE_ROLLUP_BDD[MMWR_RATING_STATE_ROLLUP_BDD],0),MATCH(E$9,MMWR_RATING_STATE_ROLLUP_BDD[#Headers],0))/$C83,"ERROR"))</f>
        <v>5.8405682715074979E-2</v>
      </c>
      <c r="F83" s="155">
        <f>IF($B83=" ","",IFERROR(INDEX(MMWR_RATING_STATE_ROLLUP_BDD[],MATCH($B83,MMWR_RATING_STATE_ROLLUP_BDD[MMWR_RATING_STATE_ROLLUP_BDD],0),MATCH(F$9,MMWR_RATING_STATE_ROLLUP_BDD[#Headers],0)),"ERROR"))</f>
        <v>12</v>
      </c>
      <c r="G83" s="155">
        <f>IF($B83=" ","",IFERROR(INDEX(MMWR_RATING_STATE_ROLLUP_BDD[],MATCH($B83,MMWR_RATING_STATE_ROLLUP_BDD[MMWR_RATING_STATE_ROLLUP_BDD],0),MATCH(G$9,MMWR_RATING_STATE_ROLLUP_BDD[#Headers],0)),"ERROR"))</f>
        <v>12</v>
      </c>
      <c r="H83" s="156">
        <f>IF($B83=" ","",IFERROR(INDEX(MMWR_RATING_STATE_ROLLUP_BDD[],MATCH($B83,MMWR_RATING_STATE_ROLLUP_BDD[MMWR_RATING_STATE_ROLLUP_BDD],0),MATCH(H$9,MMWR_RATING_STATE_ROLLUP_BDD[#Headers],0)),"ERROR"))</f>
        <v>132.6666666667</v>
      </c>
      <c r="I83" s="156">
        <f>IF($B83=" ","",IFERROR(INDEX(MMWR_RATING_STATE_ROLLUP_BDD[],MATCH($B83,MMWR_RATING_STATE_ROLLUP_BDD[MMWR_RATING_STATE_ROLLUP_BDD],0),MATCH(I$9,MMWR_RATING_STATE_ROLLUP_BDD[#Headers],0)),"ERROR"))</f>
        <v>132.6666666667</v>
      </c>
      <c r="J83" s="42"/>
      <c r="K83" s="42"/>
      <c r="L83" s="42"/>
      <c r="M83" s="42"/>
      <c r="N83" s="28"/>
    </row>
    <row r="84" spans="1:14" x14ac:dyDescent="0.2">
      <c r="A84" s="25"/>
      <c r="B84" s="251" t="str">
        <f>VLOOKUP($B$15,DISTRICT_STATES[],16,0)</f>
        <v>West Virginia</v>
      </c>
      <c r="C84" s="155">
        <f>IF($B84=" ","",IFERROR(INDEX(MMWR_RATING_STATE_ROLLUP_BDD[],MATCH($B84,MMWR_RATING_STATE_ROLLUP_BDD[MMWR_RATING_STATE_ROLLUP_BDD],0),MATCH(C$9,MMWR_RATING_STATE_ROLLUP_BDD[#Headers],0)),"ERROR"))</f>
        <v>27</v>
      </c>
      <c r="D84" s="156">
        <f>IF($B84=" ","",IFERROR(INDEX(MMWR_RATING_STATE_ROLLUP_BDD[],MATCH($B84,MMWR_RATING_STATE_ROLLUP_BDD[MMWR_RATING_STATE_ROLLUP_BDD],0),MATCH(D$9,MMWR_RATING_STATE_ROLLUP_BDD[#Headers],0)),"ERROR"))</f>
        <v>85.962962962999995</v>
      </c>
      <c r="E84" s="157">
        <f>IF($B84=" ","",IFERROR(INDEX(MMWR_RATING_STATE_ROLLUP_BDD[],MATCH($B84,MMWR_RATING_STATE_ROLLUP_BDD[MMWR_RATING_STATE_ROLLUP_BDD],0),MATCH(E$9,MMWR_RATING_STATE_ROLLUP_BDD[#Headers],0))/$C84,"ERROR"))</f>
        <v>7.407407407407407E-2</v>
      </c>
      <c r="F84" s="155">
        <f>IF($B84=" ","",IFERROR(INDEX(MMWR_RATING_STATE_ROLLUP_BDD[],MATCH($B84,MMWR_RATING_STATE_ROLLUP_BDD[MMWR_RATING_STATE_ROLLUP_BDD],0),MATCH(F$9,MMWR_RATING_STATE_ROLLUP_BDD[#Headers],0)),"ERROR"))</f>
        <v>0</v>
      </c>
      <c r="G84" s="155">
        <f>IF($B84=" ","",IFERROR(INDEX(MMWR_RATING_STATE_ROLLUP_BDD[],MATCH($B84,MMWR_RATING_STATE_ROLLUP_BDD[MMWR_RATING_STATE_ROLLUP_BDD],0),MATCH(G$9,MMWR_RATING_STATE_ROLLUP_BDD[#Headers],0)),"ERROR"))</f>
        <v>0</v>
      </c>
      <c r="H84" s="156">
        <f>IF($B84=" ","",IFERROR(INDEX(MMWR_RATING_STATE_ROLLUP_BDD[],MATCH($B84,MMWR_RATING_STATE_ROLLUP_BDD[MMWR_RATING_STATE_ROLLUP_BDD],0),MATCH(H$9,MMWR_RATING_STATE_ROLLUP_BDD[#Headers],0)),"ERROR"))</f>
        <v>0</v>
      </c>
      <c r="I84" s="156">
        <f>IF($B84=" ","",IFERROR(INDEX(MMWR_RATING_STATE_ROLLUP_BDD[],MATCH($B84,MMWR_RATING_STATE_ROLLUP_BDD[MMWR_RATING_STATE_ROLLUP_BDD],0),MATCH(I$9,MMWR_RATING_STATE_ROLLUP_BDD[#Headers],0)),"ERROR"))</f>
        <v>0</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2" t="s">
        <v>302</v>
      </c>
      <c r="C2" s="423"/>
      <c r="D2" s="423"/>
      <c r="E2" s="423"/>
      <c r="F2" s="423"/>
      <c r="G2" s="423"/>
      <c r="H2" s="423"/>
      <c r="I2" s="423"/>
      <c r="J2" s="423"/>
      <c r="K2" s="423"/>
      <c r="L2" s="423"/>
      <c r="M2" s="423"/>
      <c r="N2" s="423"/>
      <c r="O2" s="423"/>
      <c r="P2" s="423"/>
      <c r="Q2" s="423"/>
      <c r="R2" s="423"/>
      <c r="S2" s="423"/>
      <c r="T2" s="423"/>
      <c r="U2" s="424"/>
      <c r="V2" s="25"/>
    </row>
    <row r="3" spans="1:22" s="1" customFormat="1" ht="63" customHeight="1" thickBot="1" x14ac:dyDescent="0.25">
      <c r="A3" s="25"/>
      <c r="B3" s="431" t="s">
        <v>317</v>
      </c>
      <c r="C3" s="432"/>
      <c r="D3" s="432"/>
      <c r="E3" s="432"/>
      <c r="F3" s="432"/>
      <c r="G3" s="432"/>
      <c r="H3" s="432"/>
      <c r="I3" s="432"/>
      <c r="J3" s="432"/>
      <c r="K3" s="432"/>
      <c r="L3" s="432"/>
      <c r="M3" s="432"/>
      <c r="N3" s="432"/>
      <c r="O3" s="432"/>
      <c r="P3" s="432"/>
      <c r="Q3" s="432"/>
      <c r="R3" s="432"/>
      <c r="S3" s="432"/>
      <c r="T3" s="432"/>
      <c r="U3" s="433"/>
      <c r="V3" s="25"/>
    </row>
    <row r="4" spans="1:22" s="1" customFormat="1" ht="32.25" customHeight="1" thickBot="1" x14ac:dyDescent="0.25">
      <c r="A4" s="25"/>
      <c r="B4" s="428" t="str">
        <f>Transformation!B4</f>
        <v>As of: October 03, 2015</v>
      </c>
      <c r="C4" s="429"/>
      <c r="D4" s="429"/>
      <c r="E4" s="429"/>
      <c r="F4" s="429"/>
      <c r="G4" s="429"/>
      <c r="H4" s="429"/>
      <c r="I4" s="429"/>
      <c r="J4" s="429"/>
      <c r="K4" s="429"/>
      <c r="L4" s="429"/>
      <c r="M4" s="429"/>
      <c r="N4" s="429"/>
      <c r="O4" s="429"/>
      <c r="P4" s="429"/>
      <c r="Q4" s="429"/>
      <c r="R4" s="429"/>
      <c r="S4" s="429"/>
      <c r="T4" s="429"/>
      <c r="U4" s="430"/>
      <c r="V4" s="25"/>
    </row>
    <row r="5" spans="1:22" s="1" customFormat="1" ht="27" customHeight="1" thickBot="1" x14ac:dyDescent="0.45">
      <c r="A5" s="25"/>
      <c r="B5" s="434" t="s">
        <v>245</v>
      </c>
      <c r="C5" s="435"/>
      <c r="D5" s="435"/>
      <c r="E5" s="435"/>
      <c r="F5" s="435"/>
      <c r="G5" s="435"/>
      <c r="H5" s="436"/>
      <c r="I5" s="55"/>
      <c r="J5" s="434" t="s">
        <v>242</v>
      </c>
      <c r="K5" s="435"/>
      <c r="L5" s="435"/>
      <c r="M5" s="435"/>
      <c r="N5" s="436"/>
      <c r="O5" s="56"/>
      <c r="P5" s="406" t="s">
        <v>11</v>
      </c>
      <c r="Q5" s="407"/>
      <c r="R5" s="407"/>
      <c r="S5" s="407"/>
      <c r="T5" s="407"/>
      <c r="U5" s="408"/>
      <c r="V5" s="25"/>
    </row>
    <row r="6" spans="1:22" s="1" customFormat="1" ht="65.25" customHeight="1" thickBot="1" x14ac:dyDescent="0.25">
      <c r="A6" s="25"/>
      <c r="B6" s="425" t="s">
        <v>285</v>
      </c>
      <c r="C6" s="426"/>
      <c r="D6" s="426"/>
      <c r="E6" s="427"/>
      <c r="F6" s="57" t="s">
        <v>12</v>
      </c>
      <c r="G6" s="58" t="s">
        <v>3</v>
      </c>
      <c r="H6" s="59" t="s">
        <v>4</v>
      </c>
      <c r="I6" s="25"/>
      <c r="J6" s="445" t="s">
        <v>285</v>
      </c>
      <c r="K6" s="446"/>
      <c r="L6" s="60" t="s">
        <v>12</v>
      </c>
      <c r="M6" s="61" t="s">
        <v>3</v>
      </c>
      <c r="N6" s="62" t="s">
        <v>4</v>
      </c>
      <c r="O6" s="63"/>
      <c r="P6" s="437" t="s">
        <v>285</v>
      </c>
      <c r="Q6" s="438"/>
      <c r="R6" s="64" t="s">
        <v>495</v>
      </c>
      <c r="S6" s="440" t="s">
        <v>285</v>
      </c>
      <c r="T6" s="441"/>
      <c r="U6" s="65" t="s">
        <v>140</v>
      </c>
      <c r="V6" s="25"/>
    </row>
    <row r="7" spans="1:22" s="1" customFormat="1" ht="32.25" customHeight="1" thickBot="1" x14ac:dyDescent="0.25">
      <c r="A7" s="25"/>
      <c r="B7" s="409" t="s">
        <v>304</v>
      </c>
      <c r="C7" s="410"/>
      <c r="D7" s="410"/>
      <c r="E7" s="410"/>
      <c r="F7" s="168">
        <f>SUM(F8:F10)</f>
        <v>126351</v>
      </c>
      <c r="G7" s="169">
        <f>SUM(G8:G10)</f>
        <v>32195</v>
      </c>
      <c r="H7" s="170">
        <f t="shared" ref="H7:H44" si="0">IF(G7="--", 0, G7/F7)</f>
        <v>0.25480605614518287</v>
      </c>
      <c r="I7" s="25"/>
      <c r="J7" s="409" t="s">
        <v>270</v>
      </c>
      <c r="K7" s="410"/>
      <c r="L7" s="169">
        <f>SUM(L8:L10)</f>
        <v>27180</v>
      </c>
      <c r="M7" s="169">
        <f>SUM(M8:M10)</f>
        <v>4069</v>
      </c>
      <c r="N7" s="180">
        <f>IF(M7="--", 0, M7/L7)</f>
        <v>0.14970566593083148</v>
      </c>
      <c r="O7" s="66"/>
      <c r="P7" s="409" t="s">
        <v>973</v>
      </c>
      <c r="Q7" s="410"/>
      <c r="R7" s="181">
        <f>R8+R9+R10+R11+R12</f>
        <v>319016</v>
      </c>
      <c r="S7" s="409"/>
      <c r="T7" s="410"/>
      <c r="U7" s="67"/>
      <c r="V7" s="25"/>
    </row>
    <row r="8" spans="1:22" s="1" customFormat="1" ht="51" customHeight="1" x14ac:dyDescent="0.2">
      <c r="A8" s="25"/>
      <c r="B8" s="322" t="s">
        <v>255</v>
      </c>
      <c r="C8" s="323"/>
      <c r="D8" s="323"/>
      <c r="E8" s="402"/>
      <c r="F8" s="171">
        <f>IFERROR(VLOOKUP(MID(B8,4,3),MMWR_TRAD_AGG_NATIONAL[],2,0),"--")</f>
        <v>313</v>
      </c>
      <c r="G8" s="172">
        <f>IFERROR(VLOOKUP(MID(B8,4,3),MMWR_TRAD_AGG_NATIONAL[],3,0),"--")</f>
        <v>204</v>
      </c>
      <c r="H8" s="173">
        <f t="shared" si="0"/>
        <v>0.65175718849840258</v>
      </c>
      <c r="I8" s="25"/>
      <c r="J8" s="420" t="s">
        <v>272</v>
      </c>
      <c r="K8" s="439"/>
      <c r="L8" s="171">
        <f>IFERROR(VLOOKUP(MID(J8,4,3),MMWR_TRAD_AGG_NATIONAL[],2,0),"--")</f>
        <v>6255</v>
      </c>
      <c r="M8" s="172">
        <f>IFERROR(VLOOKUP(MID(J8,4,3),MMWR_TRAD_AGG_NATIONAL[],3,0),"--")</f>
        <v>227</v>
      </c>
      <c r="N8" s="173">
        <f>IF(M8="--", 0, M8/L8)</f>
        <v>3.6290967226219023E-2</v>
      </c>
      <c r="O8" s="68" t="s">
        <v>316</v>
      </c>
      <c r="P8" s="442" t="s">
        <v>246</v>
      </c>
      <c r="Q8" s="443"/>
      <c r="R8" s="182">
        <f>VLOOKUP(P8,MMWR_APP_NATIONAL[],2,0)</f>
        <v>226676</v>
      </c>
      <c r="S8" s="444" t="s">
        <v>235</v>
      </c>
      <c r="T8" s="421"/>
      <c r="U8" s="183">
        <f>VLOOKUP(P8,MMWR_APP_NATIONAL[],3,0)</f>
        <v>394.04016746370002</v>
      </c>
      <c r="V8" s="25"/>
    </row>
    <row r="9" spans="1:22" s="1" customFormat="1" ht="45" customHeight="1" x14ac:dyDescent="0.2">
      <c r="A9" s="25"/>
      <c r="B9" s="322" t="s">
        <v>253</v>
      </c>
      <c r="C9" s="323"/>
      <c r="D9" s="323"/>
      <c r="E9" s="402"/>
      <c r="F9" s="171">
        <f>IFERROR(VLOOKUP(MID(B9,4,3),MMWR_TRAD_AGG_NATIONAL[],2,0),"--")</f>
        <v>41495</v>
      </c>
      <c r="G9" s="172">
        <f>IFERROR(VLOOKUP(MID(B9,4,3),MMWR_TRAD_AGG_NATIONAL[],3,0),"--")</f>
        <v>10767</v>
      </c>
      <c r="H9" s="173">
        <f t="shared" si="0"/>
        <v>0.25947704542715988</v>
      </c>
      <c r="I9" s="68" t="s">
        <v>316</v>
      </c>
      <c r="J9" s="322" t="s">
        <v>271</v>
      </c>
      <c r="K9" s="323"/>
      <c r="L9" s="171">
        <f>IFERROR(VLOOKUP(MID(J9,4,3),MMWR_TRAD_AGG_NATIONAL[],2,0),"--")</f>
        <v>6591</v>
      </c>
      <c r="M9" s="172">
        <f>IFERROR(VLOOKUP(MID(J9,4,3),MMWR_TRAD_AGG_NATIONAL[],3,0),"--")</f>
        <v>209</v>
      </c>
      <c r="N9" s="173">
        <f>IF(M9="--", 0, M9/L9)</f>
        <v>3.1709907449552419E-2</v>
      </c>
      <c r="O9" s="68" t="s">
        <v>316</v>
      </c>
      <c r="P9" s="400" t="s">
        <v>247</v>
      </c>
      <c r="Q9" s="401"/>
      <c r="R9" s="184">
        <f>VLOOKUP(P9,MMWR_APP_NATIONAL[],2,0)</f>
        <v>55331</v>
      </c>
      <c r="S9" s="396" t="s">
        <v>236</v>
      </c>
      <c r="T9" s="397"/>
      <c r="U9" s="185">
        <f>VLOOKUP(P9,MMWR_APP_NATIONAL[],3,0)</f>
        <v>617.20149644859998</v>
      </c>
      <c r="V9" s="25"/>
    </row>
    <row r="10" spans="1:22" s="1" customFormat="1" ht="63" customHeight="1" thickBot="1" x14ac:dyDescent="0.25">
      <c r="A10" s="25"/>
      <c r="B10" s="322" t="s">
        <v>254</v>
      </c>
      <c r="C10" s="323"/>
      <c r="D10" s="323"/>
      <c r="E10" s="402"/>
      <c r="F10" s="171">
        <f>IFERROR(VLOOKUP(MID(B10,4,3),MMWR_TRAD_AGG_NATIONAL[],2,0),"--")</f>
        <v>84543</v>
      </c>
      <c r="G10" s="172">
        <f>IFERROR(VLOOKUP(MID(B10,4,3),MMWR_TRAD_AGG_NATIONAL[],3,0),"--")</f>
        <v>21224</v>
      </c>
      <c r="H10" s="173">
        <f t="shared" si="0"/>
        <v>0.25104384750955133</v>
      </c>
      <c r="I10" s="68" t="s">
        <v>316</v>
      </c>
      <c r="J10" s="324" t="s">
        <v>273</v>
      </c>
      <c r="K10" s="325"/>
      <c r="L10" s="171">
        <f>IFERROR(VLOOKUP(MID(J10,4,3),MMWR_TRAD_AGG_NATIONAL[],2,0),"--")</f>
        <v>14334</v>
      </c>
      <c r="M10" s="172">
        <f>IFERROR(VLOOKUP(MID(J10,4,3),MMWR_TRAD_AGG_NATIONAL[],3,0),"--")</f>
        <v>3633</v>
      </c>
      <c r="N10" s="173">
        <f>IF(M10="--", 0, M10/L10)</f>
        <v>0.25345332775219759</v>
      </c>
      <c r="O10" s="69"/>
      <c r="P10" s="400" t="s">
        <v>248</v>
      </c>
      <c r="Q10" s="401"/>
      <c r="R10" s="184">
        <f>VLOOKUP(P10,MMWR_APP_NATIONAL[],2,0)</f>
        <v>24171</v>
      </c>
      <c r="S10" s="396" t="s">
        <v>237</v>
      </c>
      <c r="T10" s="397"/>
      <c r="U10" s="185">
        <f>VLOOKUP(P10,MMWR_APP_NATIONAL[],3,0)</f>
        <v>518.69980555209997</v>
      </c>
      <c r="V10" s="25"/>
    </row>
    <row r="11" spans="1:22" s="1" customFormat="1" ht="45" customHeight="1" thickBot="1" x14ac:dyDescent="0.25">
      <c r="A11" s="25"/>
      <c r="B11" s="409" t="s">
        <v>305</v>
      </c>
      <c r="C11" s="410"/>
      <c r="D11" s="410"/>
      <c r="E11" s="410"/>
      <c r="F11" s="168">
        <f>SUM(F12:F13)</f>
        <v>7268</v>
      </c>
      <c r="G11" s="169">
        <f>SUM(G12:G13)</f>
        <v>1285</v>
      </c>
      <c r="H11" s="170">
        <f t="shared" si="0"/>
        <v>0.17680242157402312</v>
      </c>
      <c r="I11" s="25"/>
      <c r="J11" s="409" t="s">
        <v>243</v>
      </c>
      <c r="K11" s="410"/>
      <c r="L11" s="168">
        <f>SUM(L12:L17)</f>
        <v>27751</v>
      </c>
      <c r="M11" s="168">
        <f>SUM(M12:M17)</f>
        <v>6501</v>
      </c>
      <c r="N11" s="161">
        <f>IF(M11="--", 0, M11/L11)</f>
        <v>0.23426182840258009</v>
      </c>
      <c r="O11" s="69"/>
      <c r="P11" s="400" t="s">
        <v>974</v>
      </c>
      <c r="Q11" s="401"/>
      <c r="R11" s="184">
        <f>VLOOKUP(P11,MMWR_APP_NATIONAL[],2,0)</f>
        <v>12417</v>
      </c>
      <c r="S11" s="396" t="s">
        <v>238</v>
      </c>
      <c r="T11" s="397"/>
      <c r="U11" s="185">
        <f>VLOOKUP(P11,MMWR_APP_NATIONAL[],3,0)</f>
        <v>187.48546347749999</v>
      </c>
      <c r="V11" s="25"/>
    </row>
    <row r="12" spans="1:22" s="1" customFormat="1" ht="46.5" customHeight="1" thickBot="1" x14ac:dyDescent="0.25">
      <c r="A12" s="25"/>
      <c r="B12" s="403" t="s">
        <v>275</v>
      </c>
      <c r="C12" s="404"/>
      <c r="D12" s="404"/>
      <c r="E12" s="405"/>
      <c r="F12" s="171">
        <f>IFERROR(VLOOKUP(MID(B12,4,3),MMWR_TRAD_AGG_NATIONAL[],2,0),"--")</f>
        <v>6863</v>
      </c>
      <c r="G12" s="172">
        <f>IFERROR(VLOOKUP(MID(B12,4,3),MMWR_TRAD_AGG_NATIONAL[],3,0),"--")</f>
        <v>1014</v>
      </c>
      <c r="H12" s="173">
        <f t="shared" si="0"/>
        <v>0.14774879790179221</v>
      </c>
      <c r="I12" s="68" t="s">
        <v>316</v>
      </c>
      <c r="J12" s="324" t="s">
        <v>265</v>
      </c>
      <c r="K12" s="397"/>
      <c r="L12" s="171">
        <f>IFERROR(VLOOKUP(MID(J12,4,3)&amp;"p",MMWR_TRAD_AGG_NATIONAL[],2,0),"--")</f>
        <v>967</v>
      </c>
      <c r="M12" s="172">
        <f>IFERROR(VLOOKUP(MID(J12,4,3)&amp;"p",MMWR_TRAD_AGG_NATIONAL[],3,0),"--")</f>
        <v>140</v>
      </c>
      <c r="N12" s="173">
        <f t="shared" ref="N12:N17" si="1">IF(L12="--", 0,M12/L12)</f>
        <v>0.14477766287487073</v>
      </c>
      <c r="O12" s="69"/>
      <c r="P12" s="400" t="s">
        <v>955</v>
      </c>
      <c r="Q12" s="401"/>
      <c r="R12" s="184">
        <f>VLOOKUP(P12,MMWR_APP_NATIONAL[],2,0)</f>
        <v>421</v>
      </c>
      <c r="S12" s="398" t="s">
        <v>972</v>
      </c>
      <c r="T12" s="399"/>
      <c r="U12" s="185">
        <f>VLOOKUP(P12,MMWR_APP_NATIONAL[],3,0)</f>
        <v>430.83135391920001</v>
      </c>
      <c r="V12" s="25"/>
    </row>
    <row r="13" spans="1:22" s="1" customFormat="1" ht="49.5" customHeight="1" thickBot="1" x14ac:dyDescent="0.25">
      <c r="A13" s="25"/>
      <c r="B13" s="403" t="s">
        <v>1065</v>
      </c>
      <c r="C13" s="404"/>
      <c r="D13" s="404"/>
      <c r="E13" s="405"/>
      <c r="F13" s="171">
        <f>IFERROR(VLOOKUP(MID(B13,4,3),MMWR_TRAD_AGG_NATIONAL[],2,0),"--")</f>
        <v>405</v>
      </c>
      <c r="G13" s="172">
        <f>IFERROR(VLOOKUP(MID(B13,4,3),MMWR_TRAD_AGG_NATIONAL[],3,0),"--")</f>
        <v>271</v>
      </c>
      <c r="H13" s="173">
        <f t="shared" si="0"/>
        <v>0.66913580246913584</v>
      </c>
      <c r="I13" s="25"/>
      <c r="J13" s="324" t="s">
        <v>274</v>
      </c>
      <c r="K13" s="397"/>
      <c r="L13" s="171">
        <f>IFERROR(VLOOKUP(MID(J13,4,3),MMWR_TRAD_AGG_NATIONAL[],2,0),"--")</f>
        <v>3422</v>
      </c>
      <c r="M13" s="172">
        <f>IFERROR(VLOOKUP(MID(J13,4,3),MMWR_TRAD_AGG_NATIONAL[],3,0),"--")</f>
        <v>912</v>
      </c>
      <c r="N13" s="173">
        <f t="shared" si="1"/>
        <v>0.26651081239041496</v>
      </c>
      <c r="O13" s="69"/>
      <c r="P13" s="409" t="s">
        <v>984</v>
      </c>
      <c r="Q13" s="410"/>
      <c r="R13" s="411"/>
      <c r="S13" s="412">
        <f>VLOOKUP(P13,MMWR_APP_NATIONAL[],2,0)</f>
        <v>18651</v>
      </c>
      <c r="T13" s="413"/>
      <c r="U13" s="414"/>
      <c r="V13" s="25"/>
    </row>
    <row r="14" spans="1:22" s="1" customFormat="1" ht="45" customHeight="1" thickBot="1" x14ac:dyDescent="0.25">
      <c r="A14" s="25"/>
      <c r="B14" s="409" t="s">
        <v>1</v>
      </c>
      <c r="C14" s="410"/>
      <c r="D14" s="410"/>
      <c r="E14" s="410"/>
      <c r="F14" s="168">
        <f>SUM(F15:F21)</f>
        <v>207278</v>
      </c>
      <c r="G14" s="169">
        <f>SUM(G15:G21)</f>
        <v>37008</v>
      </c>
      <c r="H14" s="170">
        <f t="shared" si="0"/>
        <v>0.17854282654213183</v>
      </c>
      <c r="I14" s="25"/>
      <c r="J14" s="324" t="s">
        <v>276</v>
      </c>
      <c r="K14" s="397"/>
      <c r="L14" s="171">
        <f>IFERROR(VLOOKUP(MID(J14,4,3),MMWR_TRAD_AGG_NATIONAL[],2,0),"--")</f>
        <v>10113</v>
      </c>
      <c r="M14" s="172">
        <f>IFERROR(VLOOKUP(MID(J14,4,3),MMWR_TRAD_AGG_NATIONAL[],3,0),"--")</f>
        <v>2555</v>
      </c>
      <c r="N14" s="173">
        <f t="shared" si="1"/>
        <v>0.25264511025412834</v>
      </c>
      <c r="O14" s="69"/>
      <c r="P14" s="21"/>
      <c r="Q14" s="21"/>
      <c r="R14" s="21"/>
      <c r="S14" s="28"/>
      <c r="T14" s="28"/>
      <c r="U14" s="70"/>
      <c r="V14" s="25"/>
    </row>
    <row r="15" spans="1:22" s="1" customFormat="1" ht="44.25" customHeight="1" thickBot="1" x14ac:dyDescent="0.25">
      <c r="A15" s="25"/>
      <c r="B15" s="322" t="s">
        <v>256</v>
      </c>
      <c r="C15" s="323"/>
      <c r="D15" s="323"/>
      <c r="E15" s="402"/>
      <c r="F15" s="171">
        <f>IFERROR(VLOOKUP(MID(B15,4,3),MMWR_TRAD_AGG_NATIONAL[],2,0),"--")</f>
        <v>206858</v>
      </c>
      <c r="G15" s="172">
        <f>IFERROR(VLOOKUP(MID(B15,4,3),MMWR_TRAD_AGG_NATIONAL[],3,0),"--")</f>
        <v>36857</v>
      </c>
      <c r="H15" s="173">
        <f t="shared" si="0"/>
        <v>0.17817536667665743</v>
      </c>
      <c r="I15" s="68" t="s">
        <v>316</v>
      </c>
      <c r="J15" s="324" t="s">
        <v>277</v>
      </c>
      <c r="K15" s="397"/>
      <c r="L15" s="171">
        <f>IFERROR(VLOOKUP(MID(J15,4,3),MMWR_TRAD_AGG_NATIONAL[],2,0),"--")</f>
        <v>8</v>
      </c>
      <c r="M15" s="172">
        <f>IFERROR(VLOOKUP(MID(J15,4,3),MMWR_TRAD_AGG_NATIONAL[],3,0),"--")</f>
        <v>7</v>
      </c>
      <c r="N15" s="173">
        <f t="shared" si="1"/>
        <v>0.875</v>
      </c>
      <c r="O15" s="69"/>
      <c r="P15" s="25"/>
      <c r="Q15" s="25"/>
      <c r="R15" s="25"/>
      <c r="S15" s="25"/>
      <c r="T15" s="28"/>
      <c r="U15" s="71"/>
      <c r="V15" s="25"/>
    </row>
    <row r="16" spans="1:22" s="1" customFormat="1" ht="57.75" customHeight="1" thickBot="1" x14ac:dyDescent="0.25">
      <c r="A16" s="25"/>
      <c r="B16" s="324" t="s">
        <v>257</v>
      </c>
      <c r="C16" s="325"/>
      <c r="D16" s="325"/>
      <c r="E16" s="397"/>
      <c r="F16" s="171">
        <f>IFERROR(VLOOKUP(MID(B16,4,3),MMWR_TRAD_AGG_NATIONAL[],2,0),"--")</f>
        <v>241</v>
      </c>
      <c r="G16" s="172">
        <f>IFERROR(VLOOKUP(MID(B16,4,3),MMWR_TRAD_AGG_NATIONAL[],3,0),"--")</f>
        <v>16</v>
      </c>
      <c r="H16" s="173">
        <f t="shared" si="0"/>
        <v>6.6390041493775934E-2</v>
      </c>
      <c r="I16" s="68" t="s">
        <v>316</v>
      </c>
      <c r="J16" s="324" t="s">
        <v>278</v>
      </c>
      <c r="K16" s="397"/>
      <c r="L16" s="171">
        <f>IFERROR(VLOOKUP(MID(J16,4,3),MMWR_TRAD_AGG_NATIONAL[],2,0),"--")</f>
        <v>3359</v>
      </c>
      <c r="M16" s="172">
        <f>IFERROR(VLOOKUP(MID(J16,4,3),MMWR_TRAD_AGG_NATIONAL[],3,0),"--")</f>
        <v>1081</v>
      </c>
      <c r="N16" s="173">
        <f t="shared" si="1"/>
        <v>0.32182197082465019</v>
      </c>
      <c r="O16" s="69"/>
      <c r="P16" s="406" t="s">
        <v>956</v>
      </c>
      <c r="Q16" s="407"/>
      <c r="R16" s="407"/>
      <c r="S16" s="408"/>
      <c r="T16" s="28"/>
      <c r="U16" s="71"/>
      <c r="V16" s="25"/>
    </row>
    <row r="17" spans="1:22" s="1" customFormat="1" ht="31.5" customHeight="1" thickBot="1" x14ac:dyDescent="0.25">
      <c r="A17" s="25"/>
      <c r="B17" s="324" t="s">
        <v>258</v>
      </c>
      <c r="C17" s="325"/>
      <c r="D17" s="325"/>
      <c r="E17" s="397"/>
      <c r="F17" s="171">
        <f>IFERROR(VLOOKUP(MID(B17,4,3),MMWR_TRAD_AGG_NATIONAL[],2,0),"--")</f>
        <v>158</v>
      </c>
      <c r="G17" s="172">
        <f>IFERROR(VLOOKUP(MID(B17,4,3),MMWR_TRAD_AGG_NATIONAL[],3,0),"--")</f>
        <v>127</v>
      </c>
      <c r="H17" s="173">
        <f t="shared" si="0"/>
        <v>0.80379746835443033</v>
      </c>
      <c r="I17" s="25"/>
      <c r="J17" s="324" t="s">
        <v>279</v>
      </c>
      <c r="K17" s="397"/>
      <c r="L17" s="171">
        <f>IFERROR(VLOOKUP(MID(J17,4,3),MMWR_TRAD_AGG_NATIONAL[],2,0),"--")</f>
        <v>9882</v>
      </c>
      <c r="M17" s="172">
        <f>IFERROR(VLOOKUP(MID(J17,4,3),MMWR_TRAD_AGG_NATIONAL[],3,0),"--")</f>
        <v>1806</v>
      </c>
      <c r="N17" s="173">
        <f t="shared" si="1"/>
        <v>0.18275652701882211</v>
      </c>
      <c r="O17" s="72"/>
      <c r="P17" s="415" t="s">
        <v>251</v>
      </c>
      <c r="Q17" s="416"/>
      <c r="R17" s="416"/>
      <c r="S17" s="186">
        <f>IFERROR(VLOOKUP("160",MMWR_TRAD_AGG_NATIONAL[],2,0),"--")</f>
        <v>21661</v>
      </c>
      <c r="T17" s="28"/>
      <c r="U17" s="71"/>
      <c r="V17" s="25"/>
    </row>
    <row r="18" spans="1:22" s="1" customFormat="1" ht="32.25" customHeight="1" thickBot="1" x14ac:dyDescent="0.25">
      <c r="A18" s="25"/>
      <c r="B18" s="324" t="s">
        <v>259</v>
      </c>
      <c r="C18" s="325"/>
      <c r="D18" s="325"/>
      <c r="E18" s="397"/>
      <c r="F18" s="171">
        <f>IFERROR(VLOOKUP(MID(B18,4,3),MMWR_TRAD_AGG_NATIONAL[],2,0),"--")</f>
        <v>9</v>
      </c>
      <c r="G18" s="172">
        <f>IFERROR(VLOOKUP(MID(B18,4,3),MMWR_TRAD_AGG_NATIONAL[],3,0),"--")</f>
        <v>5</v>
      </c>
      <c r="H18" s="173">
        <f t="shared" si="0"/>
        <v>0.55555555555555558</v>
      </c>
      <c r="I18" s="68" t="s">
        <v>316</v>
      </c>
      <c r="J18" s="409" t="s">
        <v>15</v>
      </c>
      <c r="K18" s="410"/>
      <c r="L18" s="168">
        <f>SUM(L19:L21)</f>
        <v>686</v>
      </c>
      <c r="M18" s="168">
        <f>SUM(M19:M21)</f>
        <v>632</v>
      </c>
      <c r="N18" s="161">
        <f t="shared" ref="N18:N26" si="2">IF(M18="--", 0, M18/L18)</f>
        <v>0.92128279883381925</v>
      </c>
      <c r="O18" s="73"/>
      <c r="P18" s="417" t="s">
        <v>252</v>
      </c>
      <c r="Q18" s="418"/>
      <c r="R18" s="418"/>
      <c r="S18" s="187">
        <f>IFERROR(VLOOKUP("165",MMWR_TRAD_AGG_NATIONAL[],2,0),"--")</f>
        <v>9634</v>
      </c>
      <c r="T18" s="28"/>
      <c r="U18" s="71"/>
      <c r="V18" s="25"/>
    </row>
    <row r="19" spans="1:22" s="1" customFormat="1" ht="41.25" customHeight="1" x14ac:dyDescent="0.4">
      <c r="A19" s="25"/>
      <c r="B19" s="324" t="s">
        <v>260</v>
      </c>
      <c r="C19" s="325"/>
      <c r="D19" s="325"/>
      <c r="E19" s="397"/>
      <c r="F19" s="171">
        <f>IFERROR(VLOOKUP(MID(B19,4,3),MMWR_TRAD_AGG_NATIONAL[],2,0),"--")</f>
        <v>4</v>
      </c>
      <c r="G19" s="172">
        <f>IFERROR(VLOOKUP(MID(B19,4,3),MMWR_TRAD_AGG_NATIONAL[],3,0),"--")</f>
        <v>1</v>
      </c>
      <c r="H19" s="173">
        <f t="shared" si="0"/>
        <v>0.25</v>
      </c>
      <c r="I19" s="68" t="s">
        <v>316</v>
      </c>
      <c r="J19" s="324" t="s">
        <v>280</v>
      </c>
      <c r="K19" s="397"/>
      <c r="L19" s="171">
        <f>IFERROR(VLOOKUP(MID(J19,4,3),MMWR_TRAD_AGG_NATIONAL[],2,0),"--")</f>
        <v>529</v>
      </c>
      <c r="M19" s="172">
        <f>IFERROR(VLOOKUP(MID(J19,4,3),MMWR_TRAD_AGG_NATIONAL[],3,0),"--")</f>
        <v>524</v>
      </c>
      <c r="N19" s="173">
        <f t="shared" si="2"/>
        <v>0.99054820415879019</v>
      </c>
      <c r="O19" s="56"/>
      <c r="P19" s="25"/>
      <c r="Q19" s="25"/>
      <c r="R19" s="25"/>
      <c r="S19" s="25"/>
      <c r="T19" s="28"/>
      <c r="U19" s="71"/>
      <c r="V19" s="25"/>
    </row>
    <row r="20" spans="1:22" s="1" customFormat="1" ht="40.5" customHeight="1" x14ac:dyDescent="0.4">
      <c r="A20" s="25"/>
      <c r="B20" s="324" t="s">
        <v>261</v>
      </c>
      <c r="C20" s="325"/>
      <c r="D20" s="325"/>
      <c r="E20" s="397"/>
      <c r="F20" s="171">
        <f>IFERROR(VLOOKUP(MID(B20,4,3),MMWR_TRAD_AGG_NATIONAL[],2,0),"--")</f>
        <v>4</v>
      </c>
      <c r="G20" s="172">
        <f>IFERROR(VLOOKUP(MID(B20,4,3),MMWR_TRAD_AGG_NATIONAL[],3,0),"--")</f>
        <v>2</v>
      </c>
      <c r="H20" s="173">
        <f t="shared" si="0"/>
        <v>0.5</v>
      </c>
      <c r="I20" s="68" t="s">
        <v>316</v>
      </c>
      <c r="J20" s="324" t="s">
        <v>303</v>
      </c>
      <c r="K20" s="397"/>
      <c r="L20" s="171">
        <f>IFERROR(VLOOKUP(MID(J20,4,3),MMWR_TRAD_AGG_NATIONAL[],2,0),"--")</f>
        <v>130</v>
      </c>
      <c r="M20" s="172">
        <f>IFERROR(VLOOKUP(MID(J20,4,3),MMWR_TRAD_AGG_NATIONAL[],3,0),"--")</f>
        <v>106</v>
      </c>
      <c r="N20" s="173">
        <f t="shared" si="2"/>
        <v>0.81538461538461537</v>
      </c>
      <c r="O20" s="56"/>
      <c r="P20" s="56"/>
      <c r="Q20" s="56"/>
      <c r="R20" s="56"/>
      <c r="S20" s="56"/>
      <c r="T20" s="56"/>
      <c r="U20" s="74"/>
      <c r="V20" s="25"/>
    </row>
    <row r="21" spans="1:22" s="1" customFormat="1" ht="39" customHeight="1" thickBot="1" x14ac:dyDescent="0.45">
      <c r="A21" s="25"/>
      <c r="B21" s="324" t="s">
        <v>262</v>
      </c>
      <c r="C21" s="325"/>
      <c r="D21" s="325"/>
      <c r="E21" s="397"/>
      <c r="F21" s="171">
        <f>IFERROR(VLOOKUP(MID(B21,4,3),MMWR_TRAD_AGG_NATIONAL[],2,0),"--")</f>
        <v>4</v>
      </c>
      <c r="G21" s="172">
        <f>IFERROR(VLOOKUP(MID(B21,4,3),MMWR_TRAD_AGG_NATIONAL[],3,0),"--")</f>
        <v>0</v>
      </c>
      <c r="H21" s="173">
        <f t="shared" si="0"/>
        <v>0</v>
      </c>
      <c r="I21" s="68" t="s">
        <v>316</v>
      </c>
      <c r="J21" s="324" t="s">
        <v>281</v>
      </c>
      <c r="K21" s="397"/>
      <c r="L21" s="171">
        <f>IFERROR(VLOOKUP(MID(J21,4,3),MMWR_TRAD_AGG_NATIONAL[],2,0),"--")</f>
        <v>27</v>
      </c>
      <c r="M21" s="172">
        <f>IFERROR(VLOOKUP(MID(J21,4,3),MMWR_TRAD_AGG_NATIONAL[],3,0),"--")</f>
        <v>2</v>
      </c>
      <c r="N21" s="173">
        <f t="shared" si="2"/>
        <v>7.407407407407407E-2</v>
      </c>
      <c r="O21" s="56"/>
      <c r="P21" s="56"/>
      <c r="Q21" s="56"/>
      <c r="R21" s="56"/>
      <c r="S21" s="56"/>
      <c r="T21" s="56"/>
      <c r="U21" s="74"/>
      <c r="V21" s="25"/>
    </row>
    <row r="22" spans="1:22" s="1" customFormat="1" ht="32.25" customHeight="1" thickBot="1" x14ac:dyDescent="0.45">
      <c r="A22" s="25"/>
      <c r="B22" s="409" t="s">
        <v>13</v>
      </c>
      <c r="C22" s="410"/>
      <c r="D22" s="410"/>
      <c r="E22" s="410"/>
      <c r="F22" s="168">
        <f>SUM(F23:F29)</f>
        <v>489656</v>
      </c>
      <c r="G22" s="169">
        <f>SUM(G23:G29)</f>
        <v>306567</v>
      </c>
      <c r="H22" s="170">
        <f t="shared" si="0"/>
        <v>0.6260864770369402</v>
      </c>
      <c r="I22" s="25"/>
      <c r="J22" s="409" t="s">
        <v>230</v>
      </c>
      <c r="K22" s="410"/>
      <c r="L22" s="168">
        <f>SUM(L23:L26)</f>
        <v>1842</v>
      </c>
      <c r="M22" s="168">
        <f>SUM(M23:M26)</f>
        <v>630</v>
      </c>
      <c r="N22" s="161">
        <f t="shared" si="2"/>
        <v>0.34201954397394135</v>
      </c>
      <c r="O22" s="56"/>
      <c r="P22" s="25"/>
      <c r="Q22" s="25"/>
      <c r="R22" s="25"/>
      <c r="S22" s="25"/>
      <c r="T22" s="56"/>
      <c r="U22" s="74"/>
      <c r="V22" s="25"/>
    </row>
    <row r="23" spans="1:22" s="1" customFormat="1" ht="26.25" customHeight="1" x14ac:dyDescent="0.4">
      <c r="A23" s="25"/>
      <c r="B23" s="403" t="s">
        <v>263</v>
      </c>
      <c r="C23" s="404"/>
      <c r="D23" s="404"/>
      <c r="E23" s="405"/>
      <c r="F23" s="171">
        <f>IFERROR(VLOOKUP(MID(B23,4,3),MMWR_TRAD_AGG_NATIONAL[],2,0),"--")</f>
        <v>219955</v>
      </c>
      <c r="G23" s="172">
        <f>IFERROR(VLOOKUP(MID(B23,4,3),MMWR_TRAD_AGG_NATIONAL[],3,0),"--")</f>
        <v>153224</v>
      </c>
      <c r="H23" s="173">
        <f t="shared" si="0"/>
        <v>0.69661521674888049</v>
      </c>
      <c r="I23" s="25"/>
      <c r="J23" s="420" t="s">
        <v>284</v>
      </c>
      <c r="K23" s="421"/>
      <c r="L23" s="174">
        <f>IFERROR(VLOOKUP(MID(J23,4,3),MMWR_TRAD_AGG_NATIONAL[],2,0),"--")</f>
        <v>704</v>
      </c>
      <c r="M23" s="175">
        <f>IFERROR(VLOOKUP(MID(J23,4,3),MMWR_TRAD_AGG_NATIONAL[],3,0),"--")</f>
        <v>279</v>
      </c>
      <c r="N23" s="176">
        <f t="shared" si="2"/>
        <v>0.39630681818181818</v>
      </c>
      <c r="O23" s="56"/>
      <c r="P23" s="25"/>
      <c r="Q23" s="25"/>
      <c r="R23" s="25"/>
      <c r="S23" s="25"/>
      <c r="T23" s="56"/>
      <c r="U23" s="74"/>
      <c r="V23" s="25"/>
    </row>
    <row r="24" spans="1:22" s="1" customFormat="1" ht="39.75" customHeight="1" x14ac:dyDescent="0.4">
      <c r="A24" s="25"/>
      <c r="B24" s="403" t="s">
        <v>264</v>
      </c>
      <c r="C24" s="404"/>
      <c r="D24" s="404"/>
      <c r="E24" s="405"/>
      <c r="F24" s="171">
        <f>IFERROR(VLOOKUP(MID(B24,4,3),MMWR_TRAD_AGG_NATIONAL[],2,0),"--")</f>
        <v>207</v>
      </c>
      <c r="G24" s="172">
        <f>IFERROR(VLOOKUP(MID(B24,4,3),MMWR_TRAD_AGG_NATIONAL[],3,0),"--")</f>
        <v>98</v>
      </c>
      <c r="H24" s="173">
        <f t="shared" si="0"/>
        <v>0.47342995169082125</v>
      </c>
      <c r="I24" s="25"/>
      <c r="J24" s="324" t="s">
        <v>283</v>
      </c>
      <c r="K24" s="397"/>
      <c r="L24" s="171">
        <f>IFERROR(VLOOKUP(MID(J24,4,3),MMWR_TRAD_AGG_NATIONAL[],2,0),"--")</f>
        <v>547</v>
      </c>
      <c r="M24" s="172">
        <f>IFERROR(VLOOKUP(MID(J24,4,3),MMWR_TRAD_AGG_NATIONAL[],3,0),"--")</f>
        <v>20</v>
      </c>
      <c r="N24" s="173">
        <f t="shared" si="2"/>
        <v>3.6563071297989032E-2</v>
      </c>
      <c r="O24" s="56"/>
      <c r="P24" s="25"/>
      <c r="Q24" s="25"/>
      <c r="R24" s="25"/>
      <c r="S24" s="25"/>
      <c r="T24" s="56"/>
      <c r="U24" s="74"/>
      <c r="V24" s="25"/>
    </row>
    <row r="25" spans="1:22" s="1" customFormat="1" ht="37.5" customHeight="1" x14ac:dyDescent="0.4">
      <c r="A25" s="25"/>
      <c r="B25" s="403" t="s">
        <v>265</v>
      </c>
      <c r="C25" s="404"/>
      <c r="D25" s="404"/>
      <c r="E25" s="405"/>
      <c r="F25" s="171">
        <f>IFERROR(VLOOKUP(MID(B25,4,3),MMWR_TRAD_AGG_NATIONAL[],2,0),"--")</f>
        <v>261</v>
      </c>
      <c r="G25" s="172">
        <f>IFERROR(VLOOKUP(MID(B25,4,3),MMWR_TRAD_AGG_NATIONAL[],3,0),"--")</f>
        <v>162</v>
      </c>
      <c r="H25" s="173">
        <f t="shared" si="0"/>
        <v>0.62068965517241381</v>
      </c>
      <c r="I25" s="25"/>
      <c r="J25" s="324" t="s">
        <v>282</v>
      </c>
      <c r="K25" s="397"/>
      <c r="L25" s="171">
        <f>IFERROR(VLOOKUP(MID(J25,4,3),MMWR_TRAD_AGG_NATIONAL[],2,0),"--")</f>
        <v>548</v>
      </c>
      <c r="M25" s="172">
        <f>IFERROR(VLOOKUP(MID(J25,4,3),MMWR_TRAD_AGG_NATIONAL[],3,0),"--")</f>
        <v>302</v>
      </c>
      <c r="N25" s="173">
        <f t="shared" si="2"/>
        <v>0.55109489051094895</v>
      </c>
      <c r="O25" s="56"/>
      <c r="P25" s="56"/>
      <c r="Q25" s="56"/>
      <c r="R25" s="56"/>
      <c r="S25" s="56"/>
      <c r="T25" s="56"/>
      <c r="U25" s="74"/>
      <c r="V25" s="25"/>
    </row>
    <row r="26" spans="1:22" s="1" customFormat="1" ht="37.5" customHeight="1" thickBot="1" x14ac:dyDescent="0.45">
      <c r="A26" s="25"/>
      <c r="B26" s="403" t="s">
        <v>266</v>
      </c>
      <c r="C26" s="404"/>
      <c r="D26" s="404"/>
      <c r="E26" s="405"/>
      <c r="F26" s="171">
        <f>IFERROR(VLOOKUP(MID(B26,4,3),MMWR_TRAD_AGG_NATIONAL[],2,0),"--")</f>
        <v>122580</v>
      </c>
      <c r="G26" s="172">
        <f>IFERROR(VLOOKUP(MID(B26,4,3),MMWR_TRAD_AGG_NATIONAL[],3,0),"--")</f>
        <v>95793</v>
      </c>
      <c r="H26" s="173">
        <f t="shared" si="0"/>
        <v>0.78147332354380816</v>
      </c>
      <c r="I26" s="56"/>
      <c r="J26" s="326" t="s">
        <v>319</v>
      </c>
      <c r="K26" s="399"/>
      <c r="L26" s="177">
        <f>IFERROR(VLOOKUP(MID(J26,4,3),MMWR_TRAD_AGG_NATIONAL[],2,0),"--")</f>
        <v>43</v>
      </c>
      <c r="M26" s="178">
        <f>IFERROR(VLOOKUP(MID(J26,4,3),MMWR_TRAD_AGG_NATIONAL[],3,0),"--")</f>
        <v>29</v>
      </c>
      <c r="N26" s="179">
        <f t="shared" si="2"/>
        <v>0.67441860465116277</v>
      </c>
      <c r="O26" s="56"/>
      <c r="P26" s="56"/>
      <c r="Q26" s="56"/>
      <c r="R26" s="56"/>
      <c r="S26" s="56"/>
      <c r="T26" s="56"/>
      <c r="U26" s="74"/>
      <c r="V26" s="25"/>
    </row>
    <row r="27" spans="1:22" s="1" customFormat="1" ht="26.25" customHeight="1" thickBot="1" x14ac:dyDescent="0.45">
      <c r="A27" s="25"/>
      <c r="B27" s="403" t="s">
        <v>267</v>
      </c>
      <c r="C27" s="404"/>
      <c r="D27" s="404"/>
      <c r="E27" s="405"/>
      <c r="F27" s="171">
        <f>IFERROR(VLOOKUP(MID(B27,4,3),MMWR_TRAD_AGG_NATIONAL[],2,0),"--")</f>
        <v>30</v>
      </c>
      <c r="G27" s="172">
        <f>IFERROR(VLOOKUP(MID(B27,4,3),MMWR_TRAD_AGG_NATIONAL[],3,0),"--")</f>
        <v>5</v>
      </c>
      <c r="H27" s="173">
        <f t="shared" si="0"/>
        <v>0.16666666666666666</v>
      </c>
      <c r="I27" s="56"/>
      <c r="J27" s="56"/>
      <c r="K27" s="56"/>
      <c r="L27" s="56"/>
      <c r="M27" s="56"/>
      <c r="N27" s="56"/>
      <c r="O27" s="56"/>
      <c r="P27" s="56"/>
      <c r="Q27" s="56"/>
      <c r="R27" s="56"/>
      <c r="S27" s="56"/>
      <c r="T27" s="56"/>
      <c r="U27" s="74"/>
      <c r="V27" s="25"/>
    </row>
    <row r="28" spans="1:22" s="1" customFormat="1" ht="32.25" customHeight="1" x14ac:dyDescent="0.4">
      <c r="A28" s="25"/>
      <c r="B28" s="403" t="s">
        <v>268</v>
      </c>
      <c r="C28" s="404"/>
      <c r="D28" s="404"/>
      <c r="E28" s="405"/>
      <c r="F28" s="171">
        <f>IFERROR(VLOOKUP(MID(B28,4,3),MMWR_TRAD_AGG_NATIONAL[],2,0),"--")</f>
        <v>15904</v>
      </c>
      <c r="G28" s="172">
        <f>IFERROR(VLOOKUP(MID(B28,4,3),MMWR_TRAD_AGG_NATIONAL[],3,0),"--")</f>
        <v>2301</v>
      </c>
      <c r="H28" s="173">
        <f t="shared" si="0"/>
        <v>0.14468058350100604</v>
      </c>
      <c r="I28" s="68" t="s">
        <v>316</v>
      </c>
      <c r="J28" s="447" t="s">
        <v>318</v>
      </c>
      <c r="K28" s="448"/>
      <c r="L28" s="448"/>
      <c r="M28" s="448"/>
      <c r="N28" s="449"/>
      <c r="O28" s="419" t="s">
        <v>316</v>
      </c>
      <c r="P28" s="75"/>
      <c r="Q28" s="56"/>
      <c r="R28" s="56"/>
      <c r="S28" s="56"/>
      <c r="T28" s="56"/>
      <c r="U28" s="74"/>
      <c r="V28" s="25"/>
    </row>
    <row r="29" spans="1:22" s="1" customFormat="1" ht="27" customHeight="1" thickBot="1" x14ac:dyDescent="0.45">
      <c r="A29" s="25"/>
      <c r="B29" s="403" t="s">
        <v>269</v>
      </c>
      <c r="C29" s="404"/>
      <c r="D29" s="404"/>
      <c r="E29" s="405"/>
      <c r="F29" s="171">
        <f>IFERROR(VLOOKUP(MID(B29,4,3),MMWR_TRAD_AGG_NATIONAL[],2,0),"--")</f>
        <v>130719</v>
      </c>
      <c r="G29" s="172">
        <f>IFERROR(VLOOKUP(MID(B29,4,3),MMWR_TRAD_AGG_NATIONAL[],3,0),"--")</f>
        <v>54984</v>
      </c>
      <c r="H29" s="173">
        <f t="shared" si="0"/>
        <v>0.42062745278039154</v>
      </c>
      <c r="I29" s="56"/>
      <c r="J29" s="450"/>
      <c r="K29" s="451"/>
      <c r="L29" s="451"/>
      <c r="M29" s="451"/>
      <c r="N29" s="452"/>
      <c r="O29" s="419"/>
      <c r="P29" s="76"/>
      <c r="Q29" s="56"/>
      <c r="R29" s="56"/>
      <c r="S29" s="56"/>
      <c r="T29" s="56"/>
      <c r="U29" s="74"/>
      <c r="V29" s="25"/>
    </row>
    <row r="30" spans="1:22" s="1" customFormat="1" ht="32.25" customHeight="1" thickBot="1" x14ac:dyDescent="0.45">
      <c r="A30" s="25"/>
      <c r="B30" s="409" t="s">
        <v>32</v>
      </c>
      <c r="C30" s="410"/>
      <c r="D30" s="410"/>
      <c r="E30" s="410"/>
      <c r="F30" s="169">
        <f>SUM(F31:F37)</f>
        <v>84653</v>
      </c>
      <c r="G30" s="169">
        <f>SUM(G31:G37)</f>
        <v>72307</v>
      </c>
      <c r="H30" s="161">
        <f t="shared" si="0"/>
        <v>0.85415756086612404</v>
      </c>
      <c r="I30" s="56"/>
      <c r="J30" s="28"/>
      <c r="K30" s="28"/>
      <c r="L30" s="28"/>
      <c r="M30" s="28"/>
      <c r="N30" s="28"/>
      <c r="O30" s="28"/>
      <c r="P30" s="56"/>
      <c r="Q30" s="56"/>
      <c r="R30" s="56"/>
      <c r="S30" s="56"/>
      <c r="T30" s="56"/>
      <c r="U30" s="74"/>
      <c r="V30" s="25"/>
    </row>
    <row r="31" spans="1:22" s="1" customFormat="1" ht="33.75" customHeight="1" x14ac:dyDescent="0.4">
      <c r="A31" s="25"/>
      <c r="B31" s="324" t="s">
        <v>286</v>
      </c>
      <c r="C31" s="325"/>
      <c r="D31" s="325"/>
      <c r="E31" s="397"/>
      <c r="F31" s="171">
        <f>IFERROR(VLOOKUP(MID(B31,4,3),MMWR_TRAD_AGG_NATIONAL[],2,0),"--")</f>
        <v>52</v>
      </c>
      <c r="G31" s="172">
        <f>IFERROR(VLOOKUP(MID(B31,4,3),MMWR_TRAD_AGG_NATIONAL[],3,0),"--")</f>
        <v>44</v>
      </c>
      <c r="H31" s="173">
        <f t="shared" si="0"/>
        <v>0.84615384615384615</v>
      </c>
      <c r="I31" s="56"/>
      <c r="J31" s="56"/>
      <c r="K31" s="56"/>
      <c r="L31" s="56"/>
      <c r="M31" s="56"/>
      <c r="N31" s="56"/>
      <c r="O31" s="56"/>
      <c r="P31" s="56"/>
      <c r="Q31" s="56"/>
      <c r="R31" s="56"/>
      <c r="S31" s="56"/>
      <c r="T31" s="56"/>
      <c r="U31" s="74"/>
      <c r="V31" s="25"/>
    </row>
    <row r="32" spans="1:22" s="1" customFormat="1" ht="32.25" customHeight="1" x14ac:dyDescent="0.4">
      <c r="A32" s="25"/>
      <c r="B32" s="324" t="s">
        <v>287</v>
      </c>
      <c r="C32" s="325"/>
      <c r="D32" s="325"/>
      <c r="E32" s="397"/>
      <c r="F32" s="171">
        <f>IFERROR(VLOOKUP(MID(B32,4,3),MMWR_TRAD_AGG_NATIONAL[],2,0),"--")</f>
        <v>44</v>
      </c>
      <c r="G32" s="172">
        <f>IFERROR(VLOOKUP(MID(B32,4,3),MMWR_TRAD_AGG_NATIONAL[],3,0),"--")</f>
        <v>44</v>
      </c>
      <c r="H32" s="173">
        <f t="shared" si="0"/>
        <v>1</v>
      </c>
      <c r="I32" s="56"/>
      <c r="J32" s="56"/>
      <c r="K32" s="56"/>
      <c r="L32" s="56"/>
      <c r="M32" s="56"/>
      <c r="N32" s="56"/>
      <c r="O32" s="56"/>
      <c r="P32" s="56"/>
      <c r="Q32" s="56"/>
      <c r="R32" s="56"/>
      <c r="S32" s="56"/>
      <c r="T32" s="56"/>
      <c r="U32" s="74"/>
      <c r="V32" s="25"/>
    </row>
    <row r="33" spans="1:22" s="1" customFormat="1" ht="32.25" customHeight="1" x14ac:dyDescent="0.4">
      <c r="A33" s="25"/>
      <c r="B33" s="324" t="s">
        <v>288</v>
      </c>
      <c r="C33" s="325"/>
      <c r="D33" s="325"/>
      <c r="E33" s="397"/>
      <c r="F33" s="171">
        <f>IFERROR(VLOOKUP(MID(B33,4,3),MMWR_TRAD_AGG_NATIONAL[],2,0),"--")</f>
        <v>701</v>
      </c>
      <c r="G33" s="172">
        <f>IFERROR(VLOOKUP(MID(B33,4,3),MMWR_TRAD_AGG_NATIONAL[],3,0),"--")</f>
        <v>646</v>
      </c>
      <c r="H33" s="173">
        <f t="shared" si="0"/>
        <v>0.92154065620542081</v>
      </c>
      <c r="I33" s="56"/>
      <c r="J33" s="56"/>
      <c r="K33" s="56"/>
      <c r="L33" s="28"/>
      <c r="M33" s="28"/>
      <c r="N33" s="28"/>
      <c r="O33" s="28"/>
      <c r="P33" s="28"/>
      <c r="Q33" s="28"/>
      <c r="R33" s="56"/>
      <c r="S33" s="56"/>
      <c r="T33" s="56"/>
      <c r="U33" s="74"/>
      <c r="V33" s="25"/>
    </row>
    <row r="34" spans="1:22" s="1" customFormat="1" ht="32.25" customHeight="1" x14ac:dyDescent="0.4">
      <c r="A34" s="25"/>
      <c r="B34" s="324" t="s">
        <v>289</v>
      </c>
      <c r="C34" s="325"/>
      <c r="D34" s="325"/>
      <c r="E34" s="397"/>
      <c r="F34" s="171">
        <f>IFERROR(VLOOKUP(MID(B34,4,3),MMWR_TRAD_AGG_NATIONAL[],2,0),"--")</f>
        <v>1258</v>
      </c>
      <c r="G34" s="172">
        <f>IFERROR(VLOOKUP(MID(B34,4,3),MMWR_TRAD_AGG_NATIONAL[],3,0),"--")</f>
        <v>240</v>
      </c>
      <c r="H34" s="173">
        <f t="shared" si="0"/>
        <v>0.19077901430842609</v>
      </c>
      <c r="I34" s="56"/>
      <c r="J34" s="56"/>
      <c r="K34" s="56"/>
      <c r="L34" s="28"/>
      <c r="M34" s="28"/>
      <c r="N34" s="28"/>
      <c r="O34" s="28"/>
      <c r="P34" s="28"/>
      <c r="Q34" s="28"/>
      <c r="R34" s="56"/>
      <c r="S34" s="56"/>
      <c r="T34" s="56"/>
      <c r="U34" s="74"/>
      <c r="V34" s="25"/>
    </row>
    <row r="35" spans="1:22" s="1" customFormat="1" ht="32.25" customHeight="1" x14ac:dyDescent="0.4">
      <c r="A35" s="25"/>
      <c r="B35" s="324" t="s">
        <v>290</v>
      </c>
      <c r="C35" s="325"/>
      <c r="D35" s="325"/>
      <c r="E35" s="397"/>
      <c r="F35" s="171">
        <f>IFERROR(VLOOKUP(MID(B35,4,3),MMWR_TRAD_AGG_NATIONAL[],2,0),"--")</f>
        <v>186</v>
      </c>
      <c r="G35" s="172">
        <f>IFERROR(VLOOKUP(MID(B35,4,3),MMWR_TRAD_AGG_NATIONAL[],3,0),"--")</f>
        <v>185</v>
      </c>
      <c r="H35" s="173">
        <f t="shared" si="0"/>
        <v>0.9946236559139785</v>
      </c>
      <c r="I35" s="56"/>
      <c r="J35" s="56"/>
      <c r="K35" s="56"/>
      <c r="L35" s="56"/>
      <c r="M35" s="56"/>
      <c r="N35" s="56"/>
      <c r="O35" s="56"/>
      <c r="P35" s="56"/>
      <c r="Q35" s="56"/>
      <c r="R35" s="56"/>
      <c r="S35" s="56"/>
      <c r="T35" s="56"/>
      <c r="U35" s="74"/>
      <c r="V35" s="25"/>
    </row>
    <row r="36" spans="1:22" s="1" customFormat="1" ht="32.25" customHeight="1" x14ac:dyDescent="0.4">
      <c r="A36" s="25"/>
      <c r="B36" s="324" t="s">
        <v>291</v>
      </c>
      <c r="C36" s="325"/>
      <c r="D36" s="325"/>
      <c r="E36" s="397"/>
      <c r="F36" s="171">
        <f>IFERROR(VLOOKUP(MID(B36,4,3),MMWR_TRAD_AGG_NATIONAL[],2,0),"--")</f>
        <v>18529</v>
      </c>
      <c r="G36" s="172">
        <f>IFERROR(VLOOKUP(MID(B36,4,3),MMWR_TRAD_AGG_NATIONAL[],3,0),"--")</f>
        <v>13729</v>
      </c>
      <c r="H36" s="173">
        <f t="shared" si="0"/>
        <v>0.74094662421069679</v>
      </c>
      <c r="I36" s="56"/>
      <c r="J36" s="56"/>
      <c r="K36" s="56"/>
      <c r="L36" s="56"/>
      <c r="M36" s="56"/>
      <c r="N36" s="56"/>
      <c r="O36" s="56"/>
      <c r="P36" s="56"/>
      <c r="Q36" s="56"/>
      <c r="R36" s="56"/>
      <c r="S36" s="56"/>
      <c r="T36" s="56"/>
      <c r="U36" s="74"/>
      <c r="V36" s="25"/>
    </row>
    <row r="37" spans="1:22" s="1" customFormat="1" ht="27" customHeight="1" thickBot="1" x14ac:dyDescent="0.45">
      <c r="A37" s="25"/>
      <c r="B37" s="324" t="s">
        <v>292</v>
      </c>
      <c r="C37" s="325"/>
      <c r="D37" s="325"/>
      <c r="E37" s="397"/>
      <c r="F37" s="171">
        <f>IFERROR(VLOOKUP(MID(B37,4,3)&amp;"G",MMWR_TRAD_AGG_NATIONAL[],2,0),"--")</f>
        <v>63883</v>
      </c>
      <c r="G37" s="172">
        <f>IFERROR(VLOOKUP(MID(B37,4,3)&amp;"G",MMWR_TRAD_AGG_NATIONAL[],3,0),"--")</f>
        <v>57419</v>
      </c>
      <c r="H37" s="173">
        <f t="shared" si="0"/>
        <v>0.89881502121065071</v>
      </c>
      <c r="I37" s="56"/>
      <c r="J37" s="56"/>
      <c r="K37" s="56"/>
      <c r="L37" s="56"/>
      <c r="M37" s="56"/>
      <c r="N37" s="56"/>
      <c r="O37" s="56"/>
      <c r="P37" s="56"/>
      <c r="Q37" s="56"/>
      <c r="R37" s="56"/>
      <c r="S37" s="56"/>
      <c r="T37" s="56"/>
      <c r="U37" s="74"/>
      <c r="V37" s="25"/>
    </row>
    <row r="38" spans="1:22" s="1" customFormat="1" ht="32.25" customHeight="1" thickBot="1" x14ac:dyDescent="0.45">
      <c r="A38" s="25"/>
      <c r="B38" s="409" t="s">
        <v>244</v>
      </c>
      <c r="C38" s="410"/>
      <c r="D38" s="410"/>
      <c r="E38" s="410"/>
      <c r="F38" s="168">
        <f>SUM(F39:F44)</f>
        <v>140957</v>
      </c>
      <c r="G38" s="169">
        <f>SUM(G39:G44)</f>
        <v>84214</v>
      </c>
      <c r="H38" s="170">
        <f t="shared" si="0"/>
        <v>0.59744461076782285</v>
      </c>
      <c r="I38" s="56"/>
      <c r="J38" s="56"/>
      <c r="K38" s="75"/>
      <c r="L38" s="75"/>
      <c r="M38" s="75"/>
      <c r="N38" s="75"/>
      <c r="O38" s="75"/>
      <c r="P38" s="56"/>
      <c r="Q38" s="56"/>
      <c r="R38" s="56"/>
      <c r="S38" s="56"/>
      <c r="T38" s="56"/>
      <c r="U38" s="74"/>
      <c r="V38" s="25"/>
    </row>
    <row r="39" spans="1:22" s="1" customFormat="1" ht="26.25" customHeight="1" x14ac:dyDescent="0.4">
      <c r="A39" s="25"/>
      <c r="B39" s="420" t="s">
        <v>293</v>
      </c>
      <c r="C39" s="439"/>
      <c r="D39" s="439"/>
      <c r="E39" s="421"/>
      <c r="F39" s="174">
        <f>IFERROR(VLOOKUP(MID(B39,4,3),MMWR_TRAD_AGG_NATIONAL[],2,0),"--")</f>
        <v>6866</v>
      </c>
      <c r="G39" s="175">
        <f>IFERROR(VLOOKUP(MID(B39,4,3),MMWR_TRAD_AGG_NATIONAL[],3,0),"--")</f>
        <v>5259</v>
      </c>
      <c r="H39" s="176">
        <f t="shared" si="0"/>
        <v>0.76594815030585495</v>
      </c>
      <c r="I39" s="56"/>
      <c r="J39" s="56"/>
      <c r="K39" s="75"/>
      <c r="L39" s="75"/>
      <c r="M39" s="75"/>
      <c r="N39" s="75"/>
      <c r="O39" s="75"/>
      <c r="P39" s="56"/>
      <c r="Q39" s="56"/>
      <c r="R39" s="56"/>
      <c r="S39" s="56"/>
      <c r="T39" s="56"/>
      <c r="U39" s="74"/>
      <c r="V39" s="25"/>
    </row>
    <row r="40" spans="1:22" s="1" customFormat="1" ht="26.25" customHeight="1" x14ac:dyDescent="0.4">
      <c r="A40" s="25"/>
      <c r="B40" s="324" t="s">
        <v>294</v>
      </c>
      <c r="C40" s="325"/>
      <c r="D40" s="325"/>
      <c r="E40" s="397"/>
      <c r="F40" s="171">
        <f>IFERROR(VLOOKUP(MID(B40,4,3),MMWR_TRAD_AGG_NATIONAL[],2,0),"--")</f>
        <v>88939</v>
      </c>
      <c r="G40" s="172">
        <f>IFERROR(VLOOKUP(MID(B40,4,3),MMWR_TRAD_AGG_NATIONAL[],3,0),"--")</f>
        <v>55648</v>
      </c>
      <c r="H40" s="173">
        <f t="shared" si="0"/>
        <v>0.6256872688022127</v>
      </c>
      <c r="I40" s="56"/>
      <c r="J40" s="56"/>
      <c r="K40" s="56"/>
      <c r="L40" s="56"/>
      <c r="M40" s="56"/>
      <c r="N40" s="56"/>
      <c r="O40" s="56"/>
      <c r="P40" s="56"/>
      <c r="Q40" s="56"/>
      <c r="R40" s="56"/>
      <c r="S40" s="56"/>
      <c r="T40" s="56"/>
      <c r="U40" s="74"/>
      <c r="V40" s="25"/>
    </row>
    <row r="41" spans="1:22" s="1" customFormat="1" ht="26.25" customHeight="1" x14ac:dyDescent="0.4">
      <c r="A41" s="25"/>
      <c r="B41" s="324" t="s">
        <v>295</v>
      </c>
      <c r="C41" s="325"/>
      <c r="D41" s="325"/>
      <c r="E41" s="397"/>
      <c r="F41" s="171">
        <f>IFERROR(VLOOKUP(MID(B41,4,3),MMWR_TRAD_AGG_NATIONAL[],2,0),"--")</f>
        <v>1762</v>
      </c>
      <c r="G41" s="172">
        <f>IFERROR(VLOOKUP(MID(B41,4,3),MMWR_TRAD_AGG_NATIONAL[],3,0),"--")</f>
        <v>460</v>
      </c>
      <c r="H41" s="173">
        <f t="shared" si="0"/>
        <v>0.26106696935300794</v>
      </c>
      <c r="I41" s="56"/>
      <c r="J41" s="56"/>
      <c r="K41" s="56"/>
      <c r="L41" s="56"/>
      <c r="M41" s="56"/>
      <c r="N41" s="56"/>
      <c r="O41" s="56"/>
      <c r="P41" s="56"/>
      <c r="Q41" s="56"/>
      <c r="R41" s="56"/>
      <c r="S41" s="56"/>
      <c r="T41" s="56"/>
      <c r="U41" s="74"/>
      <c r="V41" s="25"/>
    </row>
    <row r="42" spans="1:22" s="1" customFormat="1" ht="36" customHeight="1" x14ac:dyDescent="0.4">
      <c r="A42" s="25"/>
      <c r="B42" s="324" t="s">
        <v>296</v>
      </c>
      <c r="C42" s="325"/>
      <c r="D42" s="325"/>
      <c r="E42" s="397"/>
      <c r="F42" s="171">
        <f>IFERROR(VLOOKUP(MID(B42,4,3),MMWR_TRAD_AGG_NATIONAL[],2,0),"--")</f>
        <v>27130</v>
      </c>
      <c r="G42" s="172">
        <f>IFERROR(VLOOKUP(MID(B42,4,3),MMWR_TRAD_AGG_NATIONAL[],3,0),"--")</f>
        <v>8841</v>
      </c>
      <c r="H42" s="173">
        <f t="shared" si="0"/>
        <v>0.32587541467010689</v>
      </c>
      <c r="I42" s="56"/>
      <c r="J42" s="56"/>
      <c r="K42" s="56"/>
      <c r="L42" s="56"/>
      <c r="M42" s="56"/>
      <c r="N42" s="56"/>
      <c r="O42" s="56"/>
      <c r="P42" s="56"/>
      <c r="Q42" s="56"/>
      <c r="R42" s="56"/>
      <c r="S42" s="56"/>
      <c r="T42" s="56"/>
      <c r="U42" s="74"/>
      <c r="V42" s="25"/>
    </row>
    <row r="43" spans="1:22" s="1" customFormat="1" ht="33" customHeight="1" x14ac:dyDescent="0.4">
      <c r="A43" s="25"/>
      <c r="B43" s="324" t="s">
        <v>297</v>
      </c>
      <c r="C43" s="325"/>
      <c r="D43" s="325"/>
      <c r="E43" s="397"/>
      <c r="F43" s="171">
        <f>IFERROR(VLOOKUP(MID(B43,4,3),MMWR_TRAD_AGG_NATIONAL[],2,0),"--")</f>
        <v>15717</v>
      </c>
      <c r="G43" s="172">
        <f>IFERROR(VLOOKUP(MID(B43,4,3),MMWR_TRAD_AGG_NATIONAL[],3,0),"--")</f>
        <v>13534</v>
      </c>
      <c r="H43" s="173">
        <f t="shared" si="0"/>
        <v>0.86110580899662781</v>
      </c>
      <c r="I43" s="56"/>
      <c r="J43" s="56"/>
      <c r="K43" s="56"/>
      <c r="L43" s="56"/>
      <c r="M43" s="56"/>
      <c r="N43" s="56"/>
      <c r="O43" s="56"/>
      <c r="P43" s="56"/>
      <c r="Q43" s="56"/>
      <c r="R43" s="56"/>
      <c r="S43" s="56"/>
      <c r="T43" s="56"/>
      <c r="U43" s="74"/>
      <c r="V43" s="25"/>
    </row>
    <row r="44" spans="1:22" s="1" customFormat="1" ht="27" customHeight="1" thickBot="1" x14ac:dyDescent="0.45">
      <c r="A44" s="25"/>
      <c r="B44" s="326" t="s">
        <v>298</v>
      </c>
      <c r="C44" s="327"/>
      <c r="D44" s="327"/>
      <c r="E44" s="399"/>
      <c r="F44" s="177">
        <f>IFERROR(VLOOKUP(MID(B44,4,3),MMWR_TRAD_AGG_NATIONAL[],2,0),"--")</f>
        <v>543</v>
      </c>
      <c r="G44" s="178">
        <f>IFERROR(VLOOKUP(MID(B44,4,3),MMWR_TRAD_AGG_NATIONAL[],3,0),"--")</f>
        <v>472</v>
      </c>
      <c r="H44" s="179">
        <f t="shared" si="0"/>
        <v>0.86924493554327809</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OCTOBER 03, 2015</v>
      </c>
      <c r="D2" s="454"/>
      <c r="E2" s="454"/>
      <c r="F2" s="454"/>
      <c r="G2" s="454"/>
      <c r="H2" s="454"/>
      <c r="I2" s="454"/>
      <c r="J2" s="454"/>
      <c r="K2" s="454"/>
      <c r="L2" s="454"/>
      <c r="M2" s="454"/>
      <c r="N2" s="454"/>
      <c r="O2" s="454"/>
      <c r="P2" s="454"/>
      <c r="Q2" s="454"/>
      <c r="R2" s="454"/>
      <c r="S2" s="455"/>
      <c r="T2" s="25"/>
    </row>
    <row r="3" spans="1:20" x14ac:dyDescent="0.2">
      <c r="A3" s="25"/>
      <c r="B3" s="26"/>
      <c r="C3" s="456" t="s">
        <v>231</v>
      </c>
      <c r="D3" s="457"/>
      <c r="E3" s="458" t="s">
        <v>211</v>
      </c>
      <c r="F3" s="459"/>
      <c r="G3" s="460"/>
      <c r="H3" s="458" t="s">
        <v>7</v>
      </c>
      <c r="I3" s="459"/>
      <c r="J3" s="460"/>
      <c r="K3" s="458" t="s">
        <v>33</v>
      </c>
      <c r="L3" s="459"/>
      <c r="M3" s="460"/>
      <c r="N3" s="458" t="s">
        <v>8</v>
      </c>
      <c r="O3" s="459"/>
      <c r="P3" s="460"/>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495</v>
      </c>
      <c r="T4" s="91"/>
    </row>
    <row r="5" spans="1:20" ht="26.25" x14ac:dyDescent="0.4">
      <c r="A5" s="25"/>
      <c r="B5" s="26"/>
      <c r="C5" s="453" t="s">
        <v>493</v>
      </c>
      <c r="D5" s="454"/>
      <c r="E5" s="454"/>
      <c r="F5" s="454"/>
      <c r="G5" s="454"/>
      <c r="H5" s="454"/>
      <c r="I5" s="454"/>
      <c r="J5" s="454"/>
      <c r="K5" s="454"/>
      <c r="L5" s="454"/>
      <c r="M5" s="454"/>
      <c r="N5" s="454"/>
      <c r="O5" s="454"/>
      <c r="P5" s="454"/>
      <c r="Q5" s="454"/>
      <c r="R5" s="454"/>
      <c r="S5" s="455"/>
      <c r="T5" s="25"/>
    </row>
    <row r="6" spans="1:20" x14ac:dyDescent="0.2">
      <c r="A6" s="92"/>
      <c r="B6" s="93" t="s">
        <v>468</v>
      </c>
      <c r="C6" s="210">
        <f>IFERROR(VLOOKUP($B6,MMWR_TRAD_AGG_DISTRICT_COMP[],C$1,0),"ERROR")</f>
        <v>342787</v>
      </c>
      <c r="D6" s="188">
        <f>IFERROR(VLOOKUP($B6,MMWR_TRAD_AGG_DISTRICT_COMP[],D$1,0),"ERROR")</f>
        <v>373.9802442916</v>
      </c>
      <c r="E6" s="196">
        <f>IFERROR(VLOOKUP($B6,MMWR_TRAD_AGG_DISTRICT_COMP[],E$1,0),"ERROR")</f>
        <v>340897</v>
      </c>
      <c r="F6" s="190">
        <f>IFERROR(VLOOKUP($B6,MMWR_TRAD_AGG_DISTRICT_COMP[],F$1,0),"ERROR")</f>
        <v>70488</v>
      </c>
      <c r="G6" s="213">
        <f t="shared" ref="G6:G69" si="0">IFERROR(F6/E6,"0%")</f>
        <v>0.20677213351833545</v>
      </c>
      <c r="H6" s="189">
        <f>IFERROR(VLOOKUP($B6,MMWR_TRAD_AGG_DISTRICT_COMP[],H$1,0),"ERROR")</f>
        <v>489656</v>
      </c>
      <c r="I6" s="190">
        <f>IFERROR(VLOOKUP($B6,MMWR_TRAD_AGG_DISTRICT_COMP[],I$1,0),"ERROR")</f>
        <v>306567</v>
      </c>
      <c r="J6" s="213">
        <f t="shared" ref="J6:J69" si="1">IFERROR(I6/H6,"0%")</f>
        <v>0.6260864770369402</v>
      </c>
      <c r="K6" s="189">
        <f>IFERROR(VLOOKUP($B6,MMWR_TRAD_AGG_DISTRICT_COMP[],K$1,0),"ERROR")</f>
        <v>84653</v>
      </c>
      <c r="L6" s="190">
        <f>IFERROR(VLOOKUP($B6,MMWR_TRAD_AGG_DISTRICT_COMP[],L$1,0),"ERROR")</f>
        <v>72307</v>
      </c>
      <c r="M6" s="213">
        <f t="shared" ref="M6:M69" si="2">IFERROR(L6/K6,"0%")</f>
        <v>0.85415756086612404</v>
      </c>
      <c r="N6" s="189">
        <f>IFERROR(VLOOKUP($B6,MMWR_TRAD_AGG_DISTRICT_COMP[],N$1,0),"ERROR")</f>
        <v>140957</v>
      </c>
      <c r="O6" s="190">
        <f>IFERROR(VLOOKUP($B6,MMWR_TRAD_AGG_DISTRICT_COMP[],O$1,0),"ERROR")</f>
        <v>84214</v>
      </c>
      <c r="P6" s="213">
        <f t="shared" ref="P6:P69" si="3">IFERROR(O6/N6,"0%")</f>
        <v>0.59744461076782285</v>
      </c>
      <c r="Q6" s="202">
        <f>IFERROR(VLOOKUP($B6,MMWR_TRAD_AGG_DISTRICT_COMP[],Q$1,0),"ERROR")</f>
        <v>11435</v>
      </c>
      <c r="R6" s="202">
        <f>IFERROR(VLOOKUP($B6,MMWR_TRAD_AGG_DISTRICT_COMP[],R$1,0),"ERROR")</f>
        <v>4448</v>
      </c>
      <c r="S6" s="205">
        <f>S7+S25+S38+S49+S62+S70</f>
        <v>313599</v>
      </c>
      <c r="T6" s="25"/>
    </row>
    <row r="7" spans="1:20" x14ac:dyDescent="0.2">
      <c r="A7" s="92"/>
      <c r="B7" s="101" t="s">
        <v>376</v>
      </c>
      <c r="C7" s="214">
        <f>IFERROR(VLOOKUP($B7,MMWR_TRAD_AGG_DISTRICT_COMP[],C$1,0),"ERROR")</f>
        <v>106736</v>
      </c>
      <c r="D7" s="199">
        <f>IFERROR(VLOOKUP($B7,MMWR_TRAD_AGG_DISTRICT_COMP[],D$1,0),"ERROR")</f>
        <v>436.92561085289998</v>
      </c>
      <c r="E7" s="215">
        <f>IFERROR(VLOOKUP($B7,MMWR_TRAD_AGG_DISTRICT_COMP[],E$1,0),"ERROR")</f>
        <v>80907</v>
      </c>
      <c r="F7" s="214">
        <f>IFERROR(VLOOKUP($B7,MMWR_TRAD_AGG_DISTRICT_COMP[],F$1,0),"ERROR")</f>
        <v>16186</v>
      </c>
      <c r="G7" s="216">
        <f t="shared" si="0"/>
        <v>0.20005685540188117</v>
      </c>
      <c r="H7" s="214">
        <f>IFERROR(VLOOKUP($B7,MMWR_TRAD_AGG_DISTRICT_COMP[],H$1,0),"ERROR")</f>
        <v>137281</v>
      </c>
      <c r="I7" s="214">
        <f>IFERROR(VLOOKUP($B7,MMWR_TRAD_AGG_DISTRICT_COMP[],I$1,0),"ERROR")</f>
        <v>98487</v>
      </c>
      <c r="J7" s="216">
        <f t="shared" si="1"/>
        <v>0.7174117321406458</v>
      </c>
      <c r="K7" s="214">
        <f>IFERROR(VLOOKUP($B7,MMWR_TRAD_AGG_DISTRICT_COMP[],K$1,0),"ERROR")</f>
        <v>22289</v>
      </c>
      <c r="L7" s="214">
        <f>IFERROR(VLOOKUP($B7,MMWR_TRAD_AGG_DISTRICT_COMP[],L$1,0),"ERROR")</f>
        <v>18725</v>
      </c>
      <c r="M7" s="216">
        <f t="shared" si="2"/>
        <v>0.84010049800349951</v>
      </c>
      <c r="N7" s="214">
        <f>IFERROR(VLOOKUP($B7,MMWR_TRAD_AGG_DISTRICT_COMP[],N$1,0),"ERROR")</f>
        <v>32041</v>
      </c>
      <c r="O7" s="214">
        <f>IFERROR(VLOOKUP($B7,MMWR_TRAD_AGG_DISTRICT_COMP[],O$1,0),"ERROR")</f>
        <v>22810</v>
      </c>
      <c r="P7" s="216">
        <f t="shared" si="3"/>
        <v>0.71190037764114733</v>
      </c>
      <c r="Q7" s="214">
        <f>IFERROR(VLOOKUP($B7,MMWR_TRAD_AGG_DISTRICT_COMP[],Q$1,0),"ERROR")</f>
        <v>9668</v>
      </c>
      <c r="R7" s="217">
        <f>IFERROR(VLOOKUP($B7,MMWR_TRAD_AGG_DISTRICT_COMP[],R$1,0),"ERROR")</f>
        <v>99</v>
      </c>
      <c r="S7" s="217">
        <f>IFERROR(VLOOKUP($B7,MMWR_APP_RO[],S$1,0),"ERROR")</f>
        <v>55116</v>
      </c>
      <c r="T7" s="25"/>
    </row>
    <row r="8" spans="1:20" x14ac:dyDescent="0.2">
      <c r="A8" s="107"/>
      <c r="B8" s="108" t="s">
        <v>36</v>
      </c>
      <c r="C8" s="211">
        <f>IFERROR(VLOOKUP($B8,MMWR_TRAD_AGG_RO_COMP[],C$1,0),"ERROR")</f>
        <v>8521</v>
      </c>
      <c r="D8" s="200">
        <f>IFERROR(VLOOKUP($B8,MMWR_TRAD_AGG_RO_COMP[],D$1,0),"ERROR")</f>
        <v>658.51308531860002</v>
      </c>
      <c r="E8" s="197">
        <f>IFERROR(VLOOKUP($B8,MMWR_TRAD_AGG_RO_COMP[],E$1,0),"ERROR")</f>
        <v>5050</v>
      </c>
      <c r="F8" s="193">
        <f>IFERROR(VLOOKUP($B8,MMWR_TRAD_AGG_RO_COMP[],F$1,0),"ERROR")</f>
        <v>893</v>
      </c>
      <c r="G8" s="218">
        <f t="shared" si="0"/>
        <v>0.17683168316831682</v>
      </c>
      <c r="H8" s="192">
        <f>IFERROR(VLOOKUP($B8,MMWR_TRAD_AGG_RO_COMP[],H$1,0),"ERROR")</f>
        <v>9994</v>
      </c>
      <c r="I8" s="193">
        <f>IFERROR(VLOOKUP($B8,MMWR_TRAD_AGG_RO_COMP[],I$1,0),"ERROR")</f>
        <v>8031</v>
      </c>
      <c r="J8" s="218">
        <f t="shared" si="1"/>
        <v>0.80358214928957372</v>
      </c>
      <c r="K8" s="206">
        <f>IFERROR(VLOOKUP($B8,MMWR_TRAD_AGG_RO_COMP[],K$1,0),"ERROR")</f>
        <v>1011</v>
      </c>
      <c r="L8" s="207">
        <f>IFERROR(VLOOKUP($B8,MMWR_TRAD_AGG_RO_COMP[],L$1,0),"ERROR")</f>
        <v>869</v>
      </c>
      <c r="M8" s="218">
        <f t="shared" si="2"/>
        <v>0.85954500494559838</v>
      </c>
      <c r="N8" s="206">
        <f>IFERROR(VLOOKUP($B8,MMWR_TRAD_AGG_RO_COMP[],N$1,0),"ERROR")</f>
        <v>5825</v>
      </c>
      <c r="O8" s="207">
        <f>IFERROR(VLOOKUP($B8,MMWR_TRAD_AGG_RO_COMP[],O$1,0),"ERROR")</f>
        <v>4901</v>
      </c>
      <c r="P8" s="218">
        <f t="shared" si="3"/>
        <v>0.84137339055793992</v>
      </c>
      <c r="Q8" s="203">
        <f>IFERROR(VLOOKUP($B8,MMWR_TRAD_AGG_RO_COMP[],Q$1,0),"ERROR")</f>
        <v>23</v>
      </c>
      <c r="R8" s="203">
        <f>IFERROR(VLOOKUP($B8,MMWR_TRAD_AGG_RO_COMP[],R$1,0),"ERROR")</f>
        <v>5</v>
      </c>
      <c r="S8" s="203">
        <f>IFERROR(VLOOKUP($B8,MMWR_APP_RO[],S$1,0),"ERROR")</f>
        <v>5545</v>
      </c>
      <c r="T8" s="25"/>
    </row>
    <row r="9" spans="1:20" x14ac:dyDescent="0.2">
      <c r="A9" s="107"/>
      <c r="B9" s="108" t="s">
        <v>38</v>
      </c>
      <c r="C9" s="211">
        <f>IFERROR(VLOOKUP($B9,MMWR_TRAD_AGG_RO_COMP[],C$1,0),"ERROR")</f>
        <v>4269</v>
      </c>
      <c r="D9" s="200">
        <f>IFERROR(VLOOKUP($B9,MMWR_TRAD_AGG_RO_COMP[],D$1,0),"ERROR")</f>
        <v>562.17568517220002</v>
      </c>
      <c r="E9" s="197">
        <f>IFERROR(VLOOKUP($B9,MMWR_TRAD_AGG_RO_COMP[],E$1,0),"ERROR")</f>
        <v>3488</v>
      </c>
      <c r="F9" s="193">
        <f>IFERROR(VLOOKUP($B9,MMWR_TRAD_AGG_RO_COMP[],F$1,0),"ERROR")</f>
        <v>806</v>
      </c>
      <c r="G9" s="218">
        <f t="shared" si="0"/>
        <v>0.23107798165137614</v>
      </c>
      <c r="H9" s="192">
        <f>IFERROR(VLOOKUP($B9,MMWR_TRAD_AGG_RO_COMP[],H$1,0),"ERROR")</f>
        <v>5722</v>
      </c>
      <c r="I9" s="193">
        <f>IFERROR(VLOOKUP($B9,MMWR_TRAD_AGG_RO_COMP[],I$1,0),"ERROR")</f>
        <v>4421</v>
      </c>
      <c r="J9" s="218">
        <f t="shared" si="1"/>
        <v>0.77263194687172321</v>
      </c>
      <c r="K9" s="206">
        <f>IFERROR(VLOOKUP($B9,MMWR_TRAD_AGG_RO_COMP[],K$1,0),"ERROR")</f>
        <v>2162</v>
      </c>
      <c r="L9" s="207">
        <f>IFERROR(VLOOKUP($B9,MMWR_TRAD_AGG_RO_COMP[],L$1,0),"ERROR")</f>
        <v>1933</v>
      </c>
      <c r="M9" s="218">
        <f t="shared" si="2"/>
        <v>0.89407955596669753</v>
      </c>
      <c r="N9" s="206">
        <f>IFERROR(VLOOKUP($B9,MMWR_TRAD_AGG_RO_COMP[],N$1,0),"ERROR")</f>
        <v>842</v>
      </c>
      <c r="O9" s="207">
        <f>IFERROR(VLOOKUP($B9,MMWR_TRAD_AGG_RO_COMP[],O$1,0),"ERROR")</f>
        <v>739</v>
      </c>
      <c r="P9" s="218">
        <f t="shared" si="3"/>
        <v>0.8776722090261283</v>
      </c>
      <c r="Q9" s="203">
        <f>IFERROR(VLOOKUP($B9,MMWR_TRAD_AGG_RO_COMP[],Q$1,0),"ERROR")</f>
        <v>2</v>
      </c>
      <c r="R9" s="203">
        <f>IFERROR(VLOOKUP($B9,MMWR_TRAD_AGG_RO_COMP[],R$1,0),"ERROR")</f>
        <v>11</v>
      </c>
      <c r="S9" s="203">
        <f>IFERROR(VLOOKUP($B9,MMWR_APP_RO[],S$1,0),"ERROR")</f>
        <v>3360</v>
      </c>
      <c r="T9" s="25"/>
    </row>
    <row r="10" spans="1:20" x14ac:dyDescent="0.2">
      <c r="A10" s="107"/>
      <c r="B10" s="108" t="s">
        <v>24</v>
      </c>
      <c r="C10" s="211">
        <f>IFERROR(VLOOKUP($B10,MMWR_TRAD_AGG_RO_COMP[],C$1,0),"ERROR")</f>
        <v>1478</v>
      </c>
      <c r="D10" s="200">
        <f>IFERROR(VLOOKUP($B10,MMWR_TRAD_AGG_RO_COMP[],D$1,0),"ERROR")</f>
        <v>96.989174560199999</v>
      </c>
      <c r="E10" s="197">
        <f>IFERROR(VLOOKUP($B10,MMWR_TRAD_AGG_RO_COMP[],E$1,0),"ERROR")</f>
        <v>4169</v>
      </c>
      <c r="F10" s="193">
        <f>IFERROR(VLOOKUP($B10,MMWR_TRAD_AGG_RO_COMP[],F$1,0),"ERROR")</f>
        <v>913</v>
      </c>
      <c r="G10" s="218">
        <f t="shared" si="0"/>
        <v>0.21899736147757257</v>
      </c>
      <c r="H10" s="192">
        <f>IFERROR(VLOOKUP($B10,MMWR_TRAD_AGG_RO_COMP[],H$1,0),"ERROR")</f>
        <v>2299</v>
      </c>
      <c r="I10" s="193">
        <f>IFERROR(VLOOKUP($B10,MMWR_TRAD_AGG_RO_COMP[],I$1,0),"ERROR")</f>
        <v>625</v>
      </c>
      <c r="J10" s="218">
        <f t="shared" si="1"/>
        <v>0.27185732927359724</v>
      </c>
      <c r="K10" s="206">
        <f>IFERROR(VLOOKUP($B10,MMWR_TRAD_AGG_RO_COMP[],K$1,0),"ERROR")</f>
        <v>242</v>
      </c>
      <c r="L10" s="207">
        <f>IFERROR(VLOOKUP($B10,MMWR_TRAD_AGG_RO_COMP[],L$1,0),"ERROR")</f>
        <v>60</v>
      </c>
      <c r="M10" s="218">
        <f t="shared" si="2"/>
        <v>0.24793388429752067</v>
      </c>
      <c r="N10" s="206">
        <f>IFERROR(VLOOKUP($B10,MMWR_TRAD_AGG_RO_COMP[],N$1,0),"ERROR")</f>
        <v>327</v>
      </c>
      <c r="O10" s="207">
        <f>IFERROR(VLOOKUP($B10,MMWR_TRAD_AGG_RO_COMP[],O$1,0),"ERROR")</f>
        <v>219</v>
      </c>
      <c r="P10" s="218">
        <f t="shared" si="3"/>
        <v>0.66972477064220182</v>
      </c>
      <c r="Q10" s="203">
        <f>IFERROR(VLOOKUP($B10,MMWR_TRAD_AGG_RO_COMP[],Q$1,0),"ERROR")</f>
        <v>0</v>
      </c>
      <c r="R10" s="203">
        <f>IFERROR(VLOOKUP($B10,MMWR_TRAD_AGG_RO_COMP[],R$1,0),"ERROR")</f>
        <v>0</v>
      </c>
      <c r="S10" s="203">
        <f>IFERROR(VLOOKUP($B10,MMWR_APP_RO[],S$1,0),"ERROR")</f>
        <v>1815</v>
      </c>
      <c r="T10" s="25"/>
    </row>
    <row r="11" spans="1:20" x14ac:dyDescent="0.2">
      <c r="A11" s="107"/>
      <c r="B11" s="108" t="s">
        <v>47</v>
      </c>
      <c r="C11" s="211">
        <f>IFERROR(VLOOKUP($B11,MMWR_TRAD_AGG_RO_COMP[],C$1,0),"ERROR")</f>
        <v>1542</v>
      </c>
      <c r="D11" s="200">
        <f>IFERROR(VLOOKUP($B11,MMWR_TRAD_AGG_RO_COMP[],D$1,0),"ERROR")</f>
        <v>251.73151750970001</v>
      </c>
      <c r="E11" s="197">
        <f>IFERROR(VLOOKUP($B11,MMWR_TRAD_AGG_RO_COMP[],E$1,0),"ERROR")</f>
        <v>1535</v>
      </c>
      <c r="F11" s="193">
        <f>IFERROR(VLOOKUP($B11,MMWR_TRAD_AGG_RO_COMP[],F$1,0),"ERROR")</f>
        <v>257</v>
      </c>
      <c r="G11" s="218">
        <f t="shared" si="0"/>
        <v>0.16742671009771987</v>
      </c>
      <c r="H11" s="192">
        <f>IFERROR(VLOOKUP($B11,MMWR_TRAD_AGG_RO_COMP[],H$1,0),"ERROR")</f>
        <v>3222</v>
      </c>
      <c r="I11" s="193">
        <f>IFERROR(VLOOKUP($B11,MMWR_TRAD_AGG_RO_COMP[],I$1,0),"ERROR")</f>
        <v>1932</v>
      </c>
      <c r="J11" s="218">
        <f t="shared" si="1"/>
        <v>0.5996275605214153</v>
      </c>
      <c r="K11" s="206">
        <f>IFERROR(VLOOKUP($B11,MMWR_TRAD_AGG_RO_COMP[],K$1,0),"ERROR")</f>
        <v>362</v>
      </c>
      <c r="L11" s="207">
        <f>IFERROR(VLOOKUP($B11,MMWR_TRAD_AGG_RO_COMP[],L$1,0),"ERROR")</f>
        <v>258</v>
      </c>
      <c r="M11" s="218">
        <f t="shared" si="2"/>
        <v>0.71270718232044195</v>
      </c>
      <c r="N11" s="206">
        <f>IFERROR(VLOOKUP($B11,MMWR_TRAD_AGG_RO_COMP[],N$1,0),"ERROR")</f>
        <v>679</v>
      </c>
      <c r="O11" s="207">
        <f>IFERROR(VLOOKUP($B11,MMWR_TRAD_AGG_RO_COMP[],O$1,0),"ERROR")</f>
        <v>497</v>
      </c>
      <c r="P11" s="218">
        <f t="shared" si="3"/>
        <v>0.73195876288659789</v>
      </c>
      <c r="Q11" s="203">
        <f>IFERROR(VLOOKUP($B11,MMWR_TRAD_AGG_RO_COMP[],Q$1,0),"ERROR")</f>
        <v>0</v>
      </c>
      <c r="R11" s="203">
        <f>IFERROR(VLOOKUP($B11,MMWR_TRAD_AGG_RO_COMP[],R$1,0),"ERROR")</f>
        <v>3</v>
      </c>
      <c r="S11" s="203">
        <f>IFERROR(VLOOKUP($B11,MMWR_APP_RO[],S$1,0),"ERROR")</f>
        <v>785</v>
      </c>
      <c r="T11" s="25"/>
    </row>
    <row r="12" spans="1:20" x14ac:dyDescent="0.2">
      <c r="A12" s="107"/>
      <c r="B12" s="108" t="s">
        <v>50</v>
      </c>
      <c r="C12" s="211">
        <f>IFERROR(VLOOKUP($B12,MMWR_TRAD_AGG_RO_COMP[],C$1,0),"ERROR")</f>
        <v>2421</v>
      </c>
      <c r="D12" s="200">
        <f>IFERROR(VLOOKUP($B12,MMWR_TRAD_AGG_RO_COMP[],D$1,0),"ERROR")</f>
        <v>220.38496489049999</v>
      </c>
      <c r="E12" s="197">
        <f>IFERROR(VLOOKUP($B12,MMWR_TRAD_AGG_RO_COMP[],E$1,0),"ERROR")</f>
        <v>2141</v>
      </c>
      <c r="F12" s="193">
        <f>IFERROR(VLOOKUP($B12,MMWR_TRAD_AGG_RO_COMP[],F$1,0),"ERROR")</f>
        <v>335</v>
      </c>
      <c r="G12" s="218">
        <f t="shared" si="0"/>
        <v>0.15646893974778142</v>
      </c>
      <c r="H12" s="192">
        <f>IFERROR(VLOOKUP($B12,MMWR_TRAD_AGG_RO_COMP[],H$1,0),"ERROR")</f>
        <v>3727</v>
      </c>
      <c r="I12" s="193">
        <f>IFERROR(VLOOKUP($B12,MMWR_TRAD_AGG_RO_COMP[],I$1,0),"ERROR")</f>
        <v>2041</v>
      </c>
      <c r="J12" s="218">
        <f t="shared" si="1"/>
        <v>0.54762543600751279</v>
      </c>
      <c r="K12" s="206">
        <f>IFERROR(VLOOKUP($B12,MMWR_TRAD_AGG_RO_COMP[],K$1,0),"ERROR")</f>
        <v>143</v>
      </c>
      <c r="L12" s="207">
        <f>IFERROR(VLOOKUP($B12,MMWR_TRAD_AGG_RO_COMP[],L$1,0),"ERROR")</f>
        <v>118</v>
      </c>
      <c r="M12" s="218">
        <f t="shared" si="2"/>
        <v>0.82517482517482521</v>
      </c>
      <c r="N12" s="206">
        <f>IFERROR(VLOOKUP($B12,MMWR_TRAD_AGG_RO_COMP[],N$1,0),"ERROR")</f>
        <v>927</v>
      </c>
      <c r="O12" s="207">
        <f>IFERROR(VLOOKUP($B12,MMWR_TRAD_AGG_RO_COMP[],O$1,0),"ERROR")</f>
        <v>672</v>
      </c>
      <c r="P12" s="218">
        <f t="shared" si="3"/>
        <v>0.72491909385113273</v>
      </c>
      <c r="Q12" s="203">
        <f>IFERROR(VLOOKUP($B12,MMWR_TRAD_AGG_RO_COMP[],Q$1,0),"ERROR")</f>
        <v>1</v>
      </c>
      <c r="R12" s="203">
        <f>IFERROR(VLOOKUP($B12,MMWR_TRAD_AGG_RO_COMP[],R$1,0),"ERROR")</f>
        <v>13</v>
      </c>
      <c r="S12" s="203">
        <f>IFERROR(VLOOKUP($B12,MMWR_APP_RO[],S$1,0),"ERROR")</f>
        <v>1932</v>
      </c>
      <c r="T12" s="25"/>
    </row>
    <row r="13" spans="1:20" x14ac:dyDescent="0.2">
      <c r="A13" s="107"/>
      <c r="B13" s="108" t="s">
        <v>57</v>
      </c>
      <c r="C13" s="211">
        <f>IFERROR(VLOOKUP($B13,MMWR_TRAD_AGG_RO_COMP[],C$1,0),"ERROR")</f>
        <v>1633</v>
      </c>
      <c r="D13" s="200">
        <f>IFERROR(VLOOKUP($B13,MMWR_TRAD_AGG_RO_COMP[],D$1,0),"ERROR")</f>
        <v>381.00061236990001</v>
      </c>
      <c r="E13" s="197">
        <f>IFERROR(VLOOKUP($B13,MMWR_TRAD_AGG_RO_COMP[],E$1,0),"ERROR")</f>
        <v>1153</v>
      </c>
      <c r="F13" s="193">
        <f>IFERROR(VLOOKUP($B13,MMWR_TRAD_AGG_RO_COMP[],F$1,0),"ERROR")</f>
        <v>237</v>
      </c>
      <c r="G13" s="218">
        <f t="shared" si="0"/>
        <v>0.20555073720728534</v>
      </c>
      <c r="H13" s="192">
        <f>IFERROR(VLOOKUP($B13,MMWR_TRAD_AGG_RO_COMP[],H$1,0),"ERROR")</f>
        <v>2062</v>
      </c>
      <c r="I13" s="193">
        <f>IFERROR(VLOOKUP($B13,MMWR_TRAD_AGG_RO_COMP[],I$1,0),"ERROR")</f>
        <v>1458</v>
      </c>
      <c r="J13" s="218">
        <f t="shared" si="1"/>
        <v>0.7070805043646945</v>
      </c>
      <c r="K13" s="206">
        <f>IFERROR(VLOOKUP($B13,MMWR_TRAD_AGG_RO_COMP[],K$1,0),"ERROR")</f>
        <v>503</v>
      </c>
      <c r="L13" s="207">
        <f>IFERROR(VLOOKUP($B13,MMWR_TRAD_AGG_RO_COMP[],L$1,0),"ERROR")</f>
        <v>479</v>
      </c>
      <c r="M13" s="218">
        <f t="shared" si="2"/>
        <v>0.95228628230616297</v>
      </c>
      <c r="N13" s="206">
        <f>IFERROR(VLOOKUP($B13,MMWR_TRAD_AGG_RO_COMP[],N$1,0),"ERROR")</f>
        <v>92</v>
      </c>
      <c r="O13" s="207">
        <f>IFERROR(VLOOKUP($B13,MMWR_TRAD_AGG_RO_COMP[],O$1,0),"ERROR")</f>
        <v>67</v>
      </c>
      <c r="P13" s="218">
        <f t="shared" si="3"/>
        <v>0.72826086956521741</v>
      </c>
      <c r="Q13" s="203">
        <f>IFERROR(VLOOKUP($B13,MMWR_TRAD_AGG_RO_COMP[],Q$1,0),"ERROR")</f>
        <v>0</v>
      </c>
      <c r="R13" s="203">
        <f>IFERROR(VLOOKUP($B13,MMWR_TRAD_AGG_RO_COMP[],R$1,0),"ERROR")</f>
        <v>1</v>
      </c>
      <c r="S13" s="203">
        <f>IFERROR(VLOOKUP($B13,MMWR_APP_RO[],S$1,0),"ERROR")</f>
        <v>629</v>
      </c>
      <c r="T13" s="25"/>
    </row>
    <row r="14" spans="1:20" x14ac:dyDescent="0.2">
      <c r="A14" s="107"/>
      <c r="B14" s="108" t="s">
        <v>63</v>
      </c>
      <c r="C14" s="211">
        <f>IFERROR(VLOOKUP($B14,MMWR_TRAD_AGG_RO_COMP[],C$1,0),"ERROR")</f>
        <v>3090</v>
      </c>
      <c r="D14" s="200">
        <f>IFERROR(VLOOKUP($B14,MMWR_TRAD_AGG_RO_COMP[],D$1,0),"ERROR")</f>
        <v>263.67055016180001</v>
      </c>
      <c r="E14" s="197">
        <f>IFERROR(VLOOKUP($B14,MMWR_TRAD_AGG_RO_COMP[],E$1,0),"ERROR")</f>
        <v>4616</v>
      </c>
      <c r="F14" s="193">
        <f>IFERROR(VLOOKUP($B14,MMWR_TRAD_AGG_RO_COMP[],F$1,0),"ERROR")</f>
        <v>717</v>
      </c>
      <c r="G14" s="218">
        <f t="shared" si="0"/>
        <v>0.15532928942807625</v>
      </c>
      <c r="H14" s="192">
        <f>IFERROR(VLOOKUP($B14,MMWR_TRAD_AGG_RO_COMP[],H$1,0),"ERROR")</f>
        <v>4646</v>
      </c>
      <c r="I14" s="193">
        <f>IFERROR(VLOOKUP($B14,MMWR_TRAD_AGG_RO_COMP[],I$1,0),"ERROR")</f>
        <v>2676</v>
      </c>
      <c r="J14" s="218">
        <f t="shared" si="1"/>
        <v>0.57597933706414117</v>
      </c>
      <c r="K14" s="206">
        <f>IFERROR(VLOOKUP($B14,MMWR_TRAD_AGG_RO_COMP[],K$1,0),"ERROR")</f>
        <v>1831</v>
      </c>
      <c r="L14" s="207">
        <f>IFERROR(VLOOKUP($B14,MMWR_TRAD_AGG_RO_COMP[],L$1,0),"ERROR")</f>
        <v>1533</v>
      </c>
      <c r="M14" s="218">
        <f t="shared" si="2"/>
        <v>0.83724740578918622</v>
      </c>
      <c r="N14" s="206">
        <f>IFERROR(VLOOKUP($B14,MMWR_TRAD_AGG_RO_COMP[],N$1,0),"ERROR")</f>
        <v>258</v>
      </c>
      <c r="O14" s="207">
        <f>IFERROR(VLOOKUP($B14,MMWR_TRAD_AGG_RO_COMP[],O$1,0),"ERROR")</f>
        <v>190</v>
      </c>
      <c r="P14" s="218">
        <f t="shared" si="3"/>
        <v>0.73643410852713176</v>
      </c>
      <c r="Q14" s="203">
        <f>IFERROR(VLOOKUP($B14,MMWR_TRAD_AGG_RO_COMP[],Q$1,0),"ERROR")</f>
        <v>0</v>
      </c>
      <c r="R14" s="203">
        <f>IFERROR(VLOOKUP($B14,MMWR_TRAD_AGG_RO_COMP[],R$1,0),"ERROR")</f>
        <v>12</v>
      </c>
      <c r="S14" s="203">
        <f>IFERROR(VLOOKUP($B14,MMWR_APP_RO[],S$1,0),"ERROR")</f>
        <v>3329</v>
      </c>
      <c r="T14" s="25"/>
    </row>
    <row r="15" spans="1:20" x14ac:dyDescent="0.2">
      <c r="A15" s="107"/>
      <c r="B15" s="108" t="s">
        <v>64</v>
      </c>
      <c r="C15" s="211">
        <f>IFERROR(VLOOKUP($B15,MMWR_TRAD_AGG_RO_COMP[],C$1,0),"ERROR")</f>
        <v>1010</v>
      </c>
      <c r="D15" s="200">
        <f>IFERROR(VLOOKUP($B15,MMWR_TRAD_AGG_RO_COMP[],D$1,0),"ERROR")</f>
        <v>86.823762376199994</v>
      </c>
      <c r="E15" s="197">
        <f>IFERROR(VLOOKUP($B15,MMWR_TRAD_AGG_RO_COMP[],E$1,0),"ERROR")</f>
        <v>2596</v>
      </c>
      <c r="F15" s="193">
        <f>IFERROR(VLOOKUP($B15,MMWR_TRAD_AGG_RO_COMP[],F$1,0),"ERROR")</f>
        <v>369</v>
      </c>
      <c r="G15" s="218">
        <f t="shared" si="0"/>
        <v>0.1421417565485362</v>
      </c>
      <c r="H15" s="192">
        <f>IFERROR(VLOOKUP($B15,MMWR_TRAD_AGG_RO_COMP[],H$1,0),"ERROR")</f>
        <v>1837</v>
      </c>
      <c r="I15" s="193">
        <f>IFERROR(VLOOKUP($B15,MMWR_TRAD_AGG_RO_COMP[],I$1,0),"ERROR")</f>
        <v>386</v>
      </c>
      <c r="J15" s="218">
        <f t="shared" si="1"/>
        <v>0.21012520413718019</v>
      </c>
      <c r="K15" s="206">
        <f>IFERROR(VLOOKUP($B15,MMWR_TRAD_AGG_RO_COMP[],K$1,0),"ERROR")</f>
        <v>660</v>
      </c>
      <c r="L15" s="207">
        <f>IFERROR(VLOOKUP($B15,MMWR_TRAD_AGG_RO_COMP[],L$1,0),"ERROR")</f>
        <v>613</v>
      </c>
      <c r="M15" s="218">
        <f t="shared" si="2"/>
        <v>0.92878787878787883</v>
      </c>
      <c r="N15" s="206">
        <f>IFERROR(VLOOKUP($B15,MMWR_TRAD_AGG_RO_COMP[],N$1,0),"ERROR")</f>
        <v>2150</v>
      </c>
      <c r="O15" s="207">
        <f>IFERROR(VLOOKUP($B15,MMWR_TRAD_AGG_RO_COMP[],O$1,0),"ERROR")</f>
        <v>1014</v>
      </c>
      <c r="P15" s="218">
        <f t="shared" si="3"/>
        <v>0.47162790697674417</v>
      </c>
      <c r="Q15" s="203">
        <f>IFERROR(VLOOKUP($B15,MMWR_TRAD_AGG_RO_COMP[],Q$1,0),"ERROR")</f>
        <v>0</v>
      </c>
      <c r="R15" s="203">
        <f>IFERROR(VLOOKUP($B15,MMWR_TRAD_AGG_RO_COMP[],R$1,0),"ERROR")</f>
        <v>1</v>
      </c>
      <c r="S15" s="203">
        <f>IFERROR(VLOOKUP($B15,MMWR_APP_RO[],S$1,0),"ERROR")</f>
        <v>2664</v>
      </c>
      <c r="T15" s="25"/>
    </row>
    <row r="16" spans="1:20" x14ac:dyDescent="0.2">
      <c r="A16" s="107"/>
      <c r="B16" s="108" t="s">
        <v>66</v>
      </c>
      <c r="C16" s="211">
        <f>IFERROR(VLOOKUP($B16,MMWR_TRAD_AGG_RO_COMP[],C$1,0),"ERROR")</f>
        <v>5461</v>
      </c>
      <c r="D16" s="200">
        <f>IFERROR(VLOOKUP($B16,MMWR_TRAD_AGG_RO_COMP[],D$1,0),"ERROR")</f>
        <v>378.70023805160002</v>
      </c>
      <c r="E16" s="197">
        <f>IFERROR(VLOOKUP($B16,MMWR_TRAD_AGG_RO_COMP[],E$1,0),"ERROR")</f>
        <v>9399</v>
      </c>
      <c r="F16" s="193">
        <f>IFERROR(VLOOKUP($B16,MMWR_TRAD_AGG_RO_COMP[],F$1,0),"ERROR")</f>
        <v>2815</v>
      </c>
      <c r="G16" s="218">
        <f t="shared" si="0"/>
        <v>0.29949994680285136</v>
      </c>
      <c r="H16" s="192">
        <f>IFERROR(VLOOKUP($B16,MMWR_TRAD_AGG_RO_COMP[],H$1,0),"ERROR")</f>
        <v>8497</v>
      </c>
      <c r="I16" s="193">
        <f>IFERROR(VLOOKUP($B16,MMWR_TRAD_AGG_RO_COMP[],I$1,0),"ERROR")</f>
        <v>5629</v>
      </c>
      <c r="J16" s="218">
        <f t="shared" si="1"/>
        <v>0.66246910674355652</v>
      </c>
      <c r="K16" s="206">
        <f>IFERROR(VLOOKUP($B16,MMWR_TRAD_AGG_RO_COMP[],K$1,0),"ERROR")</f>
        <v>839</v>
      </c>
      <c r="L16" s="207">
        <f>IFERROR(VLOOKUP($B16,MMWR_TRAD_AGG_RO_COMP[],L$1,0),"ERROR")</f>
        <v>438</v>
      </c>
      <c r="M16" s="218">
        <f t="shared" si="2"/>
        <v>0.5220500595947557</v>
      </c>
      <c r="N16" s="206">
        <f>IFERROR(VLOOKUP($B16,MMWR_TRAD_AGG_RO_COMP[],N$1,0),"ERROR")</f>
        <v>7034</v>
      </c>
      <c r="O16" s="207">
        <f>IFERROR(VLOOKUP($B16,MMWR_TRAD_AGG_RO_COMP[],O$1,0),"ERROR")</f>
        <v>3695</v>
      </c>
      <c r="P16" s="218">
        <f t="shared" si="3"/>
        <v>0.52530565823144726</v>
      </c>
      <c r="Q16" s="203">
        <f>IFERROR(VLOOKUP($B16,MMWR_TRAD_AGG_RO_COMP[],Q$1,0),"ERROR")</f>
        <v>9631</v>
      </c>
      <c r="R16" s="203">
        <f>IFERROR(VLOOKUP($B16,MMWR_TRAD_AGG_RO_COMP[],R$1,0),"ERROR")</f>
        <v>0</v>
      </c>
      <c r="S16" s="203">
        <f>IFERROR(VLOOKUP($B16,MMWR_APP_RO[],S$1,0),"ERROR")</f>
        <v>4893</v>
      </c>
      <c r="T16" s="25"/>
    </row>
    <row r="17" spans="1:20" x14ac:dyDescent="0.2">
      <c r="A17" s="107"/>
      <c r="B17" s="108" t="s">
        <v>68</v>
      </c>
      <c r="C17" s="211">
        <f>IFERROR(VLOOKUP($B17,MMWR_TRAD_AGG_RO_COMP[],C$1,0),"ERROR")</f>
        <v>4017</v>
      </c>
      <c r="D17" s="200">
        <f>IFERROR(VLOOKUP($B17,MMWR_TRAD_AGG_RO_COMP[],D$1,0),"ERROR")</f>
        <v>472.33258650729999</v>
      </c>
      <c r="E17" s="197">
        <f>IFERROR(VLOOKUP($B17,MMWR_TRAD_AGG_RO_COMP[],E$1,0),"ERROR")</f>
        <v>5010</v>
      </c>
      <c r="F17" s="193">
        <f>IFERROR(VLOOKUP($B17,MMWR_TRAD_AGG_RO_COMP[],F$1,0),"ERROR")</f>
        <v>1423</v>
      </c>
      <c r="G17" s="218">
        <f t="shared" si="0"/>
        <v>0.28403193612774452</v>
      </c>
      <c r="H17" s="192">
        <f>IFERROR(VLOOKUP($B17,MMWR_TRAD_AGG_RO_COMP[],H$1,0),"ERROR")</f>
        <v>5494</v>
      </c>
      <c r="I17" s="193">
        <f>IFERROR(VLOOKUP($B17,MMWR_TRAD_AGG_RO_COMP[],I$1,0),"ERROR")</f>
        <v>4268</v>
      </c>
      <c r="J17" s="218">
        <f t="shared" si="1"/>
        <v>0.77684746996723697</v>
      </c>
      <c r="K17" s="206">
        <f>IFERROR(VLOOKUP($B17,MMWR_TRAD_AGG_RO_COMP[],K$1,0),"ERROR")</f>
        <v>578</v>
      </c>
      <c r="L17" s="207">
        <f>IFERROR(VLOOKUP($B17,MMWR_TRAD_AGG_RO_COMP[],L$1,0),"ERROR")</f>
        <v>505</v>
      </c>
      <c r="M17" s="218">
        <f t="shared" si="2"/>
        <v>0.87370242214532867</v>
      </c>
      <c r="N17" s="206">
        <f>IFERROR(VLOOKUP($B17,MMWR_TRAD_AGG_RO_COMP[],N$1,0),"ERROR")</f>
        <v>1121</v>
      </c>
      <c r="O17" s="207">
        <f>IFERROR(VLOOKUP($B17,MMWR_TRAD_AGG_RO_COMP[],O$1,0),"ERROR")</f>
        <v>811</v>
      </c>
      <c r="P17" s="218">
        <f t="shared" si="3"/>
        <v>0.72346119536128461</v>
      </c>
      <c r="Q17" s="203">
        <f>IFERROR(VLOOKUP($B17,MMWR_TRAD_AGG_RO_COMP[],Q$1,0),"ERROR")</f>
        <v>0</v>
      </c>
      <c r="R17" s="203">
        <f>IFERROR(VLOOKUP($B17,MMWR_TRAD_AGG_RO_COMP[],R$1,0),"ERROR")</f>
        <v>3</v>
      </c>
      <c r="S17" s="203">
        <f>IFERROR(VLOOKUP($B17,MMWR_APP_RO[],S$1,0),"ERROR")</f>
        <v>4911</v>
      </c>
      <c r="T17" s="25"/>
    </row>
    <row r="18" spans="1:20" x14ac:dyDescent="0.2">
      <c r="A18" s="107"/>
      <c r="B18" s="108" t="s">
        <v>70</v>
      </c>
      <c r="C18" s="211">
        <f>IFERROR(VLOOKUP($B18,MMWR_TRAD_AGG_RO_COMP[],C$1,0),"ERROR")</f>
        <v>811</v>
      </c>
      <c r="D18" s="200">
        <f>IFERROR(VLOOKUP($B18,MMWR_TRAD_AGG_RO_COMP[],D$1,0),"ERROR")</f>
        <v>147.48088779279999</v>
      </c>
      <c r="E18" s="197">
        <f>IFERROR(VLOOKUP($B18,MMWR_TRAD_AGG_RO_COMP[],E$1,0),"ERROR")</f>
        <v>2172</v>
      </c>
      <c r="F18" s="193">
        <f>IFERROR(VLOOKUP($B18,MMWR_TRAD_AGG_RO_COMP[],F$1,0),"ERROR")</f>
        <v>346</v>
      </c>
      <c r="G18" s="218">
        <f t="shared" si="0"/>
        <v>0.15930018416206262</v>
      </c>
      <c r="H18" s="192">
        <f>IFERROR(VLOOKUP($B18,MMWR_TRAD_AGG_RO_COMP[],H$1,0),"ERROR")</f>
        <v>3151</v>
      </c>
      <c r="I18" s="193">
        <f>IFERROR(VLOOKUP($B18,MMWR_TRAD_AGG_RO_COMP[],I$1,0),"ERROR")</f>
        <v>577</v>
      </c>
      <c r="J18" s="218">
        <f t="shared" si="1"/>
        <v>0.1831164709615995</v>
      </c>
      <c r="K18" s="206">
        <f>IFERROR(VLOOKUP($B18,MMWR_TRAD_AGG_RO_COMP[],K$1,0),"ERROR")</f>
        <v>1603</v>
      </c>
      <c r="L18" s="207">
        <f>IFERROR(VLOOKUP($B18,MMWR_TRAD_AGG_RO_COMP[],L$1,0),"ERROR")</f>
        <v>1066</v>
      </c>
      <c r="M18" s="218">
        <f t="shared" si="2"/>
        <v>0.66500311915159072</v>
      </c>
      <c r="N18" s="206">
        <f>IFERROR(VLOOKUP($B18,MMWR_TRAD_AGG_RO_COMP[],N$1,0),"ERROR")</f>
        <v>243</v>
      </c>
      <c r="O18" s="207">
        <f>IFERROR(VLOOKUP($B18,MMWR_TRAD_AGG_RO_COMP[],O$1,0),"ERROR")</f>
        <v>84</v>
      </c>
      <c r="P18" s="218">
        <f t="shared" si="3"/>
        <v>0.34567901234567899</v>
      </c>
      <c r="Q18" s="203">
        <f>IFERROR(VLOOKUP($B18,MMWR_TRAD_AGG_RO_COMP[],Q$1,0),"ERROR")</f>
        <v>0</v>
      </c>
      <c r="R18" s="203">
        <f>IFERROR(VLOOKUP($B18,MMWR_TRAD_AGG_RO_COMP[],R$1,0),"ERROR")</f>
        <v>0</v>
      </c>
      <c r="S18" s="203">
        <f>IFERROR(VLOOKUP($B18,MMWR_APP_RO[],S$1,0),"ERROR")</f>
        <v>433</v>
      </c>
      <c r="T18" s="25"/>
    </row>
    <row r="19" spans="1:20" x14ac:dyDescent="0.2">
      <c r="A19" s="107"/>
      <c r="B19" s="108" t="s">
        <v>72</v>
      </c>
      <c r="C19" s="211">
        <f>IFERROR(VLOOKUP($B19,MMWR_TRAD_AGG_RO_COMP[],C$1,0),"ERROR")</f>
        <v>15827</v>
      </c>
      <c r="D19" s="200">
        <f>IFERROR(VLOOKUP($B19,MMWR_TRAD_AGG_RO_COMP[],D$1,0),"ERROR")</f>
        <v>494.2657484046</v>
      </c>
      <c r="E19" s="197">
        <f>IFERROR(VLOOKUP($B19,MMWR_TRAD_AGG_RO_COMP[],E$1,0),"ERROR")</f>
        <v>11374</v>
      </c>
      <c r="F19" s="193">
        <f>IFERROR(VLOOKUP($B19,MMWR_TRAD_AGG_RO_COMP[],F$1,0),"ERROR")</f>
        <v>1743</v>
      </c>
      <c r="G19" s="218">
        <f t="shared" si="0"/>
        <v>0.15324424125197819</v>
      </c>
      <c r="H19" s="192">
        <f>IFERROR(VLOOKUP($B19,MMWR_TRAD_AGG_RO_COMP[],H$1,0),"ERROR")</f>
        <v>17872</v>
      </c>
      <c r="I19" s="193">
        <f>IFERROR(VLOOKUP($B19,MMWR_TRAD_AGG_RO_COMP[],I$1,0),"ERROR")</f>
        <v>13058</v>
      </c>
      <c r="J19" s="218">
        <f t="shared" si="1"/>
        <v>0.73064010743061769</v>
      </c>
      <c r="K19" s="206">
        <f>IFERROR(VLOOKUP($B19,MMWR_TRAD_AGG_RO_COMP[],K$1,0),"ERROR")</f>
        <v>6099</v>
      </c>
      <c r="L19" s="207">
        <f>IFERROR(VLOOKUP($B19,MMWR_TRAD_AGG_RO_COMP[],L$1,0),"ERROR")</f>
        <v>5771</v>
      </c>
      <c r="M19" s="218">
        <f t="shared" si="2"/>
        <v>0.94622069191670766</v>
      </c>
      <c r="N19" s="206">
        <f>IFERROR(VLOOKUP($B19,MMWR_TRAD_AGG_RO_COMP[],N$1,0),"ERROR")</f>
        <v>4677</v>
      </c>
      <c r="O19" s="207">
        <f>IFERROR(VLOOKUP($B19,MMWR_TRAD_AGG_RO_COMP[],O$1,0),"ERROR")</f>
        <v>3847</v>
      </c>
      <c r="P19" s="218">
        <f t="shared" si="3"/>
        <v>0.82253581355569805</v>
      </c>
      <c r="Q19" s="203">
        <f>IFERROR(VLOOKUP($B19,MMWR_TRAD_AGG_RO_COMP[],Q$1,0),"ERROR")</f>
        <v>8</v>
      </c>
      <c r="R19" s="203">
        <f>IFERROR(VLOOKUP($B19,MMWR_TRAD_AGG_RO_COMP[],R$1,0),"ERROR")</f>
        <v>22</v>
      </c>
      <c r="S19" s="203">
        <f>IFERROR(VLOOKUP($B19,MMWR_APP_RO[],S$1,0),"ERROR")</f>
        <v>14627</v>
      </c>
      <c r="T19" s="25"/>
    </row>
    <row r="20" spans="1:20" x14ac:dyDescent="0.2">
      <c r="A20" s="107"/>
      <c r="B20" s="108" t="s">
        <v>81</v>
      </c>
      <c r="C20" s="211">
        <f>IFERROR(VLOOKUP($B20,MMWR_TRAD_AGG_RO_COMP[],C$1,0),"ERROR")</f>
        <v>1483</v>
      </c>
      <c r="D20" s="200">
        <f>IFERROR(VLOOKUP($B20,MMWR_TRAD_AGG_RO_COMP[],D$1,0),"ERROR")</f>
        <v>243.3486176669</v>
      </c>
      <c r="E20" s="197">
        <f>IFERROR(VLOOKUP($B20,MMWR_TRAD_AGG_RO_COMP[],E$1,0),"ERROR")</f>
        <v>1073</v>
      </c>
      <c r="F20" s="193">
        <f>IFERROR(VLOOKUP($B20,MMWR_TRAD_AGG_RO_COMP[],F$1,0),"ERROR")</f>
        <v>130</v>
      </c>
      <c r="G20" s="218">
        <f t="shared" si="0"/>
        <v>0.12115563839701771</v>
      </c>
      <c r="H20" s="192">
        <f>IFERROR(VLOOKUP($B20,MMWR_TRAD_AGG_RO_COMP[],H$1,0),"ERROR")</f>
        <v>2205</v>
      </c>
      <c r="I20" s="193">
        <f>IFERROR(VLOOKUP($B20,MMWR_TRAD_AGG_RO_COMP[],I$1,0),"ERROR")</f>
        <v>1321</v>
      </c>
      <c r="J20" s="218">
        <f t="shared" si="1"/>
        <v>0.59909297052154198</v>
      </c>
      <c r="K20" s="206">
        <f>IFERROR(VLOOKUP($B20,MMWR_TRAD_AGG_RO_COMP[],K$1,0),"ERROR")</f>
        <v>998</v>
      </c>
      <c r="L20" s="207">
        <f>IFERROR(VLOOKUP($B20,MMWR_TRAD_AGG_RO_COMP[],L$1,0),"ERROR")</f>
        <v>861</v>
      </c>
      <c r="M20" s="218">
        <f t="shared" si="2"/>
        <v>0.86272545090180364</v>
      </c>
      <c r="N20" s="206">
        <f>IFERROR(VLOOKUP($B20,MMWR_TRAD_AGG_RO_COMP[],N$1,0),"ERROR")</f>
        <v>697</v>
      </c>
      <c r="O20" s="207">
        <f>IFERROR(VLOOKUP($B20,MMWR_TRAD_AGG_RO_COMP[],O$1,0),"ERROR")</f>
        <v>627</v>
      </c>
      <c r="P20" s="218">
        <f t="shared" si="3"/>
        <v>0.8995695839311334</v>
      </c>
      <c r="Q20" s="203">
        <f>IFERROR(VLOOKUP($B20,MMWR_TRAD_AGG_RO_COMP[],Q$1,0),"ERROR")</f>
        <v>1</v>
      </c>
      <c r="R20" s="203">
        <f>IFERROR(VLOOKUP($B20,MMWR_TRAD_AGG_RO_COMP[],R$1,0),"ERROR")</f>
        <v>1</v>
      </c>
      <c r="S20" s="203">
        <f>IFERROR(VLOOKUP($B20,MMWR_APP_RO[],S$1,0),"ERROR")</f>
        <v>380</v>
      </c>
      <c r="T20" s="25"/>
    </row>
    <row r="21" spans="1:20" x14ac:dyDescent="0.2">
      <c r="A21" s="107"/>
      <c r="B21" s="108" t="s">
        <v>437</v>
      </c>
      <c r="C21" s="211">
        <f>IFERROR(VLOOKUP($B21,MMWR_TRAD_AGG_RO_COMP[],C$1,0),"ERROR")</f>
        <v>37427</v>
      </c>
      <c r="D21" s="200">
        <f>IFERROR(VLOOKUP($B21,MMWR_TRAD_AGG_RO_COMP[],D$1,0),"ERROR")</f>
        <v>498.02955085899998</v>
      </c>
      <c r="E21" s="197">
        <f>IFERROR(VLOOKUP($B21,MMWR_TRAD_AGG_RO_COMP[],E$1,0),"ERROR")</f>
        <v>607</v>
      </c>
      <c r="F21" s="193">
        <f>IFERROR(VLOOKUP($B21,MMWR_TRAD_AGG_RO_COMP[],F$1,0),"ERROR")</f>
        <v>194</v>
      </c>
      <c r="G21" s="218">
        <f t="shared" si="0"/>
        <v>0.31960461285008235</v>
      </c>
      <c r="H21" s="192">
        <f>IFERROR(VLOOKUP($B21,MMWR_TRAD_AGG_RO_COMP[],H$1,0),"ERROR")</f>
        <v>37895</v>
      </c>
      <c r="I21" s="193">
        <f>IFERROR(VLOOKUP($B21,MMWR_TRAD_AGG_RO_COMP[],I$1,0),"ERROR")</f>
        <v>36982</v>
      </c>
      <c r="J21" s="218">
        <f t="shared" si="1"/>
        <v>0.9759071117561684</v>
      </c>
      <c r="K21" s="206">
        <f>IFERROR(VLOOKUP($B21,MMWR_TRAD_AGG_RO_COMP[],K$1,0),"ERROR")</f>
        <v>73</v>
      </c>
      <c r="L21" s="207">
        <f>IFERROR(VLOOKUP($B21,MMWR_TRAD_AGG_RO_COMP[],L$1,0),"ERROR")</f>
        <v>69</v>
      </c>
      <c r="M21" s="218">
        <f t="shared" si="2"/>
        <v>0.9452054794520548</v>
      </c>
      <c r="N21" s="206">
        <f>IFERROR(VLOOKUP($B21,MMWR_TRAD_AGG_RO_COMP[],N$1,0),"ERROR")</f>
        <v>1370</v>
      </c>
      <c r="O21" s="207">
        <f>IFERROR(VLOOKUP($B21,MMWR_TRAD_AGG_RO_COMP[],O$1,0),"ERROR")</f>
        <v>1217</v>
      </c>
      <c r="P21" s="218">
        <f t="shared" si="3"/>
        <v>0.88832116788321169</v>
      </c>
      <c r="Q21" s="203">
        <f>IFERROR(VLOOKUP($B21,MMWR_TRAD_AGG_RO_COMP[],Q$1,0),"ERROR")</f>
        <v>0</v>
      </c>
      <c r="R21" s="203">
        <f>IFERROR(VLOOKUP($B21,MMWR_TRAD_AGG_RO_COMP[],R$1,0),"ERROR")</f>
        <v>2</v>
      </c>
      <c r="S21" s="203">
        <f>IFERROR(VLOOKUP($B21,MMWR_APP_RO[],S$1,0),"ERROR")</f>
        <v>12</v>
      </c>
      <c r="T21" s="25"/>
    </row>
    <row r="22" spans="1:20" x14ac:dyDescent="0.2">
      <c r="A22" s="107"/>
      <c r="B22" s="108" t="s">
        <v>141</v>
      </c>
      <c r="C22" s="211">
        <f>IFERROR(VLOOKUP($B22,MMWR_TRAD_AGG_RO_COMP[],C$1,0),"ERROR")</f>
        <v>406</v>
      </c>
      <c r="D22" s="200">
        <f>IFERROR(VLOOKUP($B22,MMWR_TRAD_AGG_RO_COMP[],D$1,0),"ERROR")</f>
        <v>353.19458128079998</v>
      </c>
      <c r="E22" s="197">
        <f>IFERROR(VLOOKUP($B22,MMWR_TRAD_AGG_RO_COMP[],E$1,0),"ERROR")</f>
        <v>366</v>
      </c>
      <c r="F22" s="193">
        <f>IFERROR(VLOOKUP($B22,MMWR_TRAD_AGG_RO_COMP[],F$1,0),"ERROR")</f>
        <v>77</v>
      </c>
      <c r="G22" s="218">
        <f t="shared" si="0"/>
        <v>0.2103825136612022</v>
      </c>
      <c r="H22" s="192">
        <f>IFERROR(VLOOKUP($B22,MMWR_TRAD_AGG_RO_COMP[],H$1,0),"ERROR")</f>
        <v>555</v>
      </c>
      <c r="I22" s="193">
        <f>IFERROR(VLOOKUP($B22,MMWR_TRAD_AGG_RO_COMP[],I$1,0),"ERROR")</f>
        <v>388</v>
      </c>
      <c r="J22" s="218">
        <f t="shared" si="1"/>
        <v>0.69909909909909906</v>
      </c>
      <c r="K22" s="206">
        <f>IFERROR(VLOOKUP($B22,MMWR_TRAD_AGG_RO_COMP[],K$1,0),"ERROR")</f>
        <v>66</v>
      </c>
      <c r="L22" s="207">
        <f>IFERROR(VLOOKUP($B22,MMWR_TRAD_AGG_RO_COMP[],L$1,0),"ERROR")</f>
        <v>56</v>
      </c>
      <c r="M22" s="218">
        <f t="shared" si="2"/>
        <v>0.84848484848484851</v>
      </c>
      <c r="N22" s="206">
        <f>IFERROR(VLOOKUP($B22,MMWR_TRAD_AGG_RO_COMP[],N$1,0),"ERROR")</f>
        <v>77</v>
      </c>
      <c r="O22" s="207">
        <f>IFERROR(VLOOKUP($B22,MMWR_TRAD_AGG_RO_COMP[],O$1,0),"ERROR")</f>
        <v>56</v>
      </c>
      <c r="P22" s="218">
        <f t="shared" si="3"/>
        <v>0.72727272727272729</v>
      </c>
      <c r="Q22" s="203">
        <f>IFERROR(VLOOKUP($B22,MMWR_TRAD_AGG_RO_COMP[],Q$1,0),"ERROR")</f>
        <v>0</v>
      </c>
      <c r="R22" s="203">
        <f>IFERROR(VLOOKUP($B22,MMWR_TRAD_AGG_RO_COMP[],R$1,0),"ERROR")</f>
        <v>1</v>
      </c>
      <c r="S22" s="203">
        <f>IFERROR(VLOOKUP($B22,MMWR_APP_RO[],S$1,0),"ERROR")</f>
        <v>196</v>
      </c>
      <c r="T22" s="25"/>
    </row>
    <row r="23" spans="1:20" x14ac:dyDescent="0.2">
      <c r="A23" s="107"/>
      <c r="B23" s="108" t="s">
        <v>85</v>
      </c>
      <c r="C23" s="211">
        <f>IFERROR(VLOOKUP($B23,MMWR_TRAD_AGG_RO_COMP[],C$1,0),"ERROR")</f>
        <v>816</v>
      </c>
      <c r="D23" s="200">
        <f>IFERROR(VLOOKUP($B23,MMWR_TRAD_AGG_RO_COMP[],D$1,0),"ERROR")</f>
        <v>347.5943627451</v>
      </c>
      <c r="E23" s="197">
        <f>IFERROR(VLOOKUP($B23,MMWR_TRAD_AGG_RO_COMP[],E$1,0),"ERROR")</f>
        <v>788</v>
      </c>
      <c r="F23" s="193">
        <f>IFERROR(VLOOKUP($B23,MMWR_TRAD_AGG_RO_COMP[],F$1,0),"ERROR")</f>
        <v>187</v>
      </c>
      <c r="G23" s="218">
        <f t="shared" si="0"/>
        <v>0.23730964467005075</v>
      </c>
      <c r="H23" s="192">
        <f>IFERROR(VLOOKUP($B23,MMWR_TRAD_AGG_RO_COMP[],H$1,0),"ERROR")</f>
        <v>864</v>
      </c>
      <c r="I23" s="193">
        <f>IFERROR(VLOOKUP($B23,MMWR_TRAD_AGG_RO_COMP[],I$1,0),"ERROR")</f>
        <v>424</v>
      </c>
      <c r="J23" s="218">
        <f t="shared" si="1"/>
        <v>0.49074074074074076</v>
      </c>
      <c r="K23" s="206">
        <f>IFERROR(VLOOKUP($B23,MMWR_TRAD_AGG_RO_COMP[],K$1,0),"ERROR")</f>
        <v>11</v>
      </c>
      <c r="L23" s="207">
        <f>IFERROR(VLOOKUP($B23,MMWR_TRAD_AGG_RO_COMP[],L$1,0),"ERROR")</f>
        <v>8</v>
      </c>
      <c r="M23" s="218">
        <f t="shared" si="2"/>
        <v>0.72727272727272729</v>
      </c>
      <c r="N23" s="206">
        <f>IFERROR(VLOOKUP($B23,MMWR_TRAD_AGG_RO_COMP[],N$1,0),"ERROR")</f>
        <v>188</v>
      </c>
      <c r="O23" s="207">
        <f>IFERROR(VLOOKUP($B23,MMWR_TRAD_AGG_RO_COMP[],O$1,0),"ERROR")</f>
        <v>128</v>
      </c>
      <c r="P23" s="218">
        <f t="shared" si="3"/>
        <v>0.68085106382978722</v>
      </c>
      <c r="Q23" s="203">
        <f>IFERROR(VLOOKUP($B23,MMWR_TRAD_AGG_RO_COMP[],Q$1,0),"ERROR")</f>
        <v>0</v>
      </c>
      <c r="R23" s="203">
        <f>IFERROR(VLOOKUP($B23,MMWR_TRAD_AGG_RO_COMP[],R$1,0),"ERROR")</f>
        <v>0</v>
      </c>
      <c r="S23" s="203">
        <f>IFERROR(VLOOKUP($B23,MMWR_APP_RO[],S$1,0),"ERROR")</f>
        <v>177</v>
      </c>
      <c r="T23" s="25"/>
    </row>
    <row r="24" spans="1:20" x14ac:dyDescent="0.2">
      <c r="A24" s="92"/>
      <c r="B24" s="116" t="s">
        <v>86</v>
      </c>
      <c r="C24" s="212">
        <f>IFERROR(VLOOKUP($B24,MMWR_TRAD_AGG_RO_COMP[],C$1,0),"ERROR")</f>
        <v>16524</v>
      </c>
      <c r="D24" s="201">
        <f>IFERROR(VLOOKUP($B24,MMWR_TRAD_AGG_RO_COMP[],D$1,0),"ERROR")</f>
        <v>284.40020576130001</v>
      </c>
      <c r="E24" s="198">
        <f>IFERROR(VLOOKUP($B24,MMWR_TRAD_AGG_RO_COMP[],E$1,0),"ERROR")</f>
        <v>25370</v>
      </c>
      <c r="F24" s="195">
        <f>IFERROR(VLOOKUP($B24,MMWR_TRAD_AGG_RO_COMP[],F$1,0),"ERROR")</f>
        <v>4744</v>
      </c>
      <c r="G24" s="219">
        <f t="shared" si="0"/>
        <v>0.1869925108395743</v>
      </c>
      <c r="H24" s="194">
        <f>IFERROR(VLOOKUP($B24,MMWR_TRAD_AGG_RO_COMP[],H$1,0),"ERROR")</f>
        <v>27239</v>
      </c>
      <c r="I24" s="195">
        <f>IFERROR(VLOOKUP($B24,MMWR_TRAD_AGG_RO_COMP[],I$1,0),"ERROR")</f>
        <v>14270</v>
      </c>
      <c r="J24" s="219">
        <f t="shared" si="1"/>
        <v>0.52388119975035796</v>
      </c>
      <c r="K24" s="208">
        <f>IFERROR(VLOOKUP($B24,MMWR_TRAD_AGG_RO_COMP[],K$1,0),"ERROR")</f>
        <v>5108</v>
      </c>
      <c r="L24" s="209">
        <f>IFERROR(VLOOKUP($B24,MMWR_TRAD_AGG_RO_COMP[],L$1,0),"ERROR")</f>
        <v>4088</v>
      </c>
      <c r="M24" s="219">
        <f t="shared" si="2"/>
        <v>0.80031323414252153</v>
      </c>
      <c r="N24" s="208">
        <f>IFERROR(VLOOKUP($B24,MMWR_TRAD_AGG_RO_COMP[],N$1,0),"ERROR")</f>
        <v>5534</v>
      </c>
      <c r="O24" s="209">
        <f>IFERROR(VLOOKUP($B24,MMWR_TRAD_AGG_RO_COMP[],O$1,0),"ERROR")</f>
        <v>4046</v>
      </c>
      <c r="P24" s="219">
        <f t="shared" si="3"/>
        <v>0.73111673292374413</v>
      </c>
      <c r="Q24" s="204">
        <f>IFERROR(VLOOKUP($B24,MMWR_TRAD_AGG_RO_COMP[],Q$1,0),"ERROR")</f>
        <v>2</v>
      </c>
      <c r="R24" s="204">
        <f>IFERROR(VLOOKUP($B24,MMWR_TRAD_AGG_RO_COMP[],R$1,0),"ERROR")</f>
        <v>24</v>
      </c>
      <c r="S24" s="203">
        <f>IFERROR(VLOOKUP($B24,MMWR_APP_RO[],S$1,0),"ERROR")</f>
        <v>9428</v>
      </c>
      <c r="T24" s="25"/>
    </row>
    <row r="25" spans="1:20" x14ac:dyDescent="0.2">
      <c r="A25" s="107"/>
      <c r="B25" s="101" t="s">
        <v>397</v>
      </c>
      <c r="C25" s="214">
        <f>IFERROR(VLOOKUP($B25,MMWR_TRAD_AGG_DISTRICT_COMP[],C$1,0),"ERROR")</f>
        <v>45002</v>
      </c>
      <c r="D25" s="199">
        <f>IFERROR(VLOOKUP($B25,MMWR_TRAD_AGG_DISTRICT_COMP[],D$1,0),"ERROR")</f>
        <v>367.36009510690002</v>
      </c>
      <c r="E25" s="215">
        <f>IFERROR(VLOOKUP($B25,MMWR_TRAD_AGG_DISTRICT_COMP[],E$1,0),"ERROR")</f>
        <v>56493</v>
      </c>
      <c r="F25" s="220">
        <f>IFERROR(VLOOKUP($B25,MMWR_TRAD_AGG_DISTRICT_COMP[],F$1,0),"ERROR")</f>
        <v>11409</v>
      </c>
      <c r="G25" s="216">
        <f t="shared" si="0"/>
        <v>0.20195422441718444</v>
      </c>
      <c r="H25" s="220">
        <f>IFERROR(VLOOKUP($B25,MMWR_TRAD_AGG_DISTRICT_COMP[],H$1,0),"ERROR")</f>
        <v>74208</v>
      </c>
      <c r="I25" s="220">
        <f>IFERROR(VLOOKUP($B25,MMWR_TRAD_AGG_DISTRICT_COMP[],I$1,0),"ERROR")</f>
        <v>38176</v>
      </c>
      <c r="J25" s="216">
        <f t="shared" si="1"/>
        <v>0.51444588184562312</v>
      </c>
      <c r="K25" s="214">
        <f>IFERROR(VLOOKUP($B25,MMWR_TRAD_AGG_DISTRICT_COMP[],K$1,0),"ERROR")</f>
        <v>9695</v>
      </c>
      <c r="L25" s="214">
        <f>IFERROR(VLOOKUP($B25,MMWR_TRAD_AGG_DISTRICT_COMP[],L$1,0),"ERROR")</f>
        <v>8090</v>
      </c>
      <c r="M25" s="216">
        <f t="shared" si="2"/>
        <v>0.83445074780814854</v>
      </c>
      <c r="N25" s="214">
        <f>IFERROR(VLOOKUP($B25,MMWR_TRAD_AGG_DISTRICT_COMP[],N$1,0),"ERROR")</f>
        <v>18626</v>
      </c>
      <c r="O25" s="214">
        <f>IFERROR(VLOOKUP($B25,MMWR_TRAD_AGG_DISTRICT_COMP[],O$1,0),"ERROR")</f>
        <v>12991</v>
      </c>
      <c r="P25" s="216">
        <f t="shared" si="3"/>
        <v>0.69746590787071838</v>
      </c>
      <c r="Q25" s="214">
        <f>IFERROR(VLOOKUP($B25,MMWR_TRAD_AGG_DISTRICT_COMP[],Q$1,0),"ERROR")</f>
        <v>1163</v>
      </c>
      <c r="R25" s="217">
        <f>IFERROR(VLOOKUP($B25,MMWR_TRAD_AGG_DISTRICT_COMP[],R$1,0),"ERROR")</f>
        <v>1179</v>
      </c>
      <c r="S25" s="217">
        <f>IFERROR(VLOOKUP($B25,MMWR_APP_RO[],S$1,0),"ERROR")</f>
        <v>51872</v>
      </c>
      <c r="T25" s="25"/>
    </row>
    <row r="26" spans="1:20" x14ac:dyDescent="0.2">
      <c r="A26" s="107"/>
      <c r="B26" s="108" t="s">
        <v>40</v>
      </c>
      <c r="C26" s="211">
        <f>IFERROR(VLOOKUP($B26,MMWR_TRAD_AGG_RO_COMP[],C$1,0),"ERROR")</f>
        <v>6482</v>
      </c>
      <c r="D26" s="200">
        <f>IFERROR(VLOOKUP($B26,MMWR_TRAD_AGG_RO_COMP[],D$1,0),"ERROR")</f>
        <v>522.38799753160004</v>
      </c>
      <c r="E26" s="197">
        <f>IFERROR(VLOOKUP($B26,MMWR_TRAD_AGG_RO_COMP[],E$1,0),"ERROR")</f>
        <v>6549</v>
      </c>
      <c r="F26" s="193">
        <f>IFERROR(VLOOKUP($B26,MMWR_TRAD_AGG_RO_COMP[],F$1,0),"ERROR")</f>
        <v>1734</v>
      </c>
      <c r="G26" s="218">
        <f t="shared" si="0"/>
        <v>0.26477324782409528</v>
      </c>
      <c r="H26" s="192">
        <f>IFERROR(VLOOKUP($B26,MMWR_TRAD_AGG_RO_COMP[],H$1,0),"ERROR")</f>
        <v>7742</v>
      </c>
      <c r="I26" s="193">
        <f>IFERROR(VLOOKUP($B26,MMWR_TRAD_AGG_RO_COMP[],I$1,0),"ERROR")</f>
        <v>6025</v>
      </c>
      <c r="J26" s="218">
        <f t="shared" si="1"/>
        <v>0.77822268147765439</v>
      </c>
      <c r="K26" s="206">
        <f>IFERROR(VLOOKUP($B26,MMWR_TRAD_AGG_RO_COMP[],K$1,0),"ERROR")</f>
        <v>1332</v>
      </c>
      <c r="L26" s="207">
        <f>IFERROR(VLOOKUP($B26,MMWR_TRAD_AGG_RO_COMP[],L$1,0),"ERROR")</f>
        <v>1279</v>
      </c>
      <c r="M26" s="218">
        <f t="shared" si="2"/>
        <v>0.96021021021021025</v>
      </c>
      <c r="N26" s="206">
        <f>IFERROR(VLOOKUP($B26,MMWR_TRAD_AGG_RO_COMP[],N$1,0),"ERROR")</f>
        <v>1924</v>
      </c>
      <c r="O26" s="207">
        <f>IFERROR(VLOOKUP($B26,MMWR_TRAD_AGG_RO_COMP[],O$1,0),"ERROR")</f>
        <v>1454</v>
      </c>
      <c r="P26" s="218">
        <f t="shared" si="3"/>
        <v>0.75571725571725568</v>
      </c>
      <c r="Q26" s="203">
        <f>IFERROR(VLOOKUP($B26,MMWR_TRAD_AGG_RO_COMP[],Q$1,0),"ERROR")</f>
        <v>1</v>
      </c>
      <c r="R26" s="203">
        <f>IFERROR(VLOOKUP($B26,MMWR_TRAD_AGG_RO_COMP[],R$1,0),"ERROR")</f>
        <v>288</v>
      </c>
      <c r="S26" s="203">
        <f>IFERROR(VLOOKUP($B26,MMWR_APP_RO[],S$1,0),"ERROR")</f>
        <v>7625</v>
      </c>
      <c r="T26" s="25"/>
    </row>
    <row r="27" spans="1:20" x14ac:dyDescent="0.2">
      <c r="A27" s="107"/>
      <c r="B27" s="108" t="s">
        <v>41</v>
      </c>
      <c r="C27" s="211">
        <f>IFERROR(VLOOKUP($B27,MMWR_TRAD_AGG_RO_COMP[],C$1,0),"ERROR")</f>
        <v>6315</v>
      </c>
      <c r="D27" s="200">
        <f>IFERROR(VLOOKUP($B27,MMWR_TRAD_AGG_RO_COMP[],D$1,0),"ERROR")</f>
        <v>511.3284243864</v>
      </c>
      <c r="E27" s="197">
        <f>IFERROR(VLOOKUP($B27,MMWR_TRAD_AGG_RO_COMP[],E$1,0),"ERROR")</f>
        <v>8205</v>
      </c>
      <c r="F27" s="193">
        <f>IFERROR(VLOOKUP($B27,MMWR_TRAD_AGG_RO_COMP[],F$1,0),"ERROR")</f>
        <v>1907</v>
      </c>
      <c r="G27" s="218">
        <f t="shared" si="0"/>
        <v>0.23241925655088361</v>
      </c>
      <c r="H27" s="192">
        <f>IFERROR(VLOOKUP($B27,MMWR_TRAD_AGG_RO_COMP[],H$1,0),"ERROR")</f>
        <v>8597</v>
      </c>
      <c r="I27" s="193">
        <f>IFERROR(VLOOKUP($B27,MMWR_TRAD_AGG_RO_COMP[],I$1,0),"ERROR")</f>
        <v>6459</v>
      </c>
      <c r="J27" s="218">
        <f t="shared" si="1"/>
        <v>0.75130859602186806</v>
      </c>
      <c r="K27" s="206">
        <f>IFERROR(VLOOKUP($B27,MMWR_TRAD_AGG_RO_COMP[],K$1,0),"ERROR")</f>
        <v>1502</v>
      </c>
      <c r="L27" s="207">
        <f>IFERROR(VLOOKUP($B27,MMWR_TRAD_AGG_RO_COMP[],L$1,0),"ERROR")</f>
        <v>1413</v>
      </c>
      <c r="M27" s="218">
        <f t="shared" si="2"/>
        <v>0.940745672436751</v>
      </c>
      <c r="N27" s="206">
        <f>IFERROR(VLOOKUP($B27,MMWR_TRAD_AGG_RO_COMP[],N$1,0),"ERROR")</f>
        <v>5897</v>
      </c>
      <c r="O27" s="207">
        <f>IFERROR(VLOOKUP($B27,MMWR_TRAD_AGG_RO_COMP[],O$1,0),"ERROR")</f>
        <v>3464</v>
      </c>
      <c r="P27" s="218">
        <f t="shared" si="3"/>
        <v>0.58741733084619296</v>
      </c>
      <c r="Q27" s="203">
        <f>IFERROR(VLOOKUP($B27,MMWR_TRAD_AGG_RO_COMP[],Q$1,0),"ERROR")</f>
        <v>15</v>
      </c>
      <c r="R27" s="203">
        <f>IFERROR(VLOOKUP($B27,MMWR_TRAD_AGG_RO_COMP[],R$1,0),"ERROR")</f>
        <v>342</v>
      </c>
      <c r="S27" s="203">
        <f>IFERROR(VLOOKUP($B27,MMWR_APP_RO[],S$1,0),"ERROR")</f>
        <v>14014</v>
      </c>
      <c r="T27" s="25"/>
    </row>
    <row r="28" spans="1:20" x14ac:dyDescent="0.2">
      <c r="A28" s="107"/>
      <c r="B28" s="108" t="s">
        <v>44</v>
      </c>
      <c r="C28" s="211">
        <f>IFERROR(VLOOKUP($B28,MMWR_TRAD_AGG_RO_COMP[],C$1,0),"ERROR")</f>
        <v>1188</v>
      </c>
      <c r="D28" s="200">
        <f>IFERROR(VLOOKUP($B28,MMWR_TRAD_AGG_RO_COMP[],D$1,0),"ERROR")</f>
        <v>123.9739057239</v>
      </c>
      <c r="E28" s="197">
        <f>IFERROR(VLOOKUP($B28,MMWR_TRAD_AGG_RO_COMP[],E$1,0),"ERROR")</f>
        <v>2267</v>
      </c>
      <c r="F28" s="193">
        <f>IFERROR(VLOOKUP($B28,MMWR_TRAD_AGG_RO_COMP[],F$1,0),"ERROR")</f>
        <v>454</v>
      </c>
      <c r="G28" s="218">
        <f t="shared" si="0"/>
        <v>0.20026466696074108</v>
      </c>
      <c r="H28" s="192">
        <f>IFERROR(VLOOKUP($B28,MMWR_TRAD_AGG_RO_COMP[],H$1,0),"ERROR")</f>
        <v>2123</v>
      </c>
      <c r="I28" s="193">
        <f>IFERROR(VLOOKUP($B28,MMWR_TRAD_AGG_RO_COMP[],I$1,0),"ERROR")</f>
        <v>576</v>
      </c>
      <c r="J28" s="218">
        <f t="shared" si="1"/>
        <v>0.27131417804992936</v>
      </c>
      <c r="K28" s="206">
        <f>IFERROR(VLOOKUP($B28,MMWR_TRAD_AGG_RO_COMP[],K$1,0),"ERROR")</f>
        <v>192</v>
      </c>
      <c r="L28" s="207">
        <f>IFERROR(VLOOKUP($B28,MMWR_TRAD_AGG_RO_COMP[],L$1,0),"ERROR")</f>
        <v>145</v>
      </c>
      <c r="M28" s="218">
        <f t="shared" si="2"/>
        <v>0.75520833333333337</v>
      </c>
      <c r="N28" s="206">
        <f>IFERROR(VLOOKUP($B28,MMWR_TRAD_AGG_RO_COMP[],N$1,0),"ERROR")</f>
        <v>1052</v>
      </c>
      <c r="O28" s="207">
        <f>IFERROR(VLOOKUP($B28,MMWR_TRAD_AGG_RO_COMP[],O$1,0),"ERROR")</f>
        <v>927</v>
      </c>
      <c r="P28" s="218">
        <f t="shared" si="3"/>
        <v>0.88117870722433456</v>
      </c>
      <c r="Q28" s="203">
        <f>IFERROR(VLOOKUP($B28,MMWR_TRAD_AGG_RO_COMP[],Q$1,0),"ERROR")</f>
        <v>0</v>
      </c>
      <c r="R28" s="203">
        <f>IFERROR(VLOOKUP($B28,MMWR_TRAD_AGG_RO_COMP[],R$1,0),"ERROR")</f>
        <v>9</v>
      </c>
      <c r="S28" s="203">
        <f>IFERROR(VLOOKUP($B28,MMWR_APP_RO[],S$1,0),"ERROR")</f>
        <v>1015</v>
      </c>
      <c r="T28" s="25"/>
    </row>
    <row r="29" spans="1:20" x14ac:dyDescent="0.2">
      <c r="A29" s="107"/>
      <c r="B29" s="108" t="s">
        <v>45</v>
      </c>
      <c r="C29" s="211">
        <f>IFERROR(VLOOKUP($B29,MMWR_TRAD_AGG_RO_COMP[],C$1,0),"ERROR")</f>
        <v>3017</v>
      </c>
      <c r="D29" s="200">
        <f>IFERROR(VLOOKUP($B29,MMWR_TRAD_AGG_RO_COMP[],D$1,0),"ERROR")</f>
        <v>237.6373881339</v>
      </c>
      <c r="E29" s="197">
        <f>IFERROR(VLOOKUP($B29,MMWR_TRAD_AGG_RO_COMP[],E$1,0),"ERROR")</f>
        <v>7120</v>
      </c>
      <c r="F29" s="193">
        <f>IFERROR(VLOOKUP($B29,MMWR_TRAD_AGG_RO_COMP[],F$1,0),"ERROR")</f>
        <v>1792</v>
      </c>
      <c r="G29" s="218">
        <f t="shared" si="0"/>
        <v>0.25168539325842698</v>
      </c>
      <c r="H29" s="192">
        <f>IFERROR(VLOOKUP($B29,MMWR_TRAD_AGG_RO_COMP[],H$1,0),"ERROR")</f>
        <v>6269</v>
      </c>
      <c r="I29" s="193">
        <f>IFERROR(VLOOKUP($B29,MMWR_TRAD_AGG_RO_COMP[],I$1,0),"ERROR")</f>
        <v>2609</v>
      </c>
      <c r="J29" s="218">
        <f t="shared" si="1"/>
        <v>0.41617482852129528</v>
      </c>
      <c r="K29" s="206">
        <f>IFERROR(VLOOKUP($B29,MMWR_TRAD_AGG_RO_COMP[],K$1,0),"ERROR")</f>
        <v>957</v>
      </c>
      <c r="L29" s="207">
        <f>IFERROR(VLOOKUP($B29,MMWR_TRAD_AGG_RO_COMP[],L$1,0),"ERROR")</f>
        <v>796</v>
      </c>
      <c r="M29" s="218">
        <f t="shared" si="2"/>
        <v>0.83176593521421105</v>
      </c>
      <c r="N29" s="206">
        <f>IFERROR(VLOOKUP($B29,MMWR_TRAD_AGG_RO_COMP[],N$1,0),"ERROR")</f>
        <v>764</v>
      </c>
      <c r="O29" s="207">
        <f>IFERROR(VLOOKUP($B29,MMWR_TRAD_AGG_RO_COMP[],O$1,0),"ERROR")</f>
        <v>415</v>
      </c>
      <c r="P29" s="218">
        <f t="shared" si="3"/>
        <v>0.54319371727748689</v>
      </c>
      <c r="Q29" s="203">
        <f>IFERROR(VLOOKUP($B29,MMWR_TRAD_AGG_RO_COMP[],Q$1,0),"ERROR")</f>
        <v>2</v>
      </c>
      <c r="R29" s="203">
        <f>IFERROR(VLOOKUP($B29,MMWR_TRAD_AGG_RO_COMP[],R$1,0),"ERROR")</f>
        <v>205</v>
      </c>
      <c r="S29" s="203">
        <f>IFERROR(VLOOKUP($B29,MMWR_APP_RO[],S$1,0),"ERROR")</f>
        <v>6220</v>
      </c>
      <c r="T29" s="25"/>
    </row>
    <row r="30" spans="1:20" x14ac:dyDescent="0.2">
      <c r="A30" s="107"/>
      <c r="B30" s="108" t="s">
        <v>46</v>
      </c>
      <c r="C30" s="211">
        <f>IFERROR(VLOOKUP($B30,MMWR_TRAD_AGG_RO_COMP[],C$1,0),"ERROR")</f>
        <v>132</v>
      </c>
      <c r="D30" s="200">
        <f>IFERROR(VLOOKUP($B30,MMWR_TRAD_AGG_RO_COMP[],D$1,0),"ERROR")</f>
        <v>59.318181818200003</v>
      </c>
      <c r="E30" s="197">
        <f>IFERROR(VLOOKUP($B30,MMWR_TRAD_AGG_RO_COMP[],E$1,0),"ERROR")</f>
        <v>805</v>
      </c>
      <c r="F30" s="193">
        <f>IFERROR(VLOOKUP($B30,MMWR_TRAD_AGG_RO_COMP[],F$1,0),"ERROR")</f>
        <v>174</v>
      </c>
      <c r="G30" s="218">
        <f t="shared" si="0"/>
        <v>0.21614906832298136</v>
      </c>
      <c r="H30" s="192">
        <f>IFERROR(VLOOKUP($B30,MMWR_TRAD_AGG_RO_COMP[],H$1,0),"ERROR")</f>
        <v>375</v>
      </c>
      <c r="I30" s="193">
        <f>IFERROR(VLOOKUP($B30,MMWR_TRAD_AGG_RO_COMP[],I$1,0),"ERROR")</f>
        <v>22</v>
      </c>
      <c r="J30" s="218">
        <f t="shared" si="1"/>
        <v>5.8666666666666666E-2</v>
      </c>
      <c r="K30" s="206">
        <f>IFERROR(VLOOKUP($B30,MMWR_TRAD_AGG_RO_COMP[],K$1,0),"ERROR")</f>
        <v>75</v>
      </c>
      <c r="L30" s="207">
        <f>IFERROR(VLOOKUP($B30,MMWR_TRAD_AGG_RO_COMP[],L$1,0),"ERROR")</f>
        <v>21</v>
      </c>
      <c r="M30" s="218">
        <f t="shared" si="2"/>
        <v>0.28000000000000003</v>
      </c>
      <c r="N30" s="206">
        <f>IFERROR(VLOOKUP($B30,MMWR_TRAD_AGG_RO_COMP[],N$1,0),"ERROR")</f>
        <v>52</v>
      </c>
      <c r="O30" s="207">
        <f>IFERROR(VLOOKUP($B30,MMWR_TRAD_AGG_RO_COMP[],O$1,0),"ERROR")</f>
        <v>16</v>
      </c>
      <c r="P30" s="218">
        <f t="shared" si="3"/>
        <v>0.30769230769230771</v>
      </c>
      <c r="Q30" s="203">
        <f>IFERROR(VLOOKUP($B30,MMWR_TRAD_AGG_RO_COMP[],Q$1,0),"ERROR")</f>
        <v>0</v>
      </c>
      <c r="R30" s="203">
        <f>IFERROR(VLOOKUP($B30,MMWR_TRAD_AGG_RO_COMP[],R$1,0),"ERROR")</f>
        <v>0</v>
      </c>
      <c r="S30" s="203">
        <f>IFERROR(VLOOKUP($B30,MMWR_APP_RO[],S$1,0),"ERROR")</f>
        <v>555</v>
      </c>
      <c r="T30" s="25"/>
    </row>
    <row r="31" spans="1:20" x14ac:dyDescent="0.2">
      <c r="A31" s="107"/>
      <c r="B31" s="108" t="s">
        <v>51</v>
      </c>
      <c r="C31" s="211">
        <f>IFERROR(VLOOKUP($B31,MMWR_TRAD_AGG_RO_COMP[],C$1,0),"ERROR")</f>
        <v>9243</v>
      </c>
      <c r="D31" s="200">
        <f>IFERROR(VLOOKUP($B31,MMWR_TRAD_AGG_RO_COMP[],D$1,0),"ERROR")</f>
        <v>516.96267445629996</v>
      </c>
      <c r="E31" s="197">
        <f>IFERROR(VLOOKUP($B31,MMWR_TRAD_AGG_RO_COMP[],E$1,0),"ERROR")</f>
        <v>4834</v>
      </c>
      <c r="F31" s="193">
        <f>IFERROR(VLOOKUP($B31,MMWR_TRAD_AGG_RO_COMP[],F$1,0),"ERROR")</f>
        <v>813</v>
      </c>
      <c r="G31" s="218">
        <f t="shared" si="0"/>
        <v>0.16818369880016548</v>
      </c>
      <c r="H31" s="192">
        <f>IFERROR(VLOOKUP($B31,MMWR_TRAD_AGG_RO_COMP[],H$1,0),"ERROR")</f>
        <v>15025</v>
      </c>
      <c r="I31" s="193">
        <f>IFERROR(VLOOKUP($B31,MMWR_TRAD_AGG_RO_COMP[],I$1,0),"ERROR")</f>
        <v>8264</v>
      </c>
      <c r="J31" s="218">
        <f t="shared" si="1"/>
        <v>0.5500166389351081</v>
      </c>
      <c r="K31" s="206">
        <f>IFERROR(VLOOKUP($B31,MMWR_TRAD_AGG_RO_COMP[],K$1,0),"ERROR")</f>
        <v>1016</v>
      </c>
      <c r="L31" s="207">
        <f>IFERROR(VLOOKUP($B31,MMWR_TRAD_AGG_RO_COMP[],L$1,0),"ERROR")</f>
        <v>828</v>
      </c>
      <c r="M31" s="218">
        <f t="shared" si="2"/>
        <v>0.81496062992125984</v>
      </c>
      <c r="N31" s="206">
        <f>IFERROR(VLOOKUP($B31,MMWR_TRAD_AGG_RO_COMP[],N$1,0),"ERROR")</f>
        <v>1584</v>
      </c>
      <c r="O31" s="207">
        <f>IFERROR(VLOOKUP($B31,MMWR_TRAD_AGG_RO_COMP[],O$1,0),"ERROR")</f>
        <v>1144</v>
      </c>
      <c r="P31" s="218">
        <f t="shared" si="3"/>
        <v>0.72222222222222221</v>
      </c>
      <c r="Q31" s="203">
        <f>IFERROR(VLOOKUP($B31,MMWR_TRAD_AGG_RO_COMP[],Q$1,0),"ERROR")</f>
        <v>3</v>
      </c>
      <c r="R31" s="203">
        <f>IFERROR(VLOOKUP($B31,MMWR_TRAD_AGG_RO_COMP[],R$1,0),"ERROR")</f>
        <v>213</v>
      </c>
      <c r="S31" s="203">
        <f>IFERROR(VLOOKUP($B31,MMWR_APP_RO[],S$1,0),"ERROR")</f>
        <v>8281</v>
      </c>
      <c r="T31" s="25"/>
    </row>
    <row r="32" spans="1:20" x14ac:dyDescent="0.2">
      <c r="A32" s="107"/>
      <c r="B32" s="108" t="s">
        <v>53</v>
      </c>
      <c r="C32" s="211">
        <f>IFERROR(VLOOKUP($B32,MMWR_TRAD_AGG_RO_COMP[],C$1,0),"ERROR")</f>
        <v>2573</v>
      </c>
      <c r="D32" s="200">
        <f>IFERROR(VLOOKUP($B32,MMWR_TRAD_AGG_RO_COMP[],D$1,0),"ERROR")</f>
        <v>132.8181111543</v>
      </c>
      <c r="E32" s="197">
        <f>IFERROR(VLOOKUP($B32,MMWR_TRAD_AGG_RO_COMP[],E$1,0),"ERROR")</f>
        <v>1798</v>
      </c>
      <c r="F32" s="193">
        <f>IFERROR(VLOOKUP($B32,MMWR_TRAD_AGG_RO_COMP[],F$1,0),"ERROR")</f>
        <v>231</v>
      </c>
      <c r="G32" s="218">
        <f t="shared" si="0"/>
        <v>0.12847608453837597</v>
      </c>
      <c r="H32" s="192">
        <f>IFERROR(VLOOKUP($B32,MMWR_TRAD_AGG_RO_COMP[],H$1,0),"ERROR")</f>
        <v>4487</v>
      </c>
      <c r="I32" s="193">
        <f>IFERROR(VLOOKUP($B32,MMWR_TRAD_AGG_RO_COMP[],I$1,0),"ERROR")</f>
        <v>1015</v>
      </c>
      <c r="J32" s="218">
        <f t="shared" si="1"/>
        <v>0.22620904836193448</v>
      </c>
      <c r="K32" s="206">
        <f>IFERROR(VLOOKUP($B32,MMWR_TRAD_AGG_RO_COMP[],K$1,0),"ERROR")</f>
        <v>626</v>
      </c>
      <c r="L32" s="207">
        <f>IFERROR(VLOOKUP($B32,MMWR_TRAD_AGG_RO_COMP[],L$1,0),"ERROR")</f>
        <v>468</v>
      </c>
      <c r="M32" s="218">
        <f t="shared" si="2"/>
        <v>0.74760383386581475</v>
      </c>
      <c r="N32" s="206">
        <f>IFERROR(VLOOKUP($B32,MMWR_TRAD_AGG_RO_COMP[],N$1,0),"ERROR")</f>
        <v>336</v>
      </c>
      <c r="O32" s="207">
        <f>IFERROR(VLOOKUP($B32,MMWR_TRAD_AGG_RO_COMP[],O$1,0),"ERROR")</f>
        <v>184</v>
      </c>
      <c r="P32" s="218">
        <f t="shared" si="3"/>
        <v>0.54761904761904767</v>
      </c>
      <c r="Q32" s="203">
        <f>IFERROR(VLOOKUP($B32,MMWR_TRAD_AGG_RO_COMP[],Q$1,0),"ERROR")</f>
        <v>0</v>
      </c>
      <c r="R32" s="203">
        <f>IFERROR(VLOOKUP($B32,MMWR_TRAD_AGG_RO_COMP[],R$1,0),"ERROR")</f>
        <v>14</v>
      </c>
      <c r="S32" s="203">
        <f>IFERROR(VLOOKUP($B32,MMWR_APP_RO[],S$1,0),"ERROR")</f>
        <v>1351</v>
      </c>
      <c r="T32" s="25"/>
    </row>
    <row r="33" spans="1:20" x14ac:dyDescent="0.2">
      <c r="A33" s="107"/>
      <c r="B33" s="108" t="s">
        <v>59</v>
      </c>
      <c r="C33" s="211">
        <f>IFERROR(VLOOKUP($B33,MMWR_TRAD_AGG_RO_COMP[],C$1,0),"ERROR")</f>
        <v>6740</v>
      </c>
      <c r="D33" s="200">
        <f>IFERROR(VLOOKUP($B33,MMWR_TRAD_AGG_RO_COMP[],D$1,0),"ERROR")</f>
        <v>235.4857566766</v>
      </c>
      <c r="E33" s="197">
        <f>IFERROR(VLOOKUP($B33,MMWR_TRAD_AGG_RO_COMP[],E$1,0),"ERROR")</f>
        <v>6028</v>
      </c>
      <c r="F33" s="193">
        <f>IFERROR(VLOOKUP($B33,MMWR_TRAD_AGG_RO_COMP[],F$1,0),"ERROR")</f>
        <v>1010</v>
      </c>
      <c r="G33" s="218">
        <f t="shared" si="0"/>
        <v>0.16755142667551426</v>
      </c>
      <c r="H33" s="192">
        <f>IFERROR(VLOOKUP($B33,MMWR_TRAD_AGG_RO_COMP[],H$1,0),"ERROR")</f>
        <v>8923</v>
      </c>
      <c r="I33" s="193">
        <f>IFERROR(VLOOKUP($B33,MMWR_TRAD_AGG_RO_COMP[],I$1,0),"ERROR")</f>
        <v>5111</v>
      </c>
      <c r="J33" s="218">
        <f t="shared" si="1"/>
        <v>0.57278942059845339</v>
      </c>
      <c r="K33" s="206">
        <f>IFERROR(VLOOKUP($B33,MMWR_TRAD_AGG_RO_COMP[],K$1,0),"ERROR")</f>
        <v>418</v>
      </c>
      <c r="L33" s="207">
        <f>IFERROR(VLOOKUP($B33,MMWR_TRAD_AGG_RO_COMP[],L$1,0),"ERROR")</f>
        <v>239</v>
      </c>
      <c r="M33" s="218">
        <f t="shared" si="2"/>
        <v>0.57177033492822971</v>
      </c>
      <c r="N33" s="206">
        <f>IFERROR(VLOOKUP($B33,MMWR_TRAD_AGG_RO_COMP[],N$1,0),"ERROR")</f>
        <v>452</v>
      </c>
      <c r="O33" s="207">
        <f>IFERROR(VLOOKUP($B33,MMWR_TRAD_AGG_RO_COMP[],O$1,0),"ERROR")</f>
        <v>167</v>
      </c>
      <c r="P33" s="218">
        <f t="shared" si="3"/>
        <v>0.36946902654867259</v>
      </c>
      <c r="Q33" s="203">
        <f>IFERROR(VLOOKUP($B33,MMWR_TRAD_AGG_RO_COMP[],Q$1,0),"ERROR")</f>
        <v>1089</v>
      </c>
      <c r="R33" s="203">
        <f>IFERROR(VLOOKUP($B33,MMWR_TRAD_AGG_RO_COMP[],R$1,0),"ERROR")</f>
        <v>0</v>
      </c>
      <c r="S33" s="203">
        <f>IFERROR(VLOOKUP($B33,MMWR_APP_RO[],S$1,0),"ERROR")</f>
        <v>3224</v>
      </c>
      <c r="T33" s="25"/>
    </row>
    <row r="34" spans="1:20" x14ac:dyDescent="0.2">
      <c r="A34" s="107"/>
      <c r="B34" s="108" t="s">
        <v>77</v>
      </c>
      <c r="C34" s="211">
        <f>IFERROR(VLOOKUP($B34,MMWR_TRAD_AGG_RO_COMP[],C$1,0),"ERROR")</f>
        <v>244</v>
      </c>
      <c r="D34" s="200">
        <f>IFERROR(VLOOKUP($B34,MMWR_TRAD_AGG_RO_COMP[],D$1,0),"ERROR")</f>
        <v>94.557377049199999</v>
      </c>
      <c r="E34" s="197">
        <f>IFERROR(VLOOKUP($B34,MMWR_TRAD_AGG_RO_COMP[],E$1,0),"ERROR")</f>
        <v>767</v>
      </c>
      <c r="F34" s="193">
        <f>IFERROR(VLOOKUP($B34,MMWR_TRAD_AGG_RO_COMP[],F$1,0),"ERROR")</f>
        <v>183</v>
      </c>
      <c r="G34" s="218">
        <f t="shared" si="0"/>
        <v>0.23859191655801826</v>
      </c>
      <c r="H34" s="192">
        <f>IFERROR(VLOOKUP($B34,MMWR_TRAD_AGG_RO_COMP[],H$1,0),"ERROR")</f>
        <v>561</v>
      </c>
      <c r="I34" s="193">
        <f>IFERROR(VLOOKUP($B34,MMWR_TRAD_AGG_RO_COMP[],I$1,0),"ERROR")</f>
        <v>106</v>
      </c>
      <c r="J34" s="218">
        <f t="shared" si="1"/>
        <v>0.18894830659536541</v>
      </c>
      <c r="K34" s="206">
        <f>IFERROR(VLOOKUP($B34,MMWR_TRAD_AGG_RO_COMP[],K$1,0),"ERROR")</f>
        <v>385</v>
      </c>
      <c r="L34" s="207">
        <f>IFERROR(VLOOKUP($B34,MMWR_TRAD_AGG_RO_COMP[],L$1,0),"ERROR")</f>
        <v>221</v>
      </c>
      <c r="M34" s="218">
        <f t="shared" si="2"/>
        <v>0.574025974025974</v>
      </c>
      <c r="N34" s="206">
        <f>IFERROR(VLOOKUP($B34,MMWR_TRAD_AGG_RO_COMP[],N$1,0),"ERROR")</f>
        <v>33</v>
      </c>
      <c r="O34" s="207">
        <f>IFERROR(VLOOKUP($B34,MMWR_TRAD_AGG_RO_COMP[],O$1,0),"ERROR")</f>
        <v>13</v>
      </c>
      <c r="P34" s="218">
        <f t="shared" si="3"/>
        <v>0.39393939393939392</v>
      </c>
      <c r="Q34" s="203">
        <f>IFERROR(VLOOKUP($B34,MMWR_TRAD_AGG_RO_COMP[],Q$1,0),"ERROR")</f>
        <v>0</v>
      </c>
      <c r="R34" s="203">
        <f>IFERROR(VLOOKUP($B34,MMWR_TRAD_AGG_RO_COMP[],R$1,0),"ERROR")</f>
        <v>1</v>
      </c>
      <c r="S34" s="203">
        <f>IFERROR(VLOOKUP($B34,MMWR_APP_RO[],S$1,0),"ERROR")</f>
        <v>224</v>
      </c>
      <c r="T34" s="25"/>
    </row>
    <row r="35" spans="1:20" x14ac:dyDescent="0.2">
      <c r="A35" s="107"/>
      <c r="B35" s="108" t="s">
        <v>78</v>
      </c>
      <c r="C35" s="211">
        <f>IFERROR(VLOOKUP($B35,MMWR_TRAD_AGG_RO_COMP[],C$1,0),"ERROR")</f>
        <v>4799</v>
      </c>
      <c r="D35" s="200">
        <f>IFERROR(VLOOKUP($B35,MMWR_TRAD_AGG_RO_COMP[],D$1,0),"ERROR")</f>
        <v>276.41967076470002</v>
      </c>
      <c r="E35" s="197">
        <f>IFERROR(VLOOKUP($B35,MMWR_TRAD_AGG_RO_COMP[],E$1,0),"ERROR")</f>
        <v>5015</v>
      </c>
      <c r="F35" s="193">
        <f>IFERROR(VLOOKUP($B35,MMWR_TRAD_AGG_RO_COMP[],F$1,0),"ERROR")</f>
        <v>739</v>
      </c>
      <c r="G35" s="218">
        <f t="shared" si="0"/>
        <v>0.14735792622133601</v>
      </c>
      <c r="H35" s="192">
        <f>IFERROR(VLOOKUP($B35,MMWR_TRAD_AGG_RO_COMP[],H$1,0),"ERROR")</f>
        <v>7240</v>
      </c>
      <c r="I35" s="193">
        <f>IFERROR(VLOOKUP($B35,MMWR_TRAD_AGG_RO_COMP[],I$1,0),"ERROR")</f>
        <v>4612</v>
      </c>
      <c r="J35" s="218">
        <f t="shared" si="1"/>
        <v>0.63701657458563532</v>
      </c>
      <c r="K35" s="206">
        <f>IFERROR(VLOOKUP($B35,MMWR_TRAD_AGG_RO_COMP[],K$1,0),"ERROR")</f>
        <v>2274</v>
      </c>
      <c r="L35" s="207">
        <f>IFERROR(VLOOKUP($B35,MMWR_TRAD_AGG_RO_COMP[],L$1,0),"ERROR")</f>
        <v>2113</v>
      </c>
      <c r="M35" s="218">
        <f t="shared" si="2"/>
        <v>0.92919964819700962</v>
      </c>
      <c r="N35" s="206">
        <f>IFERROR(VLOOKUP($B35,MMWR_TRAD_AGG_RO_COMP[],N$1,0),"ERROR")</f>
        <v>5443</v>
      </c>
      <c r="O35" s="207">
        <f>IFERROR(VLOOKUP($B35,MMWR_TRAD_AGG_RO_COMP[],O$1,0),"ERROR")</f>
        <v>4540</v>
      </c>
      <c r="P35" s="218">
        <f t="shared" si="3"/>
        <v>0.83409884255006428</v>
      </c>
      <c r="Q35" s="203">
        <f>IFERROR(VLOOKUP($B35,MMWR_TRAD_AGG_RO_COMP[],Q$1,0),"ERROR")</f>
        <v>42</v>
      </c>
      <c r="R35" s="203">
        <f>IFERROR(VLOOKUP($B35,MMWR_TRAD_AGG_RO_COMP[],R$1,0),"ERROR")</f>
        <v>96</v>
      </c>
      <c r="S35" s="203">
        <f>IFERROR(VLOOKUP($B35,MMWR_APP_RO[],S$1,0),"ERROR")</f>
        <v>6450</v>
      </c>
      <c r="T35" s="25"/>
    </row>
    <row r="36" spans="1:20" x14ac:dyDescent="0.2">
      <c r="A36" s="28"/>
      <c r="B36" s="108" t="s">
        <v>79</v>
      </c>
      <c r="C36" s="221">
        <f>IFERROR(VLOOKUP($B36,MMWR_TRAD_AGG_RO_COMP[],C$1,0),"ERROR")</f>
        <v>2872</v>
      </c>
      <c r="D36" s="222">
        <f>IFERROR(VLOOKUP($B36,MMWR_TRAD_AGG_RO_COMP[],D$1,0),"ERROR")</f>
        <v>266.05745125350001</v>
      </c>
      <c r="E36" s="223">
        <f>IFERROR(VLOOKUP($B36,MMWR_TRAD_AGG_RO_COMP[],E$1,0),"ERROR")</f>
        <v>10332</v>
      </c>
      <c r="F36" s="224">
        <f>IFERROR(VLOOKUP($B36,MMWR_TRAD_AGG_RO_COMP[],F$1,0),"ERROR")</f>
        <v>1847</v>
      </c>
      <c r="G36" s="225">
        <f t="shared" si="0"/>
        <v>0.17876500193573364</v>
      </c>
      <c r="H36" s="226">
        <f>IFERROR(VLOOKUP($B36,MMWR_TRAD_AGG_RO_COMP[],H$1,0),"ERROR")</f>
        <v>10646</v>
      </c>
      <c r="I36" s="224">
        <f>IFERROR(VLOOKUP($B36,MMWR_TRAD_AGG_RO_COMP[],I$1,0),"ERROR")</f>
        <v>2391</v>
      </c>
      <c r="J36" s="225">
        <f t="shared" si="1"/>
        <v>0.2245913958294195</v>
      </c>
      <c r="K36" s="227">
        <f>IFERROR(VLOOKUP($B36,MMWR_TRAD_AGG_RO_COMP[],K$1,0),"ERROR")</f>
        <v>459</v>
      </c>
      <c r="L36" s="228">
        <f>IFERROR(VLOOKUP($B36,MMWR_TRAD_AGG_RO_COMP[],L$1,0),"ERROR")</f>
        <v>312</v>
      </c>
      <c r="M36" s="225">
        <f t="shared" si="2"/>
        <v>0.6797385620915033</v>
      </c>
      <c r="N36" s="227">
        <f>IFERROR(VLOOKUP($B36,MMWR_TRAD_AGG_RO_COMP[],N$1,0),"ERROR")</f>
        <v>946</v>
      </c>
      <c r="O36" s="228">
        <f>IFERROR(VLOOKUP($B36,MMWR_TRAD_AGG_RO_COMP[],O$1,0),"ERROR")</f>
        <v>606</v>
      </c>
      <c r="P36" s="225">
        <f t="shared" si="3"/>
        <v>0.64059196617336156</v>
      </c>
      <c r="Q36" s="229">
        <f>IFERROR(VLOOKUP($B36,MMWR_TRAD_AGG_RO_COMP[],Q$1,0),"ERROR")</f>
        <v>11</v>
      </c>
      <c r="R36" s="229">
        <f>IFERROR(VLOOKUP($B36,MMWR_TRAD_AGG_RO_COMP[],R$1,0),"ERROR")</f>
        <v>0</v>
      </c>
      <c r="S36" s="203">
        <f>IFERROR(VLOOKUP($B36,MMWR_APP_RO[],S$1,0),"ERROR")</f>
        <v>1654</v>
      </c>
      <c r="T36" s="28"/>
    </row>
    <row r="37" spans="1:20" x14ac:dyDescent="0.2">
      <c r="A37" s="28"/>
      <c r="B37" s="116" t="s">
        <v>84</v>
      </c>
      <c r="C37" s="230">
        <f>IFERROR(VLOOKUP($B37,MMWR_TRAD_AGG_RO_COMP[],C$1,0),"ERROR")</f>
        <v>1397</v>
      </c>
      <c r="D37" s="231">
        <f>IFERROR(VLOOKUP($B37,MMWR_TRAD_AGG_RO_COMP[],D$1,0),"ERROR")</f>
        <v>160.1932712956</v>
      </c>
      <c r="E37" s="232">
        <f>IFERROR(VLOOKUP($B37,MMWR_TRAD_AGG_RO_COMP[],E$1,0),"ERROR")</f>
        <v>2773</v>
      </c>
      <c r="F37" s="233">
        <f>IFERROR(VLOOKUP($B37,MMWR_TRAD_AGG_RO_COMP[],F$1,0),"ERROR")</f>
        <v>525</v>
      </c>
      <c r="G37" s="234">
        <f t="shared" si="0"/>
        <v>0.18932564010097366</v>
      </c>
      <c r="H37" s="235">
        <f>IFERROR(VLOOKUP($B37,MMWR_TRAD_AGG_RO_COMP[],H$1,0),"ERROR")</f>
        <v>2220</v>
      </c>
      <c r="I37" s="233">
        <f>IFERROR(VLOOKUP($B37,MMWR_TRAD_AGG_RO_COMP[],I$1,0),"ERROR")</f>
        <v>986</v>
      </c>
      <c r="J37" s="234">
        <f t="shared" si="1"/>
        <v>0.44414414414414416</v>
      </c>
      <c r="K37" s="236">
        <f>IFERROR(VLOOKUP($B37,MMWR_TRAD_AGG_RO_COMP[],K$1,0),"ERROR")</f>
        <v>459</v>
      </c>
      <c r="L37" s="237">
        <f>IFERROR(VLOOKUP($B37,MMWR_TRAD_AGG_RO_COMP[],L$1,0),"ERROR")</f>
        <v>255</v>
      </c>
      <c r="M37" s="234">
        <f t="shared" si="2"/>
        <v>0.55555555555555558</v>
      </c>
      <c r="N37" s="236">
        <f>IFERROR(VLOOKUP($B37,MMWR_TRAD_AGG_RO_COMP[],N$1,0),"ERROR")</f>
        <v>143</v>
      </c>
      <c r="O37" s="237">
        <f>IFERROR(VLOOKUP($B37,MMWR_TRAD_AGG_RO_COMP[],O$1,0),"ERROR")</f>
        <v>61</v>
      </c>
      <c r="P37" s="234">
        <f t="shared" si="3"/>
        <v>0.42657342657342656</v>
      </c>
      <c r="Q37" s="238">
        <f>IFERROR(VLOOKUP($B37,MMWR_TRAD_AGG_RO_COMP[],Q$1,0),"ERROR")</f>
        <v>0</v>
      </c>
      <c r="R37" s="238">
        <f>IFERROR(VLOOKUP($B37,MMWR_TRAD_AGG_RO_COMP[],R$1,0),"ERROR")</f>
        <v>11</v>
      </c>
      <c r="S37" s="203">
        <f>IFERROR(VLOOKUP($B37,MMWR_APP_RO[],S$1,0),"ERROR")</f>
        <v>1259</v>
      </c>
      <c r="T37" s="28"/>
    </row>
    <row r="38" spans="1:20" x14ac:dyDescent="0.2">
      <c r="A38" s="28"/>
      <c r="B38" s="101" t="s">
        <v>392</v>
      </c>
      <c r="C38" s="214">
        <f>IFERROR(VLOOKUP($B38,MMWR_TRAD_AGG_DISTRICT_COMP[],C$1,0),"ERROR")</f>
        <v>59821</v>
      </c>
      <c r="D38" s="199">
        <f>IFERROR(VLOOKUP($B38,MMWR_TRAD_AGG_DISTRICT_COMP[],D$1,0),"ERROR")</f>
        <v>323.03691011519999</v>
      </c>
      <c r="E38" s="215">
        <f>IFERROR(VLOOKUP($B38,MMWR_TRAD_AGG_DISTRICT_COMP[],E$1,0),"ERROR")</f>
        <v>68127</v>
      </c>
      <c r="F38" s="220">
        <f>IFERROR(VLOOKUP($B38,MMWR_TRAD_AGG_DISTRICT_COMP[],F$1,0),"ERROR")</f>
        <v>13454</v>
      </c>
      <c r="G38" s="216">
        <f t="shared" si="0"/>
        <v>0.19748411055822215</v>
      </c>
      <c r="H38" s="220">
        <f>IFERROR(VLOOKUP($B38,MMWR_TRAD_AGG_DISTRICT_COMP[],H$1,0),"ERROR")</f>
        <v>92838</v>
      </c>
      <c r="I38" s="220">
        <f>IFERROR(VLOOKUP($B38,MMWR_TRAD_AGG_DISTRICT_COMP[],I$1,0),"ERROR")</f>
        <v>52067</v>
      </c>
      <c r="J38" s="216">
        <f t="shared" si="1"/>
        <v>0.56083715719856098</v>
      </c>
      <c r="K38" s="214">
        <f>IFERROR(VLOOKUP($B38,MMWR_TRAD_AGG_DISTRICT_COMP[],K$1,0),"ERROR")</f>
        <v>13685</v>
      </c>
      <c r="L38" s="214">
        <f>IFERROR(VLOOKUP($B38,MMWR_TRAD_AGG_DISTRICT_COMP[],L$1,0),"ERROR")</f>
        <v>11281</v>
      </c>
      <c r="M38" s="216">
        <f t="shared" si="2"/>
        <v>0.82433321154548778</v>
      </c>
      <c r="N38" s="214">
        <f>IFERROR(VLOOKUP($B38,MMWR_TRAD_AGG_DISTRICT_COMP[],N$1,0),"ERROR")</f>
        <v>14377</v>
      </c>
      <c r="O38" s="214">
        <f>IFERROR(VLOOKUP($B38,MMWR_TRAD_AGG_DISTRICT_COMP[],O$1,0),"ERROR")</f>
        <v>8217</v>
      </c>
      <c r="P38" s="216">
        <f t="shared" si="3"/>
        <v>0.57153787299158376</v>
      </c>
      <c r="Q38" s="214">
        <f>IFERROR(VLOOKUP($B38,MMWR_TRAD_AGG_DISTRICT_COMP[],Q$1,0),"ERROR")</f>
        <v>95</v>
      </c>
      <c r="R38" s="217">
        <f>IFERROR(VLOOKUP($B38,MMWR_TRAD_AGG_DISTRICT_COMP[],R$1,0),"ERROR")</f>
        <v>1248</v>
      </c>
      <c r="S38" s="217">
        <f>IFERROR(VLOOKUP($B38,MMWR_APP_RO[],S$1,0),"ERROR")</f>
        <v>65988</v>
      </c>
      <c r="T38" s="28"/>
    </row>
    <row r="39" spans="1:20" x14ac:dyDescent="0.2">
      <c r="A39" s="28"/>
      <c r="B39" s="108" t="s">
        <v>39</v>
      </c>
      <c r="C39" s="221">
        <f>IFERROR(VLOOKUP($B39,MMWR_TRAD_AGG_RO_COMP[],C$1,0),"ERROR")</f>
        <v>434</v>
      </c>
      <c r="D39" s="222">
        <f>IFERROR(VLOOKUP($B39,MMWR_TRAD_AGG_RO_COMP[],D$1,0),"ERROR")</f>
        <v>276.6543778802</v>
      </c>
      <c r="E39" s="223">
        <f>IFERROR(VLOOKUP($B39,MMWR_TRAD_AGG_RO_COMP[],E$1,0),"ERROR")</f>
        <v>810</v>
      </c>
      <c r="F39" s="224">
        <f>IFERROR(VLOOKUP($B39,MMWR_TRAD_AGG_RO_COMP[],F$1,0),"ERROR")</f>
        <v>138</v>
      </c>
      <c r="G39" s="225">
        <f t="shared" si="0"/>
        <v>0.17037037037037037</v>
      </c>
      <c r="H39" s="226">
        <f>IFERROR(VLOOKUP($B39,MMWR_TRAD_AGG_RO_COMP[],H$1,0),"ERROR")</f>
        <v>716</v>
      </c>
      <c r="I39" s="224">
        <f>IFERROR(VLOOKUP($B39,MMWR_TRAD_AGG_RO_COMP[],I$1,0),"ERROR")</f>
        <v>358</v>
      </c>
      <c r="J39" s="225">
        <f t="shared" si="1"/>
        <v>0.5</v>
      </c>
      <c r="K39" s="227">
        <f>IFERROR(VLOOKUP($B39,MMWR_TRAD_AGG_RO_COMP[],K$1,0),"ERROR")</f>
        <v>49</v>
      </c>
      <c r="L39" s="228">
        <f>IFERROR(VLOOKUP($B39,MMWR_TRAD_AGG_RO_COMP[],L$1,0),"ERROR")</f>
        <v>32</v>
      </c>
      <c r="M39" s="225">
        <f t="shared" si="2"/>
        <v>0.65306122448979587</v>
      </c>
      <c r="N39" s="227">
        <f>IFERROR(VLOOKUP($B39,MMWR_TRAD_AGG_RO_COMP[],N$1,0),"ERROR")</f>
        <v>85</v>
      </c>
      <c r="O39" s="228">
        <f>IFERROR(VLOOKUP($B39,MMWR_TRAD_AGG_RO_COMP[],O$1,0),"ERROR")</f>
        <v>28</v>
      </c>
      <c r="P39" s="225">
        <f t="shared" si="3"/>
        <v>0.32941176470588235</v>
      </c>
      <c r="Q39" s="229">
        <f>IFERROR(VLOOKUP($B39,MMWR_TRAD_AGG_RO_COMP[],Q$1,0),"ERROR")</f>
        <v>2</v>
      </c>
      <c r="R39" s="229">
        <f>IFERROR(VLOOKUP($B39,MMWR_TRAD_AGG_RO_COMP[],R$1,0),"ERROR")</f>
        <v>6</v>
      </c>
      <c r="S39" s="203">
        <f>IFERROR(VLOOKUP($B39,MMWR_APP_RO[],S$1,0),"ERROR")</f>
        <v>324</v>
      </c>
      <c r="T39" s="28"/>
    </row>
    <row r="40" spans="1:20" x14ac:dyDescent="0.2">
      <c r="A40" s="28"/>
      <c r="B40" s="108" t="s">
        <v>43</v>
      </c>
      <c r="C40" s="221">
        <f>IFERROR(VLOOKUP($B40,MMWR_TRAD_AGG_RO_COMP[],C$1,0),"ERROR")</f>
        <v>7370</v>
      </c>
      <c r="D40" s="222">
        <f>IFERROR(VLOOKUP($B40,MMWR_TRAD_AGG_RO_COMP[],D$1,0),"ERROR")</f>
        <v>422.93677069199998</v>
      </c>
      <c r="E40" s="223">
        <f>IFERROR(VLOOKUP($B40,MMWR_TRAD_AGG_RO_COMP[],E$1,0),"ERROR")</f>
        <v>6886</v>
      </c>
      <c r="F40" s="224">
        <f>IFERROR(VLOOKUP($B40,MMWR_TRAD_AGG_RO_COMP[],F$1,0),"ERROR")</f>
        <v>2037</v>
      </c>
      <c r="G40" s="225">
        <f t="shared" si="0"/>
        <v>0.295817600929422</v>
      </c>
      <c r="H40" s="226">
        <f>IFERROR(VLOOKUP($B40,MMWR_TRAD_AGG_RO_COMP[],H$1,0),"ERROR")</f>
        <v>9668</v>
      </c>
      <c r="I40" s="224">
        <f>IFERROR(VLOOKUP($B40,MMWR_TRAD_AGG_RO_COMP[],I$1,0),"ERROR")</f>
        <v>7166</v>
      </c>
      <c r="J40" s="225">
        <f t="shared" si="1"/>
        <v>0.74120810922631364</v>
      </c>
      <c r="K40" s="227">
        <f>IFERROR(VLOOKUP($B40,MMWR_TRAD_AGG_RO_COMP[],K$1,0),"ERROR")</f>
        <v>2073</v>
      </c>
      <c r="L40" s="228">
        <f>IFERROR(VLOOKUP($B40,MMWR_TRAD_AGG_RO_COMP[],L$1,0),"ERROR")</f>
        <v>1793</v>
      </c>
      <c r="M40" s="225">
        <f t="shared" si="2"/>
        <v>0.86493005306319348</v>
      </c>
      <c r="N40" s="227">
        <f>IFERROR(VLOOKUP($B40,MMWR_TRAD_AGG_RO_COMP[],N$1,0),"ERROR")</f>
        <v>3323</v>
      </c>
      <c r="O40" s="228">
        <f>IFERROR(VLOOKUP($B40,MMWR_TRAD_AGG_RO_COMP[],O$1,0),"ERROR")</f>
        <v>2453</v>
      </c>
      <c r="P40" s="225">
        <f t="shared" si="3"/>
        <v>0.73818838399037012</v>
      </c>
      <c r="Q40" s="229">
        <f>IFERROR(VLOOKUP($B40,MMWR_TRAD_AGG_RO_COMP[],Q$1,0),"ERROR")</f>
        <v>0</v>
      </c>
      <c r="R40" s="229">
        <f>IFERROR(VLOOKUP($B40,MMWR_TRAD_AGG_RO_COMP[],R$1,0),"ERROR")</f>
        <v>67</v>
      </c>
      <c r="S40" s="203">
        <f>IFERROR(VLOOKUP($B40,MMWR_APP_RO[],S$1,0),"ERROR")</f>
        <v>5917</v>
      </c>
      <c r="T40" s="28"/>
    </row>
    <row r="41" spans="1:20" x14ac:dyDescent="0.2">
      <c r="A41" s="28"/>
      <c r="B41" s="108" t="s">
        <v>187</v>
      </c>
      <c r="C41" s="221">
        <f>IFERROR(VLOOKUP($B41,MMWR_TRAD_AGG_RO_COMP[],C$1,0),"ERROR")</f>
        <v>760</v>
      </c>
      <c r="D41" s="222">
        <f>IFERROR(VLOOKUP($B41,MMWR_TRAD_AGG_RO_COMP[],D$1,0),"ERROR")</f>
        <v>179.7105263158</v>
      </c>
      <c r="E41" s="223">
        <f>IFERROR(VLOOKUP($B41,MMWR_TRAD_AGG_RO_COMP[],E$1,0),"ERROR")</f>
        <v>879</v>
      </c>
      <c r="F41" s="224">
        <f>IFERROR(VLOOKUP($B41,MMWR_TRAD_AGG_RO_COMP[],F$1,0),"ERROR")</f>
        <v>68</v>
      </c>
      <c r="G41" s="225">
        <f t="shared" si="0"/>
        <v>7.7360637087599549E-2</v>
      </c>
      <c r="H41" s="226">
        <f>IFERROR(VLOOKUP($B41,MMWR_TRAD_AGG_RO_COMP[],H$1,0),"ERROR")</f>
        <v>1163</v>
      </c>
      <c r="I41" s="224">
        <f>IFERROR(VLOOKUP($B41,MMWR_TRAD_AGG_RO_COMP[],I$1,0),"ERROR")</f>
        <v>453</v>
      </c>
      <c r="J41" s="225">
        <f t="shared" si="1"/>
        <v>0.38950988822012039</v>
      </c>
      <c r="K41" s="227">
        <f>IFERROR(VLOOKUP($B41,MMWR_TRAD_AGG_RO_COMP[],K$1,0),"ERROR")</f>
        <v>303</v>
      </c>
      <c r="L41" s="228">
        <f>IFERROR(VLOOKUP($B41,MMWR_TRAD_AGG_RO_COMP[],L$1,0),"ERROR")</f>
        <v>163</v>
      </c>
      <c r="M41" s="225">
        <f t="shared" si="2"/>
        <v>0.53795379537953791</v>
      </c>
      <c r="N41" s="227">
        <f>IFERROR(VLOOKUP($B41,MMWR_TRAD_AGG_RO_COMP[],N$1,0),"ERROR")</f>
        <v>83</v>
      </c>
      <c r="O41" s="228">
        <f>IFERROR(VLOOKUP($B41,MMWR_TRAD_AGG_RO_COMP[],O$1,0),"ERROR")</f>
        <v>21</v>
      </c>
      <c r="P41" s="225">
        <f t="shared" si="3"/>
        <v>0.25301204819277107</v>
      </c>
      <c r="Q41" s="229">
        <f>IFERROR(VLOOKUP($B41,MMWR_TRAD_AGG_RO_COMP[],Q$1,0),"ERROR")</f>
        <v>0</v>
      </c>
      <c r="R41" s="229">
        <f>IFERROR(VLOOKUP($B41,MMWR_TRAD_AGG_RO_COMP[],R$1,0),"ERROR")</f>
        <v>2</v>
      </c>
      <c r="S41" s="203">
        <f>IFERROR(VLOOKUP($B41,MMWR_APP_RO[],S$1,0),"ERROR")</f>
        <v>232</v>
      </c>
      <c r="T41" s="28"/>
    </row>
    <row r="42" spans="1:20" x14ac:dyDescent="0.2">
      <c r="A42" s="28"/>
      <c r="B42" s="108" t="s">
        <v>49</v>
      </c>
      <c r="C42" s="221">
        <f>IFERROR(VLOOKUP($B42,MMWR_TRAD_AGG_RO_COMP[],C$1,0),"ERROR")</f>
        <v>13580</v>
      </c>
      <c r="D42" s="222">
        <f>IFERROR(VLOOKUP($B42,MMWR_TRAD_AGG_RO_COMP[],D$1,0),"ERROR")</f>
        <v>343.49521354929999</v>
      </c>
      <c r="E42" s="223">
        <f>IFERROR(VLOOKUP($B42,MMWR_TRAD_AGG_RO_COMP[],E$1,0),"ERROR")</f>
        <v>17184</v>
      </c>
      <c r="F42" s="224">
        <f>IFERROR(VLOOKUP($B42,MMWR_TRAD_AGG_RO_COMP[],F$1,0),"ERROR")</f>
        <v>3947</v>
      </c>
      <c r="G42" s="225">
        <f t="shared" si="0"/>
        <v>0.22969040968342644</v>
      </c>
      <c r="H42" s="226">
        <f>IFERROR(VLOOKUP($B42,MMWR_TRAD_AGG_RO_COMP[],H$1,0),"ERROR")</f>
        <v>17931</v>
      </c>
      <c r="I42" s="224">
        <f>IFERROR(VLOOKUP($B42,MMWR_TRAD_AGG_RO_COMP[],I$1,0),"ERROR")</f>
        <v>12300</v>
      </c>
      <c r="J42" s="225">
        <f t="shared" si="1"/>
        <v>0.68596285762088005</v>
      </c>
      <c r="K42" s="227">
        <f>IFERROR(VLOOKUP($B42,MMWR_TRAD_AGG_RO_COMP[],K$1,0),"ERROR")</f>
        <v>1860</v>
      </c>
      <c r="L42" s="228">
        <f>IFERROR(VLOOKUP($B42,MMWR_TRAD_AGG_RO_COMP[],L$1,0),"ERROR")</f>
        <v>1491</v>
      </c>
      <c r="M42" s="225">
        <f t="shared" si="2"/>
        <v>0.80161290322580647</v>
      </c>
      <c r="N42" s="227">
        <f>IFERROR(VLOOKUP($B42,MMWR_TRAD_AGG_RO_COMP[],N$1,0),"ERROR")</f>
        <v>3080</v>
      </c>
      <c r="O42" s="228">
        <f>IFERROR(VLOOKUP($B42,MMWR_TRAD_AGG_RO_COMP[],O$1,0),"ERROR")</f>
        <v>2292</v>
      </c>
      <c r="P42" s="225">
        <f t="shared" si="3"/>
        <v>0.74415584415584413</v>
      </c>
      <c r="Q42" s="229">
        <f>IFERROR(VLOOKUP($B42,MMWR_TRAD_AGG_RO_COMP[],Q$1,0),"ERROR")</f>
        <v>0</v>
      </c>
      <c r="R42" s="229">
        <f>IFERROR(VLOOKUP($B42,MMWR_TRAD_AGG_RO_COMP[],R$1,0),"ERROR")</f>
        <v>241</v>
      </c>
      <c r="S42" s="203">
        <f>IFERROR(VLOOKUP($B42,MMWR_APP_RO[],S$1,0),"ERROR")</f>
        <v>19923</v>
      </c>
      <c r="T42" s="28"/>
    </row>
    <row r="43" spans="1:20" x14ac:dyDescent="0.2">
      <c r="A43" s="28"/>
      <c r="B43" s="108" t="s">
        <v>52</v>
      </c>
      <c r="C43" s="221">
        <f>IFERROR(VLOOKUP($B43,MMWR_TRAD_AGG_RO_COMP[],C$1,0),"ERROR")</f>
        <v>4224</v>
      </c>
      <c r="D43" s="222">
        <f>IFERROR(VLOOKUP($B43,MMWR_TRAD_AGG_RO_COMP[],D$1,0),"ERROR")</f>
        <v>378.2990056818</v>
      </c>
      <c r="E43" s="223">
        <f>IFERROR(VLOOKUP($B43,MMWR_TRAD_AGG_RO_COMP[],E$1,0),"ERROR")</f>
        <v>4223</v>
      </c>
      <c r="F43" s="224">
        <f>IFERROR(VLOOKUP($B43,MMWR_TRAD_AGG_RO_COMP[],F$1,0),"ERROR")</f>
        <v>1300</v>
      </c>
      <c r="G43" s="225">
        <f t="shared" si="0"/>
        <v>0.30783802983660907</v>
      </c>
      <c r="H43" s="226">
        <f>IFERROR(VLOOKUP($B43,MMWR_TRAD_AGG_RO_COMP[],H$1,0),"ERROR")</f>
        <v>6467</v>
      </c>
      <c r="I43" s="224">
        <f>IFERROR(VLOOKUP($B43,MMWR_TRAD_AGG_RO_COMP[],I$1,0),"ERROR")</f>
        <v>4086</v>
      </c>
      <c r="J43" s="225">
        <f t="shared" si="1"/>
        <v>0.63182310190196378</v>
      </c>
      <c r="K43" s="227">
        <f>IFERROR(VLOOKUP($B43,MMWR_TRAD_AGG_RO_COMP[],K$1,0),"ERROR")</f>
        <v>2098</v>
      </c>
      <c r="L43" s="228">
        <f>IFERROR(VLOOKUP($B43,MMWR_TRAD_AGG_RO_COMP[],L$1,0),"ERROR")</f>
        <v>1871</v>
      </c>
      <c r="M43" s="225">
        <f t="shared" si="2"/>
        <v>0.89180171591992374</v>
      </c>
      <c r="N43" s="227">
        <f>IFERROR(VLOOKUP($B43,MMWR_TRAD_AGG_RO_COMP[],N$1,0),"ERROR")</f>
        <v>1963</v>
      </c>
      <c r="O43" s="228">
        <f>IFERROR(VLOOKUP($B43,MMWR_TRAD_AGG_RO_COMP[],O$1,0),"ERROR")</f>
        <v>1181</v>
      </c>
      <c r="P43" s="225">
        <f t="shared" si="3"/>
        <v>0.60163015792154861</v>
      </c>
      <c r="Q43" s="229">
        <f>IFERROR(VLOOKUP($B43,MMWR_TRAD_AGG_RO_COMP[],Q$1,0),"ERROR")</f>
        <v>88</v>
      </c>
      <c r="R43" s="229">
        <f>IFERROR(VLOOKUP($B43,MMWR_TRAD_AGG_RO_COMP[],R$1,0),"ERROR")</f>
        <v>175</v>
      </c>
      <c r="S43" s="203">
        <f>IFERROR(VLOOKUP($B43,MMWR_APP_RO[],S$1,0),"ERROR")</f>
        <v>4482</v>
      </c>
      <c r="T43" s="28"/>
    </row>
    <row r="44" spans="1:20" x14ac:dyDescent="0.2">
      <c r="A44" s="28"/>
      <c r="B44" s="108" t="s">
        <v>54</v>
      </c>
      <c r="C44" s="221">
        <f>IFERROR(VLOOKUP($B44,MMWR_TRAD_AGG_RO_COMP[],C$1,0),"ERROR")</f>
        <v>4686</v>
      </c>
      <c r="D44" s="222">
        <f>IFERROR(VLOOKUP($B44,MMWR_TRAD_AGG_RO_COMP[],D$1,0),"ERROR")</f>
        <v>332.32373026030001</v>
      </c>
      <c r="E44" s="223">
        <f>IFERROR(VLOOKUP($B44,MMWR_TRAD_AGG_RO_COMP[],E$1,0),"ERROR")</f>
        <v>3518</v>
      </c>
      <c r="F44" s="224">
        <f>IFERROR(VLOOKUP($B44,MMWR_TRAD_AGG_RO_COMP[],F$1,0),"ERROR")</f>
        <v>417</v>
      </c>
      <c r="G44" s="225">
        <f t="shared" si="0"/>
        <v>0.11853325753268903</v>
      </c>
      <c r="H44" s="226">
        <f>IFERROR(VLOOKUP($B44,MMWR_TRAD_AGG_RO_COMP[],H$1,0),"ERROR")</f>
        <v>8087</v>
      </c>
      <c r="I44" s="224">
        <f>IFERROR(VLOOKUP($B44,MMWR_TRAD_AGG_RO_COMP[],I$1,0),"ERROR")</f>
        <v>4024</v>
      </c>
      <c r="J44" s="225">
        <f t="shared" si="1"/>
        <v>0.49758872264127613</v>
      </c>
      <c r="K44" s="227">
        <f>IFERROR(VLOOKUP($B44,MMWR_TRAD_AGG_RO_COMP[],K$1,0),"ERROR")</f>
        <v>3388</v>
      </c>
      <c r="L44" s="228">
        <f>IFERROR(VLOOKUP($B44,MMWR_TRAD_AGG_RO_COMP[],L$1,0),"ERROR")</f>
        <v>3243</v>
      </c>
      <c r="M44" s="225">
        <f t="shared" si="2"/>
        <v>0.95720188902007086</v>
      </c>
      <c r="N44" s="227">
        <f>IFERROR(VLOOKUP($B44,MMWR_TRAD_AGG_RO_COMP[],N$1,0),"ERROR")</f>
        <v>999</v>
      </c>
      <c r="O44" s="228">
        <f>IFERROR(VLOOKUP($B44,MMWR_TRAD_AGG_RO_COMP[],O$1,0),"ERROR")</f>
        <v>364</v>
      </c>
      <c r="P44" s="225">
        <f t="shared" si="3"/>
        <v>0.36436436436436437</v>
      </c>
      <c r="Q44" s="229">
        <f>IFERROR(VLOOKUP($B44,MMWR_TRAD_AGG_RO_COMP[],Q$1,0),"ERROR")</f>
        <v>1</v>
      </c>
      <c r="R44" s="229">
        <f>IFERROR(VLOOKUP($B44,MMWR_TRAD_AGG_RO_COMP[],R$1,0),"ERROR")</f>
        <v>161</v>
      </c>
      <c r="S44" s="203">
        <f>IFERROR(VLOOKUP($B44,MMWR_APP_RO[],S$1,0),"ERROR")</f>
        <v>5267</v>
      </c>
      <c r="T44" s="28"/>
    </row>
    <row r="45" spans="1:20" x14ac:dyDescent="0.2">
      <c r="A45" s="28"/>
      <c r="B45" s="108" t="s">
        <v>27</v>
      </c>
      <c r="C45" s="221">
        <f>IFERROR(VLOOKUP($B45,MMWR_TRAD_AGG_RO_COMP[],C$1,0),"ERROR")</f>
        <v>1850</v>
      </c>
      <c r="D45" s="222">
        <f>IFERROR(VLOOKUP($B45,MMWR_TRAD_AGG_RO_COMP[],D$1,0),"ERROR")</f>
        <v>97.937297297300006</v>
      </c>
      <c r="E45" s="223">
        <f>IFERROR(VLOOKUP($B45,MMWR_TRAD_AGG_RO_COMP[],E$1,0),"ERROR")</f>
        <v>6187</v>
      </c>
      <c r="F45" s="224">
        <f>IFERROR(VLOOKUP($B45,MMWR_TRAD_AGG_RO_COMP[],F$1,0),"ERROR")</f>
        <v>1126</v>
      </c>
      <c r="G45" s="225">
        <f t="shared" si="0"/>
        <v>0.18199450460643285</v>
      </c>
      <c r="H45" s="226">
        <f>IFERROR(VLOOKUP($B45,MMWR_TRAD_AGG_RO_COMP[],H$1,0),"ERROR")</f>
        <v>9234</v>
      </c>
      <c r="I45" s="224">
        <f>IFERROR(VLOOKUP($B45,MMWR_TRAD_AGG_RO_COMP[],I$1,0),"ERROR")</f>
        <v>2448</v>
      </c>
      <c r="J45" s="225">
        <f t="shared" si="1"/>
        <v>0.26510721247563351</v>
      </c>
      <c r="K45" s="227">
        <f>IFERROR(VLOOKUP($B45,MMWR_TRAD_AGG_RO_COMP[],K$1,0),"ERROR")</f>
        <v>986</v>
      </c>
      <c r="L45" s="228">
        <f>IFERROR(VLOOKUP($B45,MMWR_TRAD_AGG_RO_COMP[],L$1,0),"ERROR")</f>
        <v>477</v>
      </c>
      <c r="M45" s="225">
        <f t="shared" si="2"/>
        <v>0.48377281947261663</v>
      </c>
      <c r="N45" s="227">
        <f>IFERROR(VLOOKUP($B45,MMWR_TRAD_AGG_RO_COMP[],N$1,0),"ERROR")</f>
        <v>610</v>
      </c>
      <c r="O45" s="228">
        <f>IFERROR(VLOOKUP($B45,MMWR_TRAD_AGG_RO_COMP[],O$1,0),"ERROR")</f>
        <v>230</v>
      </c>
      <c r="P45" s="225">
        <f t="shared" si="3"/>
        <v>0.37704918032786883</v>
      </c>
      <c r="Q45" s="229">
        <f>IFERROR(VLOOKUP($B45,MMWR_TRAD_AGG_RO_COMP[],Q$1,0),"ERROR")</f>
        <v>0</v>
      </c>
      <c r="R45" s="229">
        <f>IFERROR(VLOOKUP($B45,MMWR_TRAD_AGG_RO_COMP[],R$1,0),"ERROR")</f>
        <v>64</v>
      </c>
      <c r="S45" s="203">
        <f>IFERROR(VLOOKUP($B45,MMWR_APP_RO[],S$1,0),"ERROR")</f>
        <v>3991</v>
      </c>
      <c r="T45" s="28"/>
    </row>
    <row r="46" spans="1:20" x14ac:dyDescent="0.2">
      <c r="A46" s="28"/>
      <c r="B46" s="108" t="s">
        <v>62</v>
      </c>
      <c r="C46" s="221">
        <f>IFERROR(VLOOKUP($B46,MMWR_TRAD_AGG_RO_COMP[],C$1,0),"ERROR")</f>
        <v>5266</v>
      </c>
      <c r="D46" s="222">
        <f>IFERROR(VLOOKUP($B46,MMWR_TRAD_AGG_RO_COMP[],D$1,0),"ERROR")</f>
        <v>403.36612229399998</v>
      </c>
      <c r="E46" s="223">
        <f>IFERROR(VLOOKUP($B46,MMWR_TRAD_AGG_RO_COMP[],E$1,0),"ERROR")</f>
        <v>5918</v>
      </c>
      <c r="F46" s="224">
        <f>IFERROR(VLOOKUP($B46,MMWR_TRAD_AGG_RO_COMP[],F$1,0),"ERROR")</f>
        <v>941</v>
      </c>
      <c r="G46" s="225">
        <f t="shared" si="0"/>
        <v>0.15900642108820548</v>
      </c>
      <c r="H46" s="226">
        <f>IFERROR(VLOOKUP($B46,MMWR_TRAD_AGG_RO_COMP[],H$1,0),"ERROR")</f>
        <v>6786</v>
      </c>
      <c r="I46" s="224">
        <f>IFERROR(VLOOKUP($B46,MMWR_TRAD_AGG_RO_COMP[],I$1,0),"ERROR")</f>
        <v>4395</v>
      </c>
      <c r="J46" s="225">
        <f t="shared" si="1"/>
        <v>0.64765694076038904</v>
      </c>
      <c r="K46" s="227">
        <f>IFERROR(VLOOKUP($B46,MMWR_TRAD_AGG_RO_COMP[],K$1,0),"ERROR")</f>
        <v>572</v>
      </c>
      <c r="L46" s="228">
        <f>IFERROR(VLOOKUP($B46,MMWR_TRAD_AGG_RO_COMP[],L$1,0),"ERROR")</f>
        <v>459</v>
      </c>
      <c r="M46" s="225">
        <f t="shared" si="2"/>
        <v>0.80244755244755239</v>
      </c>
      <c r="N46" s="227">
        <f>IFERROR(VLOOKUP($B46,MMWR_TRAD_AGG_RO_COMP[],N$1,0),"ERROR")</f>
        <v>940</v>
      </c>
      <c r="O46" s="228">
        <f>IFERROR(VLOOKUP($B46,MMWR_TRAD_AGG_RO_COMP[],O$1,0),"ERROR")</f>
        <v>413</v>
      </c>
      <c r="P46" s="225">
        <f t="shared" si="3"/>
        <v>0.43936170212765957</v>
      </c>
      <c r="Q46" s="229">
        <f>IFERROR(VLOOKUP($B46,MMWR_TRAD_AGG_RO_COMP[],Q$1,0),"ERROR")</f>
        <v>3</v>
      </c>
      <c r="R46" s="229">
        <f>IFERROR(VLOOKUP($B46,MMWR_TRAD_AGG_RO_COMP[],R$1,0),"ERROR")</f>
        <v>304</v>
      </c>
      <c r="S46" s="203">
        <f>IFERROR(VLOOKUP($B46,MMWR_APP_RO[],S$1,0),"ERROR")</f>
        <v>5871</v>
      </c>
      <c r="T46" s="28"/>
    </row>
    <row r="47" spans="1:20" x14ac:dyDescent="0.2">
      <c r="A47" s="28"/>
      <c r="B47" s="108" t="s">
        <v>73</v>
      </c>
      <c r="C47" s="221">
        <f>IFERROR(VLOOKUP($B47,MMWR_TRAD_AGG_RO_COMP[],C$1,0),"ERROR")</f>
        <v>7454</v>
      </c>
      <c r="D47" s="222">
        <f>IFERROR(VLOOKUP($B47,MMWR_TRAD_AGG_RO_COMP[],D$1,0),"ERROR")</f>
        <v>209.99449959750001</v>
      </c>
      <c r="E47" s="223">
        <f>IFERROR(VLOOKUP($B47,MMWR_TRAD_AGG_RO_COMP[],E$1,0),"ERROR")</f>
        <v>5532</v>
      </c>
      <c r="F47" s="224">
        <f>IFERROR(VLOOKUP($B47,MMWR_TRAD_AGG_RO_COMP[],F$1,0),"ERROR")</f>
        <v>526</v>
      </c>
      <c r="G47" s="225">
        <f t="shared" si="0"/>
        <v>9.5083152566883586E-2</v>
      </c>
      <c r="H47" s="226">
        <f>IFERROR(VLOOKUP($B47,MMWR_TRAD_AGG_RO_COMP[],H$1,0),"ERROR")</f>
        <v>15909</v>
      </c>
      <c r="I47" s="224">
        <f>IFERROR(VLOOKUP($B47,MMWR_TRAD_AGG_RO_COMP[],I$1,0),"ERROR")</f>
        <v>6822</v>
      </c>
      <c r="J47" s="225">
        <f t="shared" si="1"/>
        <v>0.42881387893645107</v>
      </c>
      <c r="K47" s="227">
        <f>IFERROR(VLOOKUP($B47,MMWR_TRAD_AGG_RO_COMP[],K$1,0),"ERROR")</f>
        <v>647</v>
      </c>
      <c r="L47" s="228">
        <f>IFERROR(VLOOKUP($B47,MMWR_TRAD_AGG_RO_COMP[],L$1,0),"ERROR")</f>
        <v>415</v>
      </c>
      <c r="M47" s="225">
        <f t="shared" si="2"/>
        <v>0.64142194744976821</v>
      </c>
      <c r="N47" s="227">
        <f>IFERROR(VLOOKUP($B47,MMWR_TRAD_AGG_RO_COMP[],N$1,0),"ERROR")</f>
        <v>76</v>
      </c>
      <c r="O47" s="228">
        <f>IFERROR(VLOOKUP($B47,MMWR_TRAD_AGG_RO_COMP[],O$1,0),"ERROR")</f>
        <v>35</v>
      </c>
      <c r="P47" s="225">
        <f t="shared" si="3"/>
        <v>0.46052631578947367</v>
      </c>
      <c r="Q47" s="229">
        <f>IFERROR(VLOOKUP($B47,MMWR_TRAD_AGG_RO_COMP[],Q$1,0),"ERROR")</f>
        <v>0</v>
      </c>
      <c r="R47" s="229">
        <f>IFERROR(VLOOKUP($B47,MMWR_TRAD_AGG_RO_COMP[],R$1,0),"ERROR")</f>
        <v>6</v>
      </c>
      <c r="S47" s="203">
        <f>IFERROR(VLOOKUP($B47,MMWR_APP_RO[],S$1,0),"ERROR")</f>
        <v>472</v>
      </c>
      <c r="T47" s="28"/>
    </row>
    <row r="48" spans="1:20" x14ac:dyDescent="0.2">
      <c r="A48" s="28"/>
      <c r="B48" s="116" t="s">
        <v>82</v>
      </c>
      <c r="C48" s="230">
        <f>IFERROR(VLOOKUP($B48,MMWR_TRAD_AGG_RO_COMP[],C$1,0),"ERROR")</f>
        <v>14197</v>
      </c>
      <c r="D48" s="231">
        <f>IFERROR(VLOOKUP($B48,MMWR_TRAD_AGG_RO_COMP[],D$1,0),"ERROR")</f>
        <v>300.07896034369998</v>
      </c>
      <c r="E48" s="232">
        <f>IFERROR(VLOOKUP($B48,MMWR_TRAD_AGG_RO_COMP[],E$1,0),"ERROR")</f>
        <v>16990</v>
      </c>
      <c r="F48" s="233">
        <f>IFERROR(VLOOKUP($B48,MMWR_TRAD_AGG_RO_COMP[],F$1,0),"ERROR")</f>
        <v>2954</v>
      </c>
      <c r="G48" s="234">
        <f t="shared" si="0"/>
        <v>0.17386698057680988</v>
      </c>
      <c r="H48" s="235">
        <f>IFERROR(VLOOKUP($B48,MMWR_TRAD_AGG_RO_COMP[],H$1,0),"ERROR")</f>
        <v>16877</v>
      </c>
      <c r="I48" s="233">
        <f>IFERROR(VLOOKUP($B48,MMWR_TRAD_AGG_RO_COMP[],I$1,0),"ERROR")</f>
        <v>10015</v>
      </c>
      <c r="J48" s="234">
        <f t="shared" si="1"/>
        <v>0.59341115127096045</v>
      </c>
      <c r="K48" s="236">
        <f>IFERROR(VLOOKUP($B48,MMWR_TRAD_AGG_RO_COMP[],K$1,0),"ERROR")</f>
        <v>1709</v>
      </c>
      <c r="L48" s="237">
        <f>IFERROR(VLOOKUP($B48,MMWR_TRAD_AGG_RO_COMP[],L$1,0),"ERROR")</f>
        <v>1337</v>
      </c>
      <c r="M48" s="234">
        <f t="shared" si="2"/>
        <v>0.78232884727911056</v>
      </c>
      <c r="N48" s="236">
        <f>IFERROR(VLOOKUP($B48,MMWR_TRAD_AGG_RO_COMP[],N$1,0),"ERROR")</f>
        <v>3218</v>
      </c>
      <c r="O48" s="237">
        <f>IFERROR(VLOOKUP($B48,MMWR_TRAD_AGG_RO_COMP[],O$1,0),"ERROR")</f>
        <v>1200</v>
      </c>
      <c r="P48" s="234">
        <f t="shared" si="3"/>
        <v>0.37290242386575512</v>
      </c>
      <c r="Q48" s="238">
        <f>IFERROR(VLOOKUP($B48,MMWR_TRAD_AGG_RO_COMP[],Q$1,0),"ERROR")</f>
        <v>1</v>
      </c>
      <c r="R48" s="238">
        <f>IFERROR(VLOOKUP($B48,MMWR_TRAD_AGG_RO_COMP[],R$1,0),"ERROR")</f>
        <v>222</v>
      </c>
      <c r="S48" s="203">
        <f>IFERROR(VLOOKUP($B48,MMWR_APP_RO[],S$1,0),"ERROR")</f>
        <v>19509</v>
      </c>
      <c r="T48" s="28"/>
    </row>
    <row r="49" spans="1:20" x14ac:dyDescent="0.2">
      <c r="A49" s="28"/>
      <c r="B49" s="101" t="s">
        <v>411</v>
      </c>
      <c r="C49" s="214">
        <f>IFERROR(VLOOKUP($B49,MMWR_TRAD_AGG_DISTRICT_COMP[],C$1,0),"ERROR")</f>
        <v>61824</v>
      </c>
      <c r="D49" s="199">
        <f>IFERROR(VLOOKUP($B49,MMWR_TRAD_AGG_DISTRICT_COMP[],D$1,0),"ERROR")</f>
        <v>366.63662978780002</v>
      </c>
      <c r="E49" s="215">
        <f>IFERROR(VLOOKUP($B49,MMWR_TRAD_AGG_DISTRICT_COMP[],E$1,0),"ERROR")</f>
        <v>62554</v>
      </c>
      <c r="F49" s="220">
        <f>IFERROR(VLOOKUP($B49,MMWR_TRAD_AGG_DISTRICT_COMP[],F$1,0),"ERROR")</f>
        <v>13142</v>
      </c>
      <c r="G49" s="216">
        <f t="shared" si="0"/>
        <v>0.21009048182370432</v>
      </c>
      <c r="H49" s="220">
        <f>IFERROR(VLOOKUP($B49,MMWR_TRAD_AGG_DISTRICT_COMP[],H$1,0),"ERROR")</f>
        <v>86569</v>
      </c>
      <c r="I49" s="220">
        <f>IFERROR(VLOOKUP($B49,MMWR_TRAD_AGG_DISTRICT_COMP[],I$1,0),"ERROR")</f>
        <v>56025</v>
      </c>
      <c r="J49" s="216">
        <f t="shared" si="1"/>
        <v>0.64717162032598274</v>
      </c>
      <c r="K49" s="214">
        <f>IFERROR(VLOOKUP($B49,MMWR_TRAD_AGG_DISTRICT_COMP[],K$1,0),"ERROR")</f>
        <v>19103</v>
      </c>
      <c r="L49" s="214">
        <f>IFERROR(VLOOKUP($B49,MMWR_TRAD_AGG_DISTRICT_COMP[],L$1,0),"ERROR")</f>
        <v>16817</v>
      </c>
      <c r="M49" s="216">
        <f t="shared" si="2"/>
        <v>0.88033293200020934</v>
      </c>
      <c r="N49" s="214">
        <f>IFERROR(VLOOKUP($B49,MMWR_TRAD_AGG_DISTRICT_COMP[],N$1,0),"ERROR")</f>
        <v>20191</v>
      </c>
      <c r="O49" s="214">
        <f>IFERROR(VLOOKUP($B49,MMWR_TRAD_AGG_DISTRICT_COMP[],O$1,0),"ERROR")</f>
        <v>13953</v>
      </c>
      <c r="P49" s="216">
        <f t="shared" si="3"/>
        <v>0.69105046803031056</v>
      </c>
      <c r="Q49" s="214">
        <f>IFERROR(VLOOKUP($B49,MMWR_TRAD_AGG_DISTRICT_COMP[],Q$1,0),"ERROR")</f>
        <v>345</v>
      </c>
      <c r="R49" s="217">
        <f>IFERROR(VLOOKUP($B49,MMWR_TRAD_AGG_DISTRICT_COMP[],R$1,0),"ERROR")</f>
        <v>736</v>
      </c>
      <c r="S49" s="217">
        <f>IFERROR(VLOOKUP($B49,MMWR_APP_RO[],S$1,0),"ERROR")</f>
        <v>43081</v>
      </c>
      <c r="T49" s="28"/>
    </row>
    <row r="50" spans="1:20" x14ac:dyDescent="0.2">
      <c r="A50" s="28"/>
      <c r="B50" s="108" t="s">
        <v>34</v>
      </c>
      <c r="C50" s="221">
        <f>IFERROR(VLOOKUP($B50,MMWR_TRAD_AGG_RO_COMP[],C$1,0),"ERROR")</f>
        <v>1271</v>
      </c>
      <c r="D50" s="222">
        <f>IFERROR(VLOOKUP($B50,MMWR_TRAD_AGG_RO_COMP[],D$1,0),"ERROR")</f>
        <v>116.4720692368</v>
      </c>
      <c r="E50" s="223">
        <f>IFERROR(VLOOKUP($B50,MMWR_TRAD_AGG_RO_COMP[],E$1,0),"ERROR")</f>
        <v>3008</v>
      </c>
      <c r="F50" s="224">
        <f>IFERROR(VLOOKUP($B50,MMWR_TRAD_AGG_RO_COMP[],F$1,0),"ERROR")</f>
        <v>666</v>
      </c>
      <c r="G50" s="225">
        <f t="shared" si="0"/>
        <v>0.2214095744680851</v>
      </c>
      <c r="H50" s="226">
        <f>IFERROR(VLOOKUP($B50,MMWR_TRAD_AGG_RO_COMP[],H$1,0),"ERROR")</f>
        <v>1842</v>
      </c>
      <c r="I50" s="224">
        <f>IFERROR(VLOOKUP($B50,MMWR_TRAD_AGG_RO_COMP[],I$1,0),"ERROR")</f>
        <v>657</v>
      </c>
      <c r="J50" s="225">
        <f t="shared" si="1"/>
        <v>0.35667752442996742</v>
      </c>
      <c r="K50" s="227">
        <f>IFERROR(VLOOKUP($B50,MMWR_TRAD_AGG_RO_COMP[],K$1,0),"ERROR")</f>
        <v>209</v>
      </c>
      <c r="L50" s="228">
        <f>IFERROR(VLOOKUP($B50,MMWR_TRAD_AGG_RO_COMP[],L$1,0),"ERROR")</f>
        <v>107</v>
      </c>
      <c r="M50" s="225">
        <f t="shared" si="2"/>
        <v>0.51196172248803828</v>
      </c>
      <c r="N50" s="227">
        <f>IFERROR(VLOOKUP($B50,MMWR_TRAD_AGG_RO_COMP[],N$1,0),"ERROR")</f>
        <v>341</v>
      </c>
      <c r="O50" s="228">
        <f>IFERROR(VLOOKUP($B50,MMWR_TRAD_AGG_RO_COMP[],O$1,0),"ERROR")</f>
        <v>169</v>
      </c>
      <c r="P50" s="225">
        <f t="shared" si="3"/>
        <v>0.49560117302052786</v>
      </c>
      <c r="Q50" s="229">
        <f>IFERROR(VLOOKUP($B50,MMWR_TRAD_AGG_RO_COMP[],Q$1,0),"ERROR")</f>
        <v>0</v>
      </c>
      <c r="R50" s="229">
        <f>IFERROR(VLOOKUP($B50,MMWR_TRAD_AGG_RO_COMP[],R$1,0),"ERROR")</f>
        <v>20</v>
      </c>
      <c r="S50" s="203">
        <f>IFERROR(VLOOKUP($B50,MMWR_APP_RO[],S$1,0),"ERROR")</f>
        <v>1828</v>
      </c>
      <c r="T50" s="28"/>
    </row>
    <row r="51" spans="1:20" x14ac:dyDescent="0.2">
      <c r="A51" s="28"/>
      <c r="B51" s="108" t="s">
        <v>35</v>
      </c>
      <c r="C51" s="221">
        <f>IFERROR(VLOOKUP($B51,MMWR_TRAD_AGG_RO_COMP[],C$1,0),"ERROR")</f>
        <v>2041</v>
      </c>
      <c r="D51" s="222">
        <f>IFERROR(VLOOKUP($B51,MMWR_TRAD_AGG_RO_COMP[],D$1,0),"ERROR")</f>
        <v>449.39637432630002</v>
      </c>
      <c r="E51" s="223">
        <f>IFERROR(VLOOKUP($B51,MMWR_TRAD_AGG_RO_COMP[],E$1,0),"ERROR")</f>
        <v>981</v>
      </c>
      <c r="F51" s="224">
        <f>IFERROR(VLOOKUP($B51,MMWR_TRAD_AGG_RO_COMP[],F$1,0),"ERROR")</f>
        <v>73</v>
      </c>
      <c r="G51" s="225">
        <f t="shared" si="0"/>
        <v>7.4413863404689098E-2</v>
      </c>
      <c r="H51" s="226">
        <f>IFERROR(VLOOKUP($B51,MMWR_TRAD_AGG_RO_COMP[],H$1,0),"ERROR")</f>
        <v>2714</v>
      </c>
      <c r="I51" s="224">
        <f>IFERROR(VLOOKUP($B51,MMWR_TRAD_AGG_RO_COMP[],I$1,0),"ERROR")</f>
        <v>1904</v>
      </c>
      <c r="J51" s="225">
        <f t="shared" si="1"/>
        <v>0.7015475313190862</v>
      </c>
      <c r="K51" s="227">
        <f>IFERROR(VLOOKUP($B51,MMWR_TRAD_AGG_RO_COMP[],K$1,0),"ERROR")</f>
        <v>1883</v>
      </c>
      <c r="L51" s="228">
        <f>IFERROR(VLOOKUP($B51,MMWR_TRAD_AGG_RO_COMP[],L$1,0),"ERROR")</f>
        <v>1780</v>
      </c>
      <c r="M51" s="225">
        <f t="shared" si="2"/>
        <v>0.94530005310674459</v>
      </c>
      <c r="N51" s="227">
        <f>IFERROR(VLOOKUP($B51,MMWR_TRAD_AGG_RO_COMP[],N$1,0),"ERROR")</f>
        <v>272</v>
      </c>
      <c r="O51" s="228">
        <f>IFERROR(VLOOKUP($B51,MMWR_TRAD_AGG_RO_COMP[],O$1,0),"ERROR")</f>
        <v>101</v>
      </c>
      <c r="P51" s="225">
        <f t="shared" si="3"/>
        <v>0.37132352941176472</v>
      </c>
      <c r="Q51" s="229">
        <f>IFERROR(VLOOKUP($B51,MMWR_TRAD_AGG_RO_COMP[],Q$1,0),"ERROR")</f>
        <v>0</v>
      </c>
      <c r="R51" s="229">
        <f>IFERROR(VLOOKUP($B51,MMWR_TRAD_AGG_RO_COMP[],R$1,0),"ERROR")</f>
        <v>2</v>
      </c>
      <c r="S51" s="203">
        <f>IFERROR(VLOOKUP($B51,MMWR_APP_RO[],S$1,0),"ERROR")</f>
        <v>215</v>
      </c>
      <c r="T51" s="28"/>
    </row>
    <row r="52" spans="1:20" x14ac:dyDescent="0.2">
      <c r="A52" s="28"/>
      <c r="B52" s="108" t="s">
        <v>37</v>
      </c>
      <c r="C52" s="221">
        <f>IFERROR(VLOOKUP($B52,MMWR_TRAD_AGG_RO_COMP[],C$1,0),"ERROR")</f>
        <v>319</v>
      </c>
      <c r="D52" s="222">
        <f>IFERROR(VLOOKUP($B52,MMWR_TRAD_AGG_RO_COMP[],D$1,0),"ERROR")</f>
        <v>64.758620689699995</v>
      </c>
      <c r="E52" s="223">
        <f>IFERROR(VLOOKUP($B52,MMWR_TRAD_AGG_RO_COMP[],E$1,0),"ERROR")</f>
        <v>1448</v>
      </c>
      <c r="F52" s="224">
        <f>IFERROR(VLOOKUP($B52,MMWR_TRAD_AGG_RO_COMP[],F$1,0),"ERROR")</f>
        <v>299</v>
      </c>
      <c r="G52" s="225">
        <f t="shared" si="0"/>
        <v>0.20649171270718231</v>
      </c>
      <c r="H52" s="226">
        <f>IFERROR(VLOOKUP($B52,MMWR_TRAD_AGG_RO_COMP[],H$1,0),"ERROR")</f>
        <v>578</v>
      </c>
      <c r="I52" s="224">
        <f>IFERROR(VLOOKUP($B52,MMWR_TRAD_AGG_RO_COMP[],I$1,0),"ERROR")</f>
        <v>75</v>
      </c>
      <c r="J52" s="225">
        <f t="shared" si="1"/>
        <v>0.12975778546712802</v>
      </c>
      <c r="K52" s="227">
        <f>IFERROR(VLOOKUP($B52,MMWR_TRAD_AGG_RO_COMP[],K$1,0),"ERROR")</f>
        <v>66</v>
      </c>
      <c r="L52" s="228">
        <f>IFERROR(VLOOKUP($B52,MMWR_TRAD_AGG_RO_COMP[],L$1,0),"ERROR")</f>
        <v>20</v>
      </c>
      <c r="M52" s="225">
        <f t="shared" si="2"/>
        <v>0.30303030303030304</v>
      </c>
      <c r="N52" s="227">
        <f>IFERROR(VLOOKUP($B52,MMWR_TRAD_AGG_RO_COMP[],N$1,0),"ERROR")</f>
        <v>114</v>
      </c>
      <c r="O52" s="228">
        <f>IFERROR(VLOOKUP($B52,MMWR_TRAD_AGG_RO_COMP[],O$1,0),"ERROR")</f>
        <v>40</v>
      </c>
      <c r="P52" s="225">
        <f t="shared" si="3"/>
        <v>0.35087719298245612</v>
      </c>
      <c r="Q52" s="229">
        <f>IFERROR(VLOOKUP($B52,MMWR_TRAD_AGG_RO_COMP[],Q$1,0),"ERROR")</f>
        <v>0</v>
      </c>
      <c r="R52" s="229">
        <f>IFERROR(VLOOKUP($B52,MMWR_TRAD_AGG_RO_COMP[],R$1,0),"ERROR")</f>
        <v>10</v>
      </c>
      <c r="S52" s="203">
        <f>IFERROR(VLOOKUP($B52,MMWR_APP_RO[],S$1,0),"ERROR")</f>
        <v>891</v>
      </c>
      <c r="T52" s="28"/>
    </row>
    <row r="53" spans="1:20" x14ac:dyDescent="0.2">
      <c r="A53" s="28"/>
      <c r="B53" s="108" t="s">
        <v>48</v>
      </c>
      <c r="C53" s="221">
        <f>IFERROR(VLOOKUP($B53,MMWR_TRAD_AGG_RO_COMP[],C$1,0),"ERROR")</f>
        <v>1938</v>
      </c>
      <c r="D53" s="222">
        <f>IFERROR(VLOOKUP($B53,MMWR_TRAD_AGG_RO_COMP[],D$1,0),"ERROR")</f>
        <v>224.24922600619999</v>
      </c>
      <c r="E53" s="223">
        <f>IFERROR(VLOOKUP($B53,MMWR_TRAD_AGG_RO_COMP[],E$1,0),"ERROR")</f>
        <v>2699</v>
      </c>
      <c r="F53" s="224">
        <f>IFERROR(VLOOKUP($B53,MMWR_TRAD_AGG_RO_COMP[],F$1,0),"ERROR")</f>
        <v>438</v>
      </c>
      <c r="G53" s="225">
        <f t="shared" si="0"/>
        <v>0.16228232678769916</v>
      </c>
      <c r="H53" s="226">
        <f>IFERROR(VLOOKUP($B53,MMWR_TRAD_AGG_RO_COMP[],H$1,0),"ERROR")</f>
        <v>2499</v>
      </c>
      <c r="I53" s="224">
        <f>IFERROR(VLOOKUP($B53,MMWR_TRAD_AGG_RO_COMP[],I$1,0),"ERROR")</f>
        <v>1523</v>
      </c>
      <c r="J53" s="225">
        <f t="shared" si="1"/>
        <v>0.60944377751100443</v>
      </c>
      <c r="K53" s="227">
        <f>IFERROR(VLOOKUP($B53,MMWR_TRAD_AGG_RO_COMP[],K$1,0),"ERROR")</f>
        <v>405</v>
      </c>
      <c r="L53" s="228">
        <f>IFERROR(VLOOKUP($B53,MMWR_TRAD_AGG_RO_COMP[],L$1,0),"ERROR")</f>
        <v>315</v>
      </c>
      <c r="M53" s="225">
        <f t="shared" si="2"/>
        <v>0.77777777777777779</v>
      </c>
      <c r="N53" s="227">
        <f>IFERROR(VLOOKUP($B53,MMWR_TRAD_AGG_RO_COMP[],N$1,0),"ERROR")</f>
        <v>88</v>
      </c>
      <c r="O53" s="228">
        <f>IFERROR(VLOOKUP($B53,MMWR_TRAD_AGG_RO_COMP[],O$1,0),"ERROR")</f>
        <v>61</v>
      </c>
      <c r="P53" s="225">
        <f t="shared" si="3"/>
        <v>0.69318181818181823</v>
      </c>
      <c r="Q53" s="229">
        <f>IFERROR(VLOOKUP($B53,MMWR_TRAD_AGG_RO_COMP[],Q$1,0),"ERROR")</f>
        <v>0</v>
      </c>
      <c r="R53" s="229">
        <f>IFERROR(VLOOKUP($B53,MMWR_TRAD_AGG_RO_COMP[],R$1,0),"ERROR")</f>
        <v>0</v>
      </c>
      <c r="S53" s="203">
        <f>IFERROR(VLOOKUP($B53,MMWR_APP_RO[],S$1,0),"ERROR")</f>
        <v>1266</v>
      </c>
      <c r="T53" s="28"/>
    </row>
    <row r="54" spans="1:20" x14ac:dyDescent="0.2">
      <c r="A54" s="28"/>
      <c r="B54" s="108" t="s">
        <v>55</v>
      </c>
      <c r="C54" s="221">
        <f>IFERROR(VLOOKUP($B54,MMWR_TRAD_AGG_RO_COMP[],C$1,0),"ERROR")</f>
        <v>7422</v>
      </c>
      <c r="D54" s="222">
        <f>IFERROR(VLOOKUP($B54,MMWR_TRAD_AGG_RO_COMP[],D$1,0),"ERROR")</f>
        <v>387.94112099159997</v>
      </c>
      <c r="E54" s="223">
        <f>IFERROR(VLOOKUP($B54,MMWR_TRAD_AGG_RO_COMP[],E$1,0),"ERROR")</f>
        <v>9333</v>
      </c>
      <c r="F54" s="224">
        <f>IFERROR(VLOOKUP($B54,MMWR_TRAD_AGG_RO_COMP[],F$1,0),"ERROR")</f>
        <v>2451</v>
      </c>
      <c r="G54" s="225">
        <f t="shared" si="0"/>
        <v>0.26261652201864355</v>
      </c>
      <c r="H54" s="226">
        <f>IFERROR(VLOOKUP($B54,MMWR_TRAD_AGG_RO_COMP[],H$1,0),"ERROR")</f>
        <v>9173</v>
      </c>
      <c r="I54" s="224">
        <f>IFERROR(VLOOKUP($B54,MMWR_TRAD_AGG_RO_COMP[],I$1,0),"ERROR")</f>
        <v>6491</v>
      </c>
      <c r="J54" s="225">
        <f t="shared" si="1"/>
        <v>0.70762018968712526</v>
      </c>
      <c r="K54" s="227">
        <f>IFERROR(VLOOKUP($B54,MMWR_TRAD_AGG_RO_COMP[],K$1,0),"ERROR")</f>
        <v>882</v>
      </c>
      <c r="L54" s="228">
        <f>IFERROR(VLOOKUP($B54,MMWR_TRAD_AGG_RO_COMP[],L$1,0),"ERROR")</f>
        <v>842</v>
      </c>
      <c r="M54" s="225">
        <f t="shared" si="2"/>
        <v>0.95464852607709749</v>
      </c>
      <c r="N54" s="227">
        <f>IFERROR(VLOOKUP($B54,MMWR_TRAD_AGG_RO_COMP[],N$1,0),"ERROR")</f>
        <v>4649</v>
      </c>
      <c r="O54" s="228">
        <f>IFERROR(VLOOKUP($B54,MMWR_TRAD_AGG_RO_COMP[],O$1,0),"ERROR")</f>
        <v>3089</v>
      </c>
      <c r="P54" s="225">
        <f t="shared" si="3"/>
        <v>0.66444396644439663</v>
      </c>
      <c r="Q54" s="229">
        <f>IFERROR(VLOOKUP($B54,MMWR_TRAD_AGG_RO_COMP[],Q$1,0),"ERROR")</f>
        <v>2</v>
      </c>
      <c r="R54" s="229">
        <f>IFERROR(VLOOKUP($B54,MMWR_TRAD_AGG_RO_COMP[],R$1,0),"ERROR")</f>
        <v>34</v>
      </c>
      <c r="S54" s="203">
        <f>IFERROR(VLOOKUP($B54,MMWR_APP_RO[],S$1,0),"ERROR")</f>
        <v>4547</v>
      </c>
      <c r="T54" s="28"/>
    </row>
    <row r="55" spans="1:20" x14ac:dyDescent="0.2">
      <c r="A55" s="28"/>
      <c r="B55" s="108" t="s">
        <v>58</v>
      </c>
      <c r="C55" s="221">
        <f>IFERROR(VLOOKUP($B55,MMWR_TRAD_AGG_RO_COMP[],C$1,0),"ERROR")</f>
        <v>785</v>
      </c>
      <c r="D55" s="222">
        <f>IFERROR(VLOOKUP($B55,MMWR_TRAD_AGG_RO_COMP[],D$1,0),"ERROR")</f>
        <v>144.749044586</v>
      </c>
      <c r="E55" s="223">
        <f>IFERROR(VLOOKUP($B55,MMWR_TRAD_AGG_RO_COMP[],E$1,0),"ERROR")</f>
        <v>933</v>
      </c>
      <c r="F55" s="224">
        <f>IFERROR(VLOOKUP($B55,MMWR_TRAD_AGG_RO_COMP[],F$1,0),"ERROR")</f>
        <v>267</v>
      </c>
      <c r="G55" s="225">
        <f t="shared" si="0"/>
        <v>0.2861736334405145</v>
      </c>
      <c r="H55" s="226">
        <f>IFERROR(VLOOKUP($B55,MMWR_TRAD_AGG_RO_COMP[],H$1,0),"ERROR")</f>
        <v>971</v>
      </c>
      <c r="I55" s="224">
        <f>IFERROR(VLOOKUP($B55,MMWR_TRAD_AGG_RO_COMP[],I$1,0),"ERROR")</f>
        <v>388</v>
      </c>
      <c r="J55" s="225">
        <f t="shared" si="1"/>
        <v>0.39958805355303811</v>
      </c>
      <c r="K55" s="227">
        <f>IFERROR(VLOOKUP($B55,MMWR_TRAD_AGG_RO_COMP[],K$1,0),"ERROR")</f>
        <v>120</v>
      </c>
      <c r="L55" s="228">
        <f>IFERROR(VLOOKUP($B55,MMWR_TRAD_AGG_RO_COMP[],L$1,0),"ERROR")</f>
        <v>90</v>
      </c>
      <c r="M55" s="225">
        <f t="shared" si="2"/>
        <v>0.75</v>
      </c>
      <c r="N55" s="227">
        <f>IFERROR(VLOOKUP($B55,MMWR_TRAD_AGG_RO_COMP[],N$1,0),"ERROR")</f>
        <v>684</v>
      </c>
      <c r="O55" s="228">
        <f>IFERROR(VLOOKUP($B55,MMWR_TRAD_AGG_RO_COMP[],O$1,0),"ERROR")</f>
        <v>361</v>
      </c>
      <c r="P55" s="225">
        <f t="shared" si="3"/>
        <v>0.52777777777777779</v>
      </c>
      <c r="Q55" s="229">
        <f>IFERROR(VLOOKUP($B55,MMWR_TRAD_AGG_RO_COMP[],Q$1,0),"ERROR")</f>
        <v>341</v>
      </c>
      <c r="R55" s="229">
        <f>IFERROR(VLOOKUP($B55,MMWR_TRAD_AGG_RO_COMP[],R$1,0),"ERROR")</f>
        <v>144</v>
      </c>
      <c r="S55" s="203">
        <f>IFERROR(VLOOKUP($B55,MMWR_APP_RO[],S$1,0),"ERROR")</f>
        <v>1027</v>
      </c>
      <c r="T55" s="28"/>
    </row>
    <row r="56" spans="1:20" x14ac:dyDescent="0.2">
      <c r="A56" s="28"/>
      <c r="B56" s="108" t="s">
        <v>65</v>
      </c>
      <c r="C56" s="221">
        <f>IFERROR(VLOOKUP($B56,MMWR_TRAD_AGG_RO_COMP[],C$1,0),"ERROR")</f>
        <v>11129</v>
      </c>
      <c r="D56" s="222">
        <f>IFERROR(VLOOKUP($B56,MMWR_TRAD_AGG_RO_COMP[],D$1,0),"ERROR")</f>
        <v>382.72657022189998</v>
      </c>
      <c r="E56" s="223">
        <f>IFERROR(VLOOKUP($B56,MMWR_TRAD_AGG_RO_COMP[],E$1,0),"ERROR")</f>
        <v>10933</v>
      </c>
      <c r="F56" s="224">
        <f>IFERROR(VLOOKUP($B56,MMWR_TRAD_AGG_RO_COMP[],F$1,0),"ERROR")</f>
        <v>2380</v>
      </c>
      <c r="G56" s="225">
        <f t="shared" si="0"/>
        <v>0.21768956370621056</v>
      </c>
      <c r="H56" s="226">
        <f>IFERROR(VLOOKUP($B56,MMWR_TRAD_AGG_RO_COMP[],H$1,0),"ERROR")</f>
        <v>14603</v>
      </c>
      <c r="I56" s="224">
        <f>IFERROR(VLOOKUP($B56,MMWR_TRAD_AGG_RO_COMP[],I$1,0),"ERROR")</f>
        <v>11047</v>
      </c>
      <c r="J56" s="225">
        <f t="shared" si="1"/>
        <v>0.75648839279600077</v>
      </c>
      <c r="K56" s="227">
        <f>IFERROR(VLOOKUP($B56,MMWR_TRAD_AGG_RO_COMP[],K$1,0),"ERROR")</f>
        <v>5171</v>
      </c>
      <c r="L56" s="228">
        <f>IFERROR(VLOOKUP($B56,MMWR_TRAD_AGG_RO_COMP[],L$1,0),"ERROR")</f>
        <v>4894</v>
      </c>
      <c r="M56" s="225">
        <f t="shared" si="2"/>
        <v>0.94643202475343258</v>
      </c>
      <c r="N56" s="227">
        <f>IFERROR(VLOOKUP($B56,MMWR_TRAD_AGG_RO_COMP[],N$1,0),"ERROR")</f>
        <v>2820</v>
      </c>
      <c r="O56" s="228">
        <f>IFERROR(VLOOKUP($B56,MMWR_TRAD_AGG_RO_COMP[],O$1,0),"ERROR")</f>
        <v>1907</v>
      </c>
      <c r="P56" s="225">
        <f t="shared" si="3"/>
        <v>0.67624113475177305</v>
      </c>
      <c r="Q56" s="229">
        <f>IFERROR(VLOOKUP($B56,MMWR_TRAD_AGG_RO_COMP[],Q$1,0),"ERROR")</f>
        <v>0</v>
      </c>
      <c r="R56" s="229">
        <f>IFERROR(VLOOKUP($B56,MMWR_TRAD_AGG_RO_COMP[],R$1,0),"ERROR")</f>
        <v>45</v>
      </c>
      <c r="S56" s="203">
        <f>IFERROR(VLOOKUP($B56,MMWR_APP_RO[],S$1,0),"ERROR")</f>
        <v>8954</v>
      </c>
      <c r="T56" s="28"/>
    </row>
    <row r="57" spans="1:20" x14ac:dyDescent="0.2">
      <c r="A57" s="28"/>
      <c r="B57" s="108" t="s">
        <v>67</v>
      </c>
      <c r="C57" s="221">
        <f>IFERROR(VLOOKUP($B57,MMWR_TRAD_AGG_RO_COMP[],C$1,0),"ERROR")</f>
        <v>5068</v>
      </c>
      <c r="D57" s="222">
        <f>IFERROR(VLOOKUP($B57,MMWR_TRAD_AGG_RO_COMP[],D$1,0),"ERROR")</f>
        <v>261.59944751379999</v>
      </c>
      <c r="E57" s="223">
        <f>IFERROR(VLOOKUP($B57,MMWR_TRAD_AGG_RO_COMP[],E$1,0),"ERROR")</f>
        <v>4931</v>
      </c>
      <c r="F57" s="224">
        <f>IFERROR(VLOOKUP($B57,MMWR_TRAD_AGG_RO_COMP[],F$1,0),"ERROR")</f>
        <v>880</v>
      </c>
      <c r="G57" s="225">
        <f t="shared" si="0"/>
        <v>0.17846278645305211</v>
      </c>
      <c r="H57" s="226">
        <f>IFERROR(VLOOKUP($B57,MMWR_TRAD_AGG_RO_COMP[],H$1,0),"ERROR")</f>
        <v>6085</v>
      </c>
      <c r="I57" s="224">
        <f>IFERROR(VLOOKUP($B57,MMWR_TRAD_AGG_RO_COMP[],I$1,0),"ERROR")</f>
        <v>3579</v>
      </c>
      <c r="J57" s="225">
        <f t="shared" si="1"/>
        <v>0.58816762530813471</v>
      </c>
      <c r="K57" s="227">
        <f>IFERROR(VLOOKUP($B57,MMWR_TRAD_AGG_RO_COMP[],K$1,0),"ERROR")</f>
        <v>288</v>
      </c>
      <c r="L57" s="228">
        <f>IFERROR(VLOOKUP($B57,MMWR_TRAD_AGG_RO_COMP[],L$1,0),"ERROR")</f>
        <v>208</v>
      </c>
      <c r="M57" s="225">
        <f t="shared" si="2"/>
        <v>0.72222222222222221</v>
      </c>
      <c r="N57" s="227">
        <f>IFERROR(VLOOKUP($B57,MMWR_TRAD_AGG_RO_COMP[],N$1,0),"ERROR")</f>
        <v>2376</v>
      </c>
      <c r="O57" s="228">
        <f>IFERROR(VLOOKUP($B57,MMWR_TRAD_AGG_RO_COMP[],O$1,0),"ERROR")</f>
        <v>1832</v>
      </c>
      <c r="P57" s="225">
        <f t="shared" si="3"/>
        <v>0.77104377104377109</v>
      </c>
      <c r="Q57" s="229">
        <f>IFERROR(VLOOKUP($B57,MMWR_TRAD_AGG_RO_COMP[],Q$1,0),"ERROR")</f>
        <v>2</v>
      </c>
      <c r="R57" s="229">
        <f>IFERROR(VLOOKUP($B57,MMWR_TRAD_AGG_RO_COMP[],R$1,0),"ERROR")</f>
        <v>69</v>
      </c>
      <c r="S57" s="203">
        <f>IFERROR(VLOOKUP($B57,MMWR_APP_RO[],S$1,0),"ERROR")</f>
        <v>7089</v>
      </c>
      <c r="T57" s="28"/>
    </row>
    <row r="58" spans="1:20" x14ac:dyDescent="0.2">
      <c r="A58" s="28"/>
      <c r="B58" s="108" t="s">
        <v>69</v>
      </c>
      <c r="C58" s="221">
        <f>IFERROR(VLOOKUP($B58,MMWR_TRAD_AGG_RO_COMP[],C$1,0),"ERROR")</f>
        <v>7883</v>
      </c>
      <c r="D58" s="222">
        <f>IFERROR(VLOOKUP($B58,MMWR_TRAD_AGG_RO_COMP[],D$1,0),"ERROR")</f>
        <v>407.8753012812</v>
      </c>
      <c r="E58" s="223">
        <f>IFERROR(VLOOKUP($B58,MMWR_TRAD_AGG_RO_COMP[],E$1,0),"ERROR")</f>
        <v>4623</v>
      </c>
      <c r="F58" s="224">
        <f>IFERROR(VLOOKUP($B58,MMWR_TRAD_AGG_RO_COMP[],F$1,0),"ERROR")</f>
        <v>1502</v>
      </c>
      <c r="G58" s="225">
        <f t="shared" si="0"/>
        <v>0.32489725286610427</v>
      </c>
      <c r="H58" s="226">
        <f>IFERROR(VLOOKUP($B58,MMWR_TRAD_AGG_RO_COMP[],H$1,0),"ERROR")</f>
        <v>10105</v>
      </c>
      <c r="I58" s="224">
        <f>IFERROR(VLOOKUP($B58,MMWR_TRAD_AGG_RO_COMP[],I$1,0),"ERROR")</f>
        <v>7527</v>
      </c>
      <c r="J58" s="225">
        <f t="shared" si="1"/>
        <v>0.74487877288471049</v>
      </c>
      <c r="K58" s="227">
        <f>IFERROR(VLOOKUP($B58,MMWR_TRAD_AGG_RO_COMP[],K$1,0),"ERROR")</f>
        <v>3891</v>
      </c>
      <c r="L58" s="228">
        <f>IFERROR(VLOOKUP($B58,MMWR_TRAD_AGG_RO_COMP[],L$1,0),"ERROR")</f>
        <v>3303</v>
      </c>
      <c r="M58" s="225">
        <f t="shared" si="2"/>
        <v>0.84888203546646102</v>
      </c>
      <c r="N58" s="227">
        <f>IFERROR(VLOOKUP($B58,MMWR_TRAD_AGG_RO_COMP[],N$1,0),"ERROR")</f>
        <v>1466</v>
      </c>
      <c r="O58" s="228">
        <f>IFERROR(VLOOKUP($B58,MMWR_TRAD_AGG_RO_COMP[],O$1,0),"ERROR")</f>
        <v>569</v>
      </c>
      <c r="P58" s="225">
        <f t="shared" si="3"/>
        <v>0.38813096862210095</v>
      </c>
      <c r="Q58" s="229">
        <f>IFERROR(VLOOKUP($B58,MMWR_TRAD_AGG_RO_COMP[],Q$1,0),"ERROR")</f>
        <v>0</v>
      </c>
      <c r="R58" s="229">
        <f>IFERROR(VLOOKUP($B58,MMWR_TRAD_AGG_RO_COMP[],R$1,0),"ERROR")</f>
        <v>75</v>
      </c>
      <c r="S58" s="203">
        <f>IFERROR(VLOOKUP($B58,MMWR_APP_RO[],S$1,0),"ERROR")</f>
        <v>5415</v>
      </c>
      <c r="T58" s="28"/>
    </row>
    <row r="59" spans="1:20" x14ac:dyDescent="0.2">
      <c r="A59" s="28"/>
      <c r="B59" s="108" t="s">
        <v>71</v>
      </c>
      <c r="C59" s="221">
        <f>IFERROR(VLOOKUP($B59,MMWR_TRAD_AGG_RO_COMP[],C$1,0),"ERROR")</f>
        <v>3529</v>
      </c>
      <c r="D59" s="222">
        <f>IFERROR(VLOOKUP($B59,MMWR_TRAD_AGG_RO_COMP[],D$1,0),"ERROR")</f>
        <v>474.7257013318</v>
      </c>
      <c r="E59" s="223">
        <f>IFERROR(VLOOKUP($B59,MMWR_TRAD_AGG_RO_COMP[],E$1,0),"ERROR")</f>
        <v>3524</v>
      </c>
      <c r="F59" s="224">
        <f>IFERROR(VLOOKUP($B59,MMWR_TRAD_AGG_RO_COMP[],F$1,0),"ERROR")</f>
        <v>1001</v>
      </c>
      <c r="G59" s="225">
        <f t="shared" si="0"/>
        <v>0.2840522133938706</v>
      </c>
      <c r="H59" s="226">
        <f>IFERROR(VLOOKUP($B59,MMWR_TRAD_AGG_RO_COMP[],H$1,0),"ERROR")</f>
        <v>4162</v>
      </c>
      <c r="I59" s="224">
        <f>IFERROR(VLOOKUP($B59,MMWR_TRAD_AGG_RO_COMP[],I$1,0),"ERROR")</f>
        <v>2870</v>
      </c>
      <c r="J59" s="225">
        <f t="shared" si="1"/>
        <v>0.68957232099951948</v>
      </c>
      <c r="K59" s="227">
        <f>IFERROR(VLOOKUP($B59,MMWR_TRAD_AGG_RO_COMP[],K$1,0),"ERROR")</f>
        <v>383</v>
      </c>
      <c r="L59" s="228">
        <f>IFERROR(VLOOKUP($B59,MMWR_TRAD_AGG_RO_COMP[],L$1,0),"ERROR")</f>
        <v>341</v>
      </c>
      <c r="M59" s="225">
        <f t="shared" si="2"/>
        <v>0.89033942558746737</v>
      </c>
      <c r="N59" s="227">
        <f>IFERROR(VLOOKUP($B59,MMWR_TRAD_AGG_RO_COMP[],N$1,0),"ERROR")</f>
        <v>1015</v>
      </c>
      <c r="O59" s="228">
        <f>IFERROR(VLOOKUP($B59,MMWR_TRAD_AGG_RO_COMP[],O$1,0),"ERROR")</f>
        <v>612</v>
      </c>
      <c r="P59" s="225">
        <f t="shared" si="3"/>
        <v>0.60295566502463049</v>
      </c>
      <c r="Q59" s="229">
        <f>IFERROR(VLOOKUP($B59,MMWR_TRAD_AGG_RO_COMP[],Q$1,0),"ERROR")</f>
        <v>0</v>
      </c>
      <c r="R59" s="229">
        <f>IFERROR(VLOOKUP($B59,MMWR_TRAD_AGG_RO_COMP[],R$1,0),"ERROR")</f>
        <v>120</v>
      </c>
      <c r="S59" s="203">
        <f>IFERROR(VLOOKUP($B59,MMWR_APP_RO[],S$1,0),"ERROR")</f>
        <v>2877</v>
      </c>
      <c r="T59" s="28"/>
    </row>
    <row r="60" spans="1:20" x14ac:dyDescent="0.2">
      <c r="A60" s="28"/>
      <c r="B60" s="108" t="s">
        <v>74</v>
      </c>
      <c r="C60" s="221">
        <f>IFERROR(VLOOKUP($B60,MMWR_TRAD_AGG_RO_COMP[],C$1,0),"ERROR")</f>
        <v>7053</v>
      </c>
      <c r="D60" s="222">
        <f>IFERROR(VLOOKUP($B60,MMWR_TRAD_AGG_RO_COMP[],D$1,0),"ERROR")</f>
        <v>326.16716290940002</v>
      </c>
      <c r="E60" s="223">
        <f>IFERROR(VLOOKUP($B60,MMWR_TRAD_AGG_RO_COMP[],E$1,0),"ERROR")</f>
        <v>13089</v>
      </c>
      <c r="F60" s="224">
        <f>IFERROR(VLOOKUP($B60,MMWR_TRAD_AGG_RO_COMP[],F$1,0),"ERROR")</f>
        <v>1869</v>
      </c>
      <c r="G60" s="225">
        <f t="shared" si="0"/>
        <v>0.14279165711666283</v>
      </c>
      <c r="H60" s="226">
        <f>IFERROR(VLOOKUP($B60,MMWR_TRAD_AGG_RO_COMP[],H$1,0),"ERROR")</f>
        <v>15104</v>
      </c>
      <c r="I60" s="224">
        <f>IFERROR(VLOOKUP($B60,MMWR_TRAD_AGG_RO_COMP[],I$1,0),"ERROR")</f>
        <v>6554</v>
      </c>
      <c r="J60" s="225">
        <f t="shared" si="1"/>
        <v>0.43392478813559321</v>
      </c>
      <c r="K60" s="227">
        <f>IFERROR(VLOOKUP($B60,MMWR_TRAD_AGG_RO_COMP[],K$1,0),"ERROR")</f>
        <v>1924</v>
      </c>
      <c r="L60" s="228">
        <f>IFERROR(VLOOKUP($B60,MMWR_TRAD_AGG_RO_COMP[],L$1,0),"ERROR")</f>
        <v>1369</v>
      </c>
      <c r="M60" s="225">
        <f t="shared" si="2"/>
        <v>0.71153846153846156</v>
      </c>
      <c r="N60" s="227">
        <f>IFERROR(VLOOKUP($B60,MMWR_TRAD_AGG_RO_COMP[],N$1,0),"ERROR")</f>
        <v>1846</v>
      </c>
      <c r="O60" s="228">
        <f>IFERROR(VLOOKUP($B60,MMWR_TRAD_AGG_RO_COMP[],O$1,0),"ERROR")</f>
        <v>1322</v>
      </c>
      <c r="P60" s="225">
        <f t="shared" si="3"/>
        <v>0.71614301191765983</v>
      </c>
      <c r="Q60" s="229">
        <f>IFERROR(VLOOKUP($B60,MMWR_TRAD_AGG_RO_COMP[],Q$1,0),"ERROR")</f>
        <v>0</v>
      </c>
      <c r="R60" s="229">
        <f>IFERROR(VLOOKUP($B60,MMWR_TRAD_AGG_RO_COMP[],R$1,0),"ERROR")</f>
        <v>67</v>
      </c>
      <c r="S60" s="203">
        <f>IFERROR(VLOOKUP($B60,MMWR_APP_RO[],S$1,0),"ERROR")</f>
        <v>4143</v>
      </c>
      <c r="T60" s="28"/>
    </row>
    <row r="61" spans="1:20" x14ac:dyDescent="0.2">
      <c r="A61" s="28"/>
      <c r="B61" s="116" t="s">
        <v>76</v>
      </c>
      <c r="C61" s="230">
        <f>IFERROR(VLOOKUP($B61,MMWR_TRAD_AGG_RO_COMP[],C$1,0),"ERROR")</f>
        <v>13386</v>
      </c>
      <c r="D61" s="231">
        <f>IFERROR(VLOOKUP($B61,MMWR_TRAD_AGG_RO_COMP[],D$1,0),"ERROR")</f>
        <v>401.71178843569999</v>
      </c>
      <c r="E61" s="232">
        <f>IFERROR(VLOOKUP($B61,MMWR_TRAD_AGG_RO_COMP[],E$1,0),"ERROR")</f>
        <v>7052</v>
      </c>
      <c r="F61" s="233">
        <f>IFERROR(VLOOKUP($B61,MMWR_TRAD_AGG_RO_COMP[],F$1,0),"ERROR")</f>
        <v>1316</v>
      </c>
      <c r="G61" s="234">
        <f t="shared" si="0"/>
        <v>0.18661372660238229</v>
      </c>
      <c r="H61" s="235">
        <f>IFERROR(VLOOKUP($B61,MMWR_TRAD_AGG_RO_COMP[],H$1,0),"ERROR")</f>
        <v>18733</v>
      </c>
      <c r="I61" s="233">
        <f>IFERROR(VLOOKUP($B61,MMWR_TRAD_AGG_RO_COMP[],I$1,0),"ERROR")</f>
        <v>13410</v>
      </c>
      <c r="J61" s="234">
        <f t="shared" si="1"/>
        <v>0.71584903645972353</v>
      </c>
      <c r="K61" s="236">
        <f>IFERROR(VLOOKUP($B61,MMWR_TRAD_AGG_RO_COMP[],K$1,0),"ERROR")</f>
        <v>3881</v>
      </c>
      <c r="L61" s="237">
        <f>IFERROR(VLOOKUP($B61,MMWR_TRAD_AGG_RO_COMP[],L$1,0),"ERROR")</f>
        <v>3548</v>
      </c>
      <c r="M61" s="234">
        <f t="shared" si="2"/>
        <v>0.91419737181138883</v>
      </c>
      <c r="N61" s="236">
        <f>IFERROR(VLOOKUP($B61,MMWR_TRAD_AGG_RO_COMP[],N$1,0),"ERROR")</f>
        <v>4520</v>
      </c>
      <c r="O61" s="237">
        <f>IFERROR(VLOOKUP($B61,MMWR_TRAD_AGG_RO_COMP[],O$1,0),"ERROR")</f>
        <v>3890</v>
      </c>
      <c r="P61" s="234">
        <f t="shared" si="3"/>
        <v>0.86061946902654862</v>
      </c>
      <c r="Q61" s="238">
        <f>IFERROR(VLOOKUP($B61,MMWR_TRAD_AGG_RO_COMP[],Q$1,0),"ERROR")</f>
        <v>0</v>
      </c>
      <c r="R61" s="238">
        <f>IFERROR(VLOOKUP($B61,MMWR_TRAD_AGG_RO_COMP[],R$1,0),"ERROR")</f>
        <v>150</v>
      </c>
      <c r="S61" s="203">
        <f>IFERROR(VLOOKUP($B61,MMWR_APP_RO[],S$1,0),"ERROR")</f>
        <v>4829</v>
      </c>
      <c r="T61" s="28"/>
    </row>
    <row r="62" spans="1:20" x14ac:dyDescent="0.2">
      <c r="A62" s="28"/>
      <c r="B62" s="101" t="s">
        <v>387</v>
      </c>
      <c r="C62" s="214">
        <f>IFERROR(VLOOKUP($B62,MMWR_TRAD_AGG_DISTRICT_COMP[],C$1,0),"ERROR")</f>
        <v>69355</v>
      </c>
      <c r="D62" s="199">
        <f>IFERROR(VLOOKUP($B62,MMWR_TRAD_AGG_DISTRICT_COMP[],D$1,0),"ERROR")</f>
        <v>331.5696489078</v>
      </c>
      <c r="E62" s="215">
        <f>IFERROR(VLOOKUP($B62,MMWR_TRAD_AGG_DISTRICT_COMP[],E$1,0),"ERROR")</f>
        <v>72815</v>
      </c>
      <c r="F62" s="220">
        <f>IFERROR(VLOOKUP($B62,MMWR_TRAD_AGG_DISTRICT_COMP[],F$1,0),"ERROR")</f>
        <v>16297</v>
      </c>
      <c r="G62" s="216">
        <f t="shared" si="0"/>
        <v>0.22381377463434732</v>
      </c>
      <c r="H62" s="220">
        <f>IFERROR(VLOOKUP($B62,MMWR_TRAD_AGG_DISTRICT_COMP[],H$1,0),"ERROR")</f>
        <v>98709</v>
      </c>
      <c r="I62" s="220">
        <f>IFERROR(VLOOKUP($B62,MMWR_TRAD_AGG_DISTRICT_COMP[],I$1,0),"ERROR")</f>
        <v>61761</v>
      </c>
      <c r="J62" s="216">
        <f t="shared" si="1"/>
        <v>0.62568762726803029</v>
      </c>
      <c r="K62" s="214">
        <f>IFERROR(VLOOKUP($B62,MMWR_TRAD_AGG_DISTRICT_COMP[],K$1,0),"ERROR")</f>
        <v>19879</v>
      </c>
      <c r="L62" s="214">
        <f>IFERROR(VLOOKUP($B62,MMWR_TRAD_AGG_DISTRICT_COMP[],L$1,0),"ERROR")</f>
        <v>17393</v>
      </c>
      <c r="M62" s="216">
        <f t="shared" si="2"/>
        <v>0.87494340761607725</v>
      </c>
      <c r="N62" s="214">
        <f>IFERROR(VLOOKUP($B62,MMWR_TRAD_AGG_DISTRICT_COMP[],N$1,0),"ERROR")</f>
        <v>32960</v>
      </c>
      <c r="O62" s="214">
        <f>IFERROR(VLOOKUP($B62,MMWR_TRAD_AGG_DISTRICT_COMP[],O$1,0),"ERROR")</f>
        <v>18385</v>
      </c>
      <c r="P62" s="216">
        <f t="shared" si="3"/>
        <v>0.55779733009708743</v>
      </c>
      <c r="Q62" s="214">
        <f>IFERROR(VLOOKUP($B62,MMWR_TRAD_AGG_DISTRICT_COMP[],Q$1,0),"ERROR")</f>
        <v>164</v>
      </c>
      <c r="R62" s="217">
        <f>IFERROR(VLOOKUP($B62,MMWR_TRAD_AGG_DISTRICT_COMP[],R$1,0),"ERROR")</f>
        <v>1186</v>
      </c>
      <c r="S62" s="217">
        <f>IFERROR(VLOOKUP($B62,MMWR_APP_RO[],S$1,0),"ERROR")</f>
        <v>85125</v>
      </c>
      <c r="T62" s="28"/>
    </row>
    <row r="63" spans="1:20" x14ac:dyDescent="0.2">
      <c r="A63" s="28"/>
      <c r="B63" s="108" t="s">
        <v>25</v>
      </c>
      <c r="C63" s="221">
        <f>IFERROR(VLOOKUP($B63,MMWR_TRAD_AGG_RO_COMP[],C$1,0),"ERROR")</f>
        <v>12875</v>
      </c>
      <c r="D63" s="222">
        <f>IFERROR(VLOOKUP($B63,MMWR_TRAD_AGG_RO_COMP[],D$1,0),"ERROR")</f>
        <v>326.08302912620002</v>
      </c>
      <c r="E63" s="223">
        <f>IFERROR(VLOOKUP($B63,MMWR_TRAD_AGG_RO_COMP[],E$1,0),"ERROR")</f>
        <v>17347</v>
      </c>
      <c r="F63" s="224">
        <f>IFERROR(VLOOKUP($B63,MMWR_TRAD_AGG_RO_COMP[],F$1,0),"ERROR")</f>
        <v>3271</v>
      </c>
      <c r="G63" s="225">
        <f t="shared" si="0"/>
        <v>0.18856286389577448</v>
      </c>
      <c r="H63" s="226">
        <f>IFERROR(VLOOKUP($B63,MMWR_TRAD_AGG_RO_COMP[],H$1,0),"ERROR")</f>
        <v>18068</v>
      </c>
      <c r="I63" s="224">
        <f>IFERROR(VLOOKUP($B63,MMWR_TRAD_AGG_RO_COMP[],I$1,0),"ERROR")</f>
        <v>12001</v>
      </c>
      <c r="J63" s="225">
        <f t="shared" si="1"/>
        <v>0.6642129732123091</v>
      </c>
      <c r="K63" s="227">
        <f>IFERROR(VLOOKUP($B63,MMWR_TRAD_AGG_RO_COMP[],K$1,0),"ERROR")</f>
        <v>4592</v>
      </c>
      <c r="L63" s="228">
        <f>IFERROR(VLOOKUP($B63,MMWR_TRAD_AGG_RO_COMP[],L$1,0),"ERROR")</f>
        <v>3985</v>
      </c>
      <c r="M63" s="225">
        <f t="shared" si="2"/>
        <v>0.86781358885017423</v>
      </c>
      <c r="N63" s="227">
        <f>IFERROR(VLOOKUP($B63,MMWR_TRAD_AGG_RO_COMP[],N$1,0),"ERROR")</f>
        <v>16997</v>
      </c>
      <c r="O63" s="228">
        <f>IFERROR(VLOOKUP($B63,MMWR_TRAD_AGG_RO_COMP[],O$1,0),"ERROR")</f>
        <v>8105</v>
      </c>
      <c r="P63" s="225">
        <f t="shared" si="3"/>
        <v>0.47684885568041419</v>
      </c>
      <c r="Q63" s="229">
        <f>IFERROR(VLOOKUP($B63,MMWR_TRAD_AGG_RO_COMP[],Q$1,0),"ERROR")</f>
        <v>64</v>
      </c>
      <c r="R63" s="229">
        <f>IFERROR(VLOOKUP($B63,MMWR_TRAD_AGG_RO_COMP[],R$1,0),"ERROR")</f>
        <v>23</v>
      </c>
      <c r="S63" s="203">
        <f>IFERROR(VLOOKUP($B63,MMWR_APP_RO[],S$1,0),"ERROR")</f>
        <v>16882</v>
      </c>
      <c r="T63" s="28"/>
    </row>
    <row r="64" spans="1:20" x14ac:dyDescent="0.2">
      <c r="A64" s="28"/>
      <c r="B64" s="108" t="s">
        <v>42</v>
      </c>
      <c r="C64" s="221">
        <f>IFERROR(VLOOKUP($B64,MMWR_TRAD_AGG_RO_COMP[],C$1,0),"ERROR")</f>
        <v>11326</v>
      </c>
      <c r="D64" s="222">
        <f>IFERROR(VLOOKUP($B64,MMWR_TRAD_AGG_RO_COMP[],D$1,0),"ERROR")</f>
        <v>291.15769027020002</v>
      </c>
      <c r="E64" s="223">
        <f>IFERROR(VLOOKUP($B64,MMWR_TRAD_AGG_RO_COMP[],E$1,0),"ERROR")</f>
        <v>8529</v>
      </c>
      <c r="F64" s="224">
        <f>IFERROR(VLOOKUP($B64,MMWR_TRAD_AGG_RO_COMP[],F$1,0),"ERROR")</f>
        <v>1925</v>
      </c>
      <c r="G64" s="225">
        <f t="shared" si="0"/>
        <v>0.22570055106108572</v>
      </c>
      <c r="H64" s="226">
        <f>IFERROR(VLOOKUP($B64,MMWR_TRAD_AGG_RO_COMP[],H$1,0),"ERROR")</f>
        <v>20834</v>
      </c>
      <c r="I64" s="224">
        <f>IFERROR(VLOOKUP($B64,MMWR_TRAD_AGG_RO_COMP[],I$1,0),"ERROR")</f>
        <v>11775</v>
      </c>
      <c r="J64" s="225">
        <f t="shared" si="1"/>
        <v>0.5651819141787463</v>
      </c>
      <c r="K64" s="227">
        <f>IFERROR(VLOOKUP($B64,MMWR_TRAD_AGG_RO_COMP[],K$1,0),"ERROR")</f>
        <v>2905</v>
      </c>
      <c r="L64" s="228">
        <f>IFERROR(VLOOKUP($B64,MMWR_TRAD_AGG_RO_COMP[],L$1,0),"ERROR")</f>
        <v>2585</v>
      </c>
      <c r="M64" s="225">
        <f t="shared" si="2"/>
        <v>0.88984509466437178</v>
      </c>
      <c r="N64" s="227">
        <f>IFERROR(VLOOKUP($B64,MMWR_TRAD_AGG_RO_COMP[],N$1,0),"ERROR")</f>
        <v>1375</v>
      </c>
      <c r="O64" s="228">
        <f>IFERROR(VLOOKUP($B64,MMWR_TRAD_AGG_RO_COMP[],O$1,0),"ERROR")</f>
        <v>1024</v>
      </c>
      <c r="P64" s="225">
        <f t="shared" si="3"/>
        <v>0.74472727272727268</v>
      </c>
      <c r="Q64" s="229">
        <f>IFERROR(VLOOKUP($B64,MMWR_TRAD_AGG_RO_COMP[],Q$1,0),"ERROR")</f>
        <v>3</v>
      </c>
      <c r="R64" s="229">
        <f>IFERROR(VLOOKUP($B64,MMWR_TRAD_AGG_RO_COMP[],R$1,0),"ERROR")</f>
        <v>59</v>
      </c>
      <c r="S64" s="203">
        <f>IFERROR(VLOOKUP($B64,MMWR_APP_RO[],S$1,0),"ERROR")</f>
        <v>12206</v>
      </c>
      <c r="T64" s="28"/>
    </row>
    <row r="65" spans="1:20" x14ac:dyDescent="0.2">
      <c r="A65" s="28"/>
      <c r="B65" s="108" t="s">
        <v>56</v>
      </c>
      <c r="C65" s="221">
        <f>IFERROR(VLOOKUP($B65,MMWR_TRAD_AGG_RO_COMP[],C$1,0),"ERROR")</f>
        <v>9002</v>
      </c>
      <c r="D65" s="222">
        <f>IFERROR(VLOOKUP($B65,MMWR_TRAD_AGG_RO_COMP[],D$1,0),"ERROR")</f>
        <v>509.63185958679998</v>
      </c>
      <c r="E65" s="223">
        <f>IFERROR(VLOOKUP($B65,MMWR_TRAD_AGG_RO_COMP[],E$1,0),"ERROR")</f>
        <v>6038</v>
      </c>
      <c r="F65" s="224">
        <f>IFERROR(VLOOKUP($B65,MMWR_TRAD_AGG_RO_COMP[],F$1,0),"ERROR")</f>
        <v>2382</v>
      </c>
      <c r="G65" s="225">
        <f t="shared" si="0"/>
        <v>0.394501490559788</v>
      </c>
      <c r="H65" s="226">
        <f>IFERROR(VLOOKUP($B65,MMWR_TRAD_AGG_RO_COMP[],H$1,0),"ERROR")</f>
        <v>13546</v>
      </c>
      <c r="I65" s="224">
        <f>IFERROR(VLOOKUP($B65,MMWR_TRAD_AGG_RO_COMP[],I$1,0),"ERROR")</f>
        <v>9187</v>
      </c>
      <c r="J65" s="225">
        <f t="shared" si="1"/>
        <v>0.67820758895614941</v>
      </c>
      <c r="K65" s="227">
        <f>IFERROR(VLOOKUP($B65,MMWR_TRAD_AGG_RO_COMP[],K$1,0),"ERROR")</f>
        <v>3112</v>
      </c>
      <c r="L65" s="228">
        <f>IFERROR(VLOOKUP($B65,MMWR_TRAD_AGG_RO_COMP[],L$1,0),"ERROR")</f>
        <v>3030</v>
      </c>
      <c r="M65" s="225">
        <f t="shared" si="2"/>
        <v>0.9736503856041131</v>
      </c>
      <c r="N65" s="227">
        <f>IFERROR(VLOOKUP($B65,MMWR_TRAD_AGG_RO_COMP[],N$1,0),"ERROR")</f>
        <v>559</v>
      </c>
      <c r="O65" s="228">
        <f>IFERROR(VLOOKUP($B65,MMWR_TRAD_AGG_RO_COMP[],O$1,0),"ERROR")</f>
        <v>338</v>
      </c>
      <c r="P65" s="225">
        <f t="shared" si="3"/>
        <v>0.60465116279069764</v>
      </c>
      <c r="Q65" s="229">
        <f>IFERROR(VLOOKUP($B65,MMWR_TRAD_AGG_RO_COMP[],Q$1,0),"ERROR")</f>
        <v>75</v>
      </c>
      <c r="R65" s="229">
        <f>IFERROR(VLOOKUP($B65,MMWR_TRAD_AGG_RO_COMP[],R$1,0),"ERROR")</f>
        <v>255</v>
      </c>
      <c r="S65" s="203">
        <f>IFERROR(VLOOKUP($B65,MMWR_APP_RO[],S$1,0),"ERROR")</f>
        <v>4636</v>
      </c>
      <c r="T65" s="28"/>
    </row>
    <row r="66" spans="1:20" x14ac:dyDescent="0.2">
      <c r="A66" s="28"/>
      <c r="B66" s="108" t="s">
        <v>60</v>
      </c>
      <c r="C66" s="221">
        <f>IFERROR(VLOOKUP($B66,MMWR_TRAD_AGG_RO_COMP[],C$1,0),"ERROR")</f>
        <v>12426</v>
      </c>
      <c r="D66" s="222">
        <f>IFERROR(VLOOKUP($B66,MMWR_TRAD_AGG_RO_COMP[],D$1,0),"ERROR")</f>
        <v>362.8360695316</v>
      </c>
      <c r="E66" s="223">
        <f>IFERROR(VLOOKUP($B66,MMWR_TRAD_AGG_RO_COMP[],E$1,0),"ERROR")</f>
        <v>7663</v>
      </c>
      <c r="F66" s="224">
        <f>IFERROR(VLOOKUP($B66,MMWR_TRAD_AGG_RO_COMP[],F$1,0),"ERROR")</f>
        <v>877</v>
      </c>
      <c r="G66" s="225">
        <f t="shared" si="0"/>
        <v>0.11444603941015268</v>
      </c>
      <c r="H66" s="226">
        <f>IFERROR(VLOOKUP($B66,MMWR_TRAD_AGG_RO_COMP[],H$1,0),"ERROR")</f>
        <v>14005</v>
      </c>
      <c r="I66" s="224">
        <f>IFERROR(VLOOKUP($B66,MMWR_TRAD_AGG_RO_COMP[],I$1,0),"ERROR")</f>
        <v>9870</v>
      </c>
      <c r="J66" s="225">
        <f t="shared" si="1"/>
        <v>0.70474830417707957</v>
      </c>
      <c r="K66" s="227">
        <f>IFERROR(VLOOKUP($B66,MMWR_TRAD_AGG_RO_COMP[],K$1,0),"ERROR")</f>
        <v>4194</v>
      </c>
      <c r="L66" s="228">
        <f>IFERROR(VLOOKUP($B66,MMWR_TRAD_AGG_RO_COMP[],L$1,0),"ERROR")</f>
        <v>3851</v>
      </c>
      <c r="M66" s="225">
        <f t="shared" si="2"/>
        <v>0.91821649976156416</v>
      </c>
      <c r="N66" s="227">
        <f>IFERROR(VLOOKUP($B66,MMWR_TRAD_AGG_RO_COMP[],N$1,0),"ERROR")</f>
        <v>1930</v>
      </c>
      <c r="O66" s="228">
        <f>IFERROR(VLOOKUP($B66,MMWR_TRAD_AGG_RO_COMP[],O$1,0),"ERROR")</f>
        <v>1435</v>
      </c>
      <c r="P66" s="225">
        <f t="shared" si="3"/>
        <v>0.74352331606217614</v>
      </c>
      <c r="Q66" s="229">
        <f>IFERROR(VLOOKUP($B66,MMWR_TRAD_AGG_RO_COMP[],Q$1,0),"ERROR")</f>
        <v>3</v>
      </c>
      <c r="R66" s="229">
        <f>IFERROR(VLOOKUP($B66,MMWR_TRAD_AGG_RO_COMP[],R$1,0),"ERROR")</f>
        <v>372</v>
      </c>
      <c r="S66" s="203">
        <f>IFERROR(VLOOKUP($B66,MMWR_APP_RO[],S$1,0),"ERROR")</f>
        <v>10157</v>
      </c>
      <c r="T66" s="28"/>
    </row>
    <row r="67" spans="1:20" x14ac:dyDescent="0.2">
      <c r="A67" s="28"/>
      <c r="B67" s="108" t="s">
        <v>61</v>
      </c>
      <c r="C67" s="221">
        <f>IFERROR(VLOOKUP($B67,MMWR_TRAD_AGG_RO_COMP[],C$1,0),"ERROR")</f>
        <v>6417</v>
      </c>
      <c r="D67" s="222">
        <f>IFERROR(VLOOKUP($B67,MMWR_TRAD_AGG_RO_COMP[],D$1,0),"ERROR")</f>
        <v>217.3032569737</v>
      </c>
      <c r="E67" s="223">
        <f>IFERROR(VLOOKUP($B67,MMWR_TRAD_AGG_RO_COMP[],E$1,0),"ERROR")</f>
        <v>8721</v>
      </c>
      <c r="F67" s="224">
        <f>IFERROR(VLOOKUP($B67,MMWR_TRAD_AGG_RO_COMP[],F$1,0),"ERROR")</f>
        <v>1841</v>
      </c>
      <c r="G67" s="225">
        <f t="shared" si="0"/>
        <v>0.21109964453617705</v>
      </c>
      <c r="H67" s="226">
        <f>IFERROR(VLOOKUP($B67,MMWR_TRAD_AGG_RO_COMP[],H$1,0),"ERROR")</f>
        <v>9973</v>
      </c>
      <c r="I67" s="224">
        <f>IFERROR(VLOOKUP($B67,MMWR_TRAD_AGG_RO_COMP[],I$1,0),"ERROR")</f>
        <v>5277</v>
      </c>
      <c r="J67" s="225">
        <f t="shared" si="1"/>
        <v>0.52912864734783915</v>
      </c>
      <c r="K67" s="227">
        <f>IFERROR(VLOOKUP($B67,MMWR_TRAD_AGG_RO_COMP[],K$1,0),"ERROR")</f>
        <v>1889</v>
      </c>
      <c r="L67" s="228">
        <f>IFERROR(VLOOKUP($B67,MMWR_TRAD_AGG_RO_COMP[],L$1,0),"ERROR")</f>
        <v>1660</v>
      </c>
      <c r="M67" s="225">
        <f t="shared" si="2"/>
        <v>0.87877183695076755</v>
      </c>
      <c r="N67" s="227">
        <f>IFERROR(VLOOKUP($B67,MMWR_TRAD_AGG_RO_COMP[],N$1,0),"ERROR")</f>
        <v>1502</v>
      </c>
      <c r="O67" s="228">
        <f>IFERROR(VLOOKUP($B67,MMWR_TRAD_AGG_RO_COMP[],O$1,0),"ERROR")</f>
        <v>1151</v>
      </c>
      <c r="P67" s="225">
        <f t="shared" si="3"/>
        <v>0.76631158455392812</v>
      </c>
      <c r="Q67" s="229">
        <f>IFERROR(VLOOKUP($B67,MMWR_TRAD_AGG_RO_COMP[],Q$1,0),"ERROR")</f>
        <v>5</v>
      </c>
      <c r="R67" s="229">
        <f>IFERROR(VLOOKUP($B67,MMWR_TRAD_AGG_RO_COMP[],R$1,0),"ERROR")</f>
        <v>222</v>
      </c>
      <c r="S67" s="203">
        <f>IFERROR(VLOOKUP($B67,MMWR_APP_RO[],S$1,0),"ERROR")</f>
        <v>6333</v>
      </c>
      <c r="T67" s="28"/>
    </row>
    <row r="68" spans="1:20" x14ac:dyDescent="0.2">
      <c r="A68" s="28"/>
      <c r="B68" s="108" t="s">
        <v>75</v>
      </c>
      <c r="C68" s="221">
        <f>IFERROR(VLOOKUP($B68,MMWR_TRAD_AGG_RO_COMP[],C$1,0),"ERROR")</f>
        <v>2168</v>
      </c>
      <c r="D68" s="222">
        <f>IFERROR(VLOOKUP($B68,MMWR_TRAD_AGG_RO_COMP[],D$1,0),"ERROR")</f>
        <v>250.5387453875</v>
      </c>
      <c r="E68" s="223">
        <f>IFERROR(VLOOKUP($B68,MMWR_TRAD_AGG_RO_COMP[],E$1,0),"ERROR")</f>
        <v>2966</v>
      </c>
      <c r="F68" s="224">
        <f>IFERROR(VLOOKUP($B68,MMWR_TRAD_AGG_RO_COMP[],F$1,0),"ERROR")</f>
        <v>644</v>
      </c>
      <c r="G68" s="225">
        <f t="shared" si="0"/>
        <v>0.21712744436952125</v>
      </c>
      <c r="H68" s="226">
        <f>IFERROR(VLOOKUP($B68,MMWR_TRAD_AGG_RO_COMP[],H$1,0),"ERROR")</f>
        <v>3569</v>
      </c>
      <c r="I68" s="224">
        <f>IFERROR(VLOOKUP($B68,MMWR_TRAD_AGG_RO_COMP[],I$1,0),"ERROR")</f>
        <v>2535</v>
      </c>
      <c r="J68" s="225">
        <f t="shared" si="1"/>
        <v>0.71028299243485571</v>
      </c>
      <c r="K68" s="227">
        <f>IFERROR(VLOOKUP($B68,MMWR_TRAD_AGG_RO_COMP[],K$1,0),"ERROR")</f>
        <v>685</v>
      </c>
      <c r="L68" s="228">
        <f>IFERROR(VLOOKUP($B68,MMWR_TRAD_AGG_RO_COMP[],L$1,0),"ERROR")</f>
        <v>624</v>
      </c>
      <c r="M68" s="225">
        <f t="shared" si="2"/>
        <v>0.910948905109489</v>
      </c>
      <c r="N68" s="227">
        <f>IFERROR(VLOOKUP($B68,MMWR_TRAD_AGG_RO_COMP[],N$1,0),"ERROR")</f>
        <v>878</v>
      </c>
      <c r="O68" s="228">
        <f>IFERROR(VLOOKUP($B68,MMWR_TRAD_AGG_RO_COMP[],O$1,0),"ERROR")</f>
        <v>533</v>
      </c>
      <c r="P68" s="225">
        <f t="shared" si="3"/>
        <v>0.6070615034168565</v>
      </c>
      <c r="Q68" s="229">
        <f>IFERROR(VLOOKUP($B68,MMWR_TRAD_AGG_RO_COMP[],Q$1,0),"ERROR")</f>
        <v>0</v>
      </c>
      <c r="R68" s="229">
        <f>IFERROR(VLOOKUP($B68,MMWR_TRAD_AGG_RO_COMP[],R$1,0),"ERROR")</f>
        <v>5</v>
      </c>
      <c r="S68" s="203">
        <f>IFERROR(VLOOKUP($B68,MMWR_APP_RO[],S$1,0),"ERROR")</f>
        <v>6185</v>
      </c>
      <c r="T68" s="28"/>
    </row>
    <row r="69" spans="1:20" x14ac:dyDescent="0.2">
      <c r="A69" s="28"/>
      <c r="B69" s="116" t="s">
        <v>80</v>
      </c>
      <c r="C69" s="230">
        <f>IFERROR(VLOOKUP($B69,MMWR_TRAD_AGG_RO_COMP[],C$1,0),"ERROR")</f>
        <v>15141</v>
      </c>
      <c r="D69" s="231">
        <f>IFERROR(VLOOKUP($B69,MMWR_TRAD_AGG_RO_COMP[],D$1,0),"ERROR")</f>
        <v>294.96942077800003</v>
      </c>
      <c r="E69" s="232">
        <f>IFERROR(VLOOKUP($B69,MMWR_TRAD_AGG_RO_COMP[],E$1,0),"ERROR")</f>
        <v>21551</v>
      </c>
      <c r="F69" s="233">
        <f>IFERROR(VLOOKUP($B69,MMWR_TRAD_AGG_RO_COMP[],F$1,0),"ERROR")</f>
        <v>5357</v>
      </c>
      <c r="G69" s="234">
        <f t="shared" si="0"/>
        <v>0.24857315205790914</v>
      </c>
      <c r="H69" s="235">
        <f>IFERROR(VLOOKUP($B69,MMWR_TRAD_AGG_RO_COMP[],H$1,0),"ERROR")</f>
        <v>18714</v>
      </c>
      <c r="I69" s="233">
        <f>IFERROR(VLOOKUP($B69,MMWR_TRAD_AGG_RO_COMP[],I$1,0),"ERROR")</f>
        <v>11116</v>
      </c>
      <c r="J69" s="234">
        <f t="shared" si="1"/>
        <v>0.59399380143208291</v>
      </c>
      <c r="K69" s="236">
        <f>IFERROR(VLOOKUP($B69,MMWR_TRAD_AGG_RO_COMP[],K$1,0),"ERROR")</f>
        <v>2502</v>
      </c>
      <c r="L69" s="237">
        <f>IFERROR(VLOOKUP($B69,MMWR_TRAD_AGG_RO_COMP[],L$1,0),"ERROR")</f>
        <v>1658</v>
      </c>
      <c r="M69" s="234">
        <f t="shared" si="2"/>
        <v>0.66266986410871298</v>
      </c>
      <c r="N69" s="236">
        <f>IFERROR(VLOOKUP($B69,MMWR_TRAD_AGG_RO_COMP[],N$1,0),"ERROR")</f>
        <v>9719</v>
      </c>
      <c r="O69" s="237">
        <f>IFERROR(VLOOKUP($B69,MMWR_TRAD_AGG_RO_COMP[],O$1,0),"ERROR")</f>
        <v>5799</v>
      </c>
      <c r="P69" s="234">
        <f t="shared" si="3"/>
        <v>0.59666632369585348</v>
      </c>
      <c r="Q69" s="238">
        <f>IFERROR(VLOOKUP($B69,MMWR_TRAD_AGG_RO_COMP[],Q$1,0),"ERROR")</f>
        <v>14</v>
      </c>
      <c r="R69" s="238">
        <f>IFERROR(VLOOKUP($B69,MMWR_TRAD_AGG_RO_COMP[],R$1,0),"ERROR")</f>
        <v>250</v>
      </c>
      <c r="S69" s="203">
        <f>IFERROR(VLOOKUP($B69,MMWR_APP_RO[],S$1,0),"ERROR")</f>
        <v>28726</v>
      </c>
      <c r="T69" s="28"/>
    </row>
    <row r="70" spans="1:20" x14ac:dyDescent="0.2">
      <c r="A70" s="28"/>
      <c r="B70" s="101" t="s">
        <v>8</v>
      </c>
      <c r="C70" s="214">
        <f>IFERROR(VLOOKUP($B70,MMWR_TRAD_AGG_RO_COMP[],C$1,0),"ERROR")</f>
        <v>49</v>
      </c>
      <c r="D70" s="199">
        <f>IFERROR(VLOOKUP($B70,MMWR_TRAD_AGG_RO_COMP[],D$1,0),"ERROR")</f>
        <v>828.32653061220003</v>
      </c>
      <c r="E70" s="215">
        <f>IFERROR(VLOOKUP($B70,MMWR_TRAD_AGG_RO_COMP[],E$1,0),"ERROR")</f>
        <v>1</v>
      </c>
      <c r="F70" s="220">
        <f>IFERROR(VLOOKUP($B70,MMWR_TRAD_AGG_RO_COMP[],F$1,0),"ERROR")</f>
        <v>0</v>
      </c>
      <c r="G70" s="216">
        <f>IFERROR(F70/E70,"0%")</f>
        <v>0</v>
      </c>
      <c r="H70" s="220">
        <f>IFERROR(VLOOKUP($B70,MMWR_TRAD_AGG_RO_COMP[],H$1,0),"ERROR")</f>
        <v>51</v>
      </c>
      <c r="I70" s="220">
        <f>IFERROR(VLOOKUP($B70,MMWR_TRAD_AGG_RO_COMP[],I$1,0),"ERROR")</f>
        <v>51</v>
      </c>
      <c r="J70" s="216">
        <f>IFERROR(I70/H70,"0%")</f>
        <v>1</v>
      </c>
      <c r="K70" s="214">
        <f>IFERROR(VLOOKUP($B70,MMWR_TRAD_AGG_RO_COMP[],K$1,0),"ERROR")</f>
        <v>2</v>
      </c>
      <c r="L70" s="214">
        <f>IFERROR(VLOOKUP($B70,MMWR_TRAD_AGG_RO_COMP[],L$1,0),"ERROR")</f>
        <v>1</v>
      </c>
      <c r="M70" s="216">
        <f>IFERROR(L70/K70,"0%")</f>
        <v>0.5</v>
      </c>
      <c r="N70" s="214">
        <f>IFERROR(VLOOKUP($B70,MMWR_TRAD_AGG_RO_COMP[],N$1,0),"ERROR")</f>
        <v>22762</v>
      </c>
      <c r="O70" s="214">
        <f>IFERROR(VLOOKUP($B70,MMWR_TRAD_AGG_RO_COMP[],O$1,0),"ERROR")</f>
        <v>7858</v>
      </c>
      <c r="P70" s="216">
        <f>IFERROR(O70/N70,"0%")</f>
        <v>0.34522449696863194</v>
      </c>
      <c r="Q70" s="214">
        <f>IFERROR(VLOOKUP($B70,MMWR_TRAD_AGG_RO_COMP[],Q$1,0),"ERROR")</f>
        <v>0</v>
      </c>
      <c r="R70" s="217">
        <f>IFERROR(VLOOKUP($B70,MMWR_TRAD_AGG_RO_COMP[],R$1,0),"ERROR")</f>
        <v>0</v>
      </c>
      <c r="S70" s="217">
        <f>IFERROR(VLOOKUP($B70,MMWR_APP_RO[],S$1,0),"ERROR")</f>
        <v>12417</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494</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231</v>
      </c>
      <c r="D73" s="457"/>
      <c r="E73" s="458" t="s">
        <v>211</v>
      </c>
      <c r="F73" s="459"/>
      <c r="G73" s="460"/>
      <c r="H73" s="458" t="s">
        <v>7</v>
      </c>
      <c r="I73" s="459"/>
      <c r="J73" s="460"/>
      <c r="K73" s="458" t="s">
        <v>33</v>
      </c>
      <c r="L73" s="459"/>
      <c r="M73" s="460"/>
      <c r="N73" s="458" t="s">
        <v>8</v>
      </c>
      <c r="O73" s="459"/>
      <c r="P73" s="460"/>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495</v>
      </c>
      <c r="T74" s="28"/>
    </row>
    <row r="75" spans="1:20" x14ac:dyDescent="0.2">
      <c r="A75" s="25"/>
      <c r="B75" s="101" t="s">
        <v>469</v>
      </c>
      <c r="C75" s="239">
        <f>IFERROR(VLOOKUP($B75,MMWR_TRAD_AGG_RO_PEN[],C$1,0),"ERROR")</f>
        <v>16477</v>
      </c>
      <c r="D75" s="240">
        <f>IFERROR(VLOOKUP($B75,MMWR_TRAD_AGG_RO_PEN[],D$1,0),"ERROR")</f>
        <v>93.166049645000001</v>
      </c>
      <c r="E75" s="239">
        <f>IFERROR(VLOOKUP($B75,MMWR_TRAD_AGG_RO_PEN[],E$1,0),"ERROR")</f>
        <v>27180</v>
      </c>
      <c r="F75" s="239">
        <f>IFERROR(VLOOKUP($B75,MMWR_TRAD_AGG_RO_PEN[],F$1,0),"ERROR")</f>
        <v>4069</v>
      </c>
      <c r="G75" s="241">
        <f>IFERROR(F75/E75,"0%")</f>
        <v>0.14970566593083148</v>
      </c>
      <c r="H75" s="239">
        <f>IFERROR(VLOOKUP($B75,MMWR_TRAD_AGG_RO_PEN[],H$1,0),"ERROR")</f>
        <v>27751</v>
      </c>
      <c r="I75" s="239">
        <f>IFERROR(VLOOKUP($B75,MMWR_TRAD_AGG_RO_PEN[],I$1,0),"ERROR")</f>
        <v>6501</v>
      </c>
      <c r="J75" s="241">
        <f>IFERROR(I75/H75,"0%")</f>
        <v>0.23426182840258009</v>
      </c>
      <c r="K75" s="239">
        <f>IFERROR(VLOOKUP($B75,MMWR_TRAD_AGG_RO_PEN[],K$1,0),"ERROR")</f>
        <v>686</v>
      </c>
      <c r="L75" s="239">
        <f>IFERROR(VLOOKUP($B75,MMWR_TRAD_AGG_RO_PEN[],L$1,0),"ERROR")</f>
        <v>632</v>
      </c>
      <c r="M75" s="241">
        <f>IFERROR(L75/K75,"0%")</f>
        <v>0.92128279883381925</v>
      </c>
      <c r="N75" s="239">
        <f>IFERROR(VLOOKUP($B75,MMWR_TRAD_AGG_RO_PEN[],N$1,0),"ERROR")</f>
        <v>1842</v>
      </c>
      <c r="O75" s="239">
        <f>IFERROR(VLOOKUP($B75,MMWR_TRAD_AGG_RO_PEN[],O$1,0),"ERROR")</f>
        <v>630</v>
      </c>
      <c r="P75" s="241">
        <f>IFERROR(O75/N75,"0%")</f>
        <v>0.34201954397394135</v>
      </c>
      <c r="Q75" s="239">
        <f>IFERROR(VLOOKUP($B75,MMWR_TRAD_AGG_RO_PEN[],Q$1,0),"ERROR")</f>
        <v>10226</v>
      </c>
      <c r="R75" s="242">
        <f>IFERROR(VLOOKUP($B75,MMWR_TRAD_AGG_RO_PEN[],R$1,0),"ERROR")</f>
        <v>5186</v>
      </c>
      <c r="S75" s="242">
        <f>IFERROR(VLOOKUP($B75,MMWR_APP_RO[],S$1,0),"ERROR")</f>
        <v>5417</v>
      </c>
      <c r="T75" s="28"/>
    </row>
    <row r="76" spans="1:20" x14ac:dyDescent="0.2">
      <c r="A76" s="107"/>
      <c r="B76" s="122" t="s">
        <v>216</v>
      </c>
      <c r="C76" s="243">
        <f>IFERROR(VLOOKUP($B76,MMWR_TRAD_AGG_RO_PEN[],C$1,0),"ERROR")</f>
        <v>11719</v>
      </c>
      <c r="D76" s="244">
        <f>IFERROR(VLOOKUP($B76,MMWR_TRAD_AGG_RO_PEN[],D$1,0),"ERROR")</f>
        <v>109.4938987968</v>
      </c>
      <c r="E76" s="243">
        <f>IFERROR(VLOOKUP($B76,MMWR_TRAD_AGG_RO_PEN[],E$1,0),"ERROR")</f>
        <v>12852</v>
      </c>
      <c r="F76" s="243">
        <f>IFERROR(VLOOKUP($B76,MMWR_TRAD_AGG_RO_PEN[],F$1,0),"ERROR")</f>
        <v>3421</v>
      </c>
      <c r="G76" s="225">
        <f>IFERROR(F76/E76,"0%")</f>
        <v>0.2661842514783691</v>
      </c>
      <c r="H76" s="243">
        <f>IFERROR(VLOOKUP($B76,MMWR_TRAD_AGG_RO_PEN[],H$1,0),"ERROR")</f>
        <v>18112</v>
      </c>
      <c r="I76" s="243">
        <f>IFERROR(VLOOKUP($B76,MMWR_TRAD_AGG_RO_PEN[],I$1,0),"ERROR")</f>
        <v>5506</v>
      </c>
      <c r="J76" s="225">
        <f>IFERROR(I76/H76,"0%")</f>
        <v>0.30399734982332155</v>
      </c>
      <c r="K76" s="243">
        <f>IFERROR(VLOOKUP($B76,MMWR_TRAD_AGG_RO_PEN[],K$1,0),"ERROR")</f>
        <v>389</v>
      </c>
      <c r="L76" s="243">
        <f>IFERROR(VLOOKUP($B76,MMWR_TRAD_AGG_RO_PEN[],L$1,0),"ERROR")</f>
        <v>365</v>
      </c>
      <c r="M76" s="225">
        <f>IFERROR(L76/K76,"0%")</f>
        <v>0.93830334190231357</v>
      </c>
      <c r="N76" s="243">
        <f>IFERROR(VLOOKUP($B76,MMWR_TRAD_AGG_RO_PEN[],N$1,0),"ERROR")</f>
        <v>1159</v>
      </c>
      <c r="O76" s="243">
        <f>IFERROR(VLOOKUP($B76,MMWR_TRAD_AGG_RO_PEN[],O$1,0),"ERROR")</f>
        <v>336</v>
      </c>
      <c r="P76" s="225">
        <f>IFERROR(O76/N76,"0%")</f>
        <v>0.28990509059534081</v>
      </c>
      <c r="Q76" s="243">
        <f>IFERROR(VLOOKUP($B76,MMWR_TRAD_AGG_RO_PEN[],Q$1,0),"ERROR")</f>
        <v>1360</v>
      </c>
      <c r="R76" s="243">
        <f>IFERROR(VLOOKUP($B76,MMWR_TRAD_AGG_RO_PEN[],R$1,0),"ERROR")</f>
        <v>3752</v>
      </c>
      <c r="S76" s="245">
        <f>IFERROR(VLOOKUP($B76,MMWR_APP_RO[],S$1,0),"ERROR")</f>
        <v>2683</v>
      </c>
      <c r="T76" s="28"/>
    </row>
    <row r="77" spans="1:20" x14ac:dyDescent="0.2">
      <c r="A77" s="107"/>
      <c r="B77" s="122" t="s">
        <v>215</v>
      </c>
      <c r="C77" s="243">
        <f>IFERROR(VLOOKUP($B77,MMWR_TRAD_AGG_RO_PEN[],C$1,0),"ERROR")</f>
        <v>2975</v>
      </c>
      <c r="D77" s="244">
        <f>IFERROR(VLOOKUP($B77,MMWR_TRAD_AGG_RO_PEN[],D$1,0),"ERROR")</f>
        <v>63.097815126100002</v>
      </c>
      <c r="E77" s="243">
        <f>IFERROR(VLOOKUP($B77,MMWR_TRAD_AGG_RO_PEN[],E$1,0),"ERROR")</f>
        <v>7139</v>
      </c>
      <c r="F77" s="243">
        <f>IFERROR(VLOOKUP($B77,MMWR_TRAD_AGG_RO_PEN[],F$1,0),"ERROR")</f>
        <v>389</v>
      </c>
      <c r="G77" s="225">
        <f>IFERROR(F77/E77,"0%")</f>
        <v>5.4489424289116122E-2</v>
      </c>
      <c r="H77" s="243">
        <f>IFERROR(VLOOKUP($B77,MMWR_TRAD_AGG_RO_PEN[],H$1,0),"ERROR")</f>
        <v>5630</v>
      </c>
      <c r="I77" s="243">
        <f>IFERROR(VLOOKUP($B77,MMWR_TRAD_AGG_RO_PEN[],I$1,0),"ERROR")</f>
        <v>326</v>
      </c>
      <c r="J77" s="225">
        <f>IFERROR(I77/H77,"0%")</f>
        <v>5.7904085257548844E-2</v>
      </c>
      <c r="K77" s="243">
        <f>IFERROR(VLOOKUP($B77,MMWR_TRAD_AGG_RO_PEN[],K$1,0),"ERROR")</f>
        <v>10</v>
      </c>
      <c r="L77" s="243">
        <f>IFERROR(VLOOKUP($B77,MMWR_TRAD_AGG_RO_PEN[],L$1,0),"ERROR")</f>
        <v>10</v>
      </c>
      <c r="M77" s="225">
        <f>IFERROR(L77/K77,"0%")</f>
        <v>1</v>
      </c>
      <c r="N77" s="243">
        <f>IFERROR(VLOOKUP($B77,MMWR_TRAD_AGG_RO_PEN[],N$1,0),"ERROR")</f>
        <v>316</v>
      </c>
      <c r="O77" s="243">
        <f>IFERROR(VLOOKUP($B77,MMWR_TRAD_AGG_RO_PEN[],O$1,0),"ERROR")</f>
        <v>42</v>
      </c>
      <c r="P77" s="225">
        <f>IFERROR(O77/N77,"0%")</f>
        <v>0.13291139240506328</v>
      </c>
      <c r="Q77" s="243">
        <f>IFERROR(VLOOKUP($B77,MMWR_TRAD_AGG_RO_PEN[],Q$1,0),"ERROR")</f>
        <v>4077</v>
      </c>
      <c r="R77" s="243">
        <f>IFERROR(VLOOKUP($B77,MMWR_TRAD_AGG_RO_PEN[],R$1,0),"ERROR")</f>
        <v>511</v>
      </c>
      <c r="S77" s="245">
        <f>IFERROR(VLOOKUP($B77,MMWR_APP_RO[],S$1,0),"ERROR")</f>
        <v>1909</v>
      </c>
      <c r="T77" s="28"/>
    </row>
    <row r="78" spans="1:20" x14ac:dyDescent="0.2">
      <c r="A78" s="107"/>
      <c r="B78" s="122" t="s">
        <v>218</v>
      </c>
      <c r="C78" s="243">
        <f>IFERROR(VLOOKUP($B78,MMWR_TRAD_AGG_RO_PEN[],C$1,0),"ERROR")</f>
        <v>1783</v>
      </c>
      <c r="D78" s="244">
        <f>IFERROR(VLOOKUP($B78,MMWR_TRAD_AGG_RO_PEN[],D$1,0),"ERROR")</f>
        <v>36.019068984900002</v>
      </c>
      <c r="E78" s="243">
        <f>IFERROR(VLOOKUP($B78,MMWR_TRAD_AGG_RO_PEN[],E$1,0),"ERROR")</f>
        <v>6946</v>
      </c>
      <c r="F78" s="243">
        <f>IFERROR(VLOOKUP($B78,MMWR_TRAD_AGG_RO_PEN[],F$1,0),"ERROR")</f>
        <v>174</v>
      </c>
      <c r="G78" s="225">
        <f>IFERROR(F78/E78,"0%")</f>
        <v>2.5050388712928303E-2</v>
      </c>
      <c r="H78" s="243">
        <f>IFERROR(VLOOKUP($B78,MMWR_TRAD_AGG_RO_PEN[],H$1,0),"ERROR")</f>
        <v>3234</v>
      </c>
      <c r="I78" s="243">
        <f>IFERROR(VLOOKUP($B78,MMWR_TRAD_AGG_RO_PEN[],I$1,0),"ERROR")</f>
        <v>31</v>
      </c>
      <c r="J78" s="225">
        <f>IFERROR(I78/H78,"0%")</f>
        <v>9.5856524427953005E-3</v>
      </c>
      <c r="K78" s="243">
        <f>IFERROR(VLOOKUP($B78,MMWR_TRAD_AGG_RO_PEN[],K$1,0),"ERROR")</f>
        <v>27</v>
      </c>
      <c r="L78" s="243">
        <f>IFERROR(VLOOKUP($B78,MMWR_TRAD_AGG_RO_PEN[],L$1,0),"ERROR")</f>
        <v>1</v>
      </c>
      <c r="M78" s="225">
        <f>IFERROR(L78/K78,"0%")</f>
        <v>3.7037037037037035E-2</v>
      </c>
      <c r="N78" s="243">
        <f>IFERROR(VLOOKUP($B78,MMWR_TRAD_AGG_RO_PEN[],N$1,0),"ERROR")</f>
        <v>93</v>
      </c>
      <c r="O78" s="243">
        <f>IFERROR(VLOOKUP($B78,MMWR_TRAD_AGG_RO_PEN[],O$1,0),"ERROR")</f>
        <v>25</v>
      </c>
      <c r="P78" s="225">
        <f>IFERROR(O78/N78,"0%")</f>
        <v>0.26881720430107525</v>
      </c>
      <c r="Q78" s="243">
        <f>IFERROR(VLOOKUP($B78,MMWR_TRAD_AGG_RO_PEN[],Q$1,0),"ERROR")</f>
        <v>4673</v>
      </c>
      <c r="R78" s="243">
        <f>IFERROR(VLOOKUP($B78,MMWR_TRAD_AGG_RO_PEN[],R$1,0),"ERROR")</f>
        <v>923</v>
      </c>
      <c r="S78" s="245">
        <f>IFERROR(VLOOKUP($B78,MMWR_APP_RO[],S$1,0),"ERROR")</f>
        <v>825</v>
      </c>
      <c r="T78" s="28"/>
    </row>
    <row r="79" spans="1:20" x14ac:dyDescent="0.2">
      <c r="A79" s="92"/>
      <c r="B79" s="101" t="s">
        <v>230</v>
      </c>
      <c r="C79" s="220">
        <f>IFERROR(VLOOKUP($B79,MMWR_TRAD_AGG_RO_PEN[],C$1,0),"ERROR")</f>
        <v>0</v>
      </c>
      <c r="D79" s="191">
        <f>IFERROR(VLOOKUP($B79,MMWR_TRAD_AGG_RO_PEN[],D$1,0),"ERROR")</f>
        <v>0</v>
      </c>
      <c r="E79" s="220">
        <f>IFERROR(VLOOKUP($B79,MMWR_TRAD_AGG_RO_PEN[],E$1,0),"ERROR")</f>
        <v>243</v>
      </c>
      <c r="F79" s="220">
        <f>IFERROR(VLOOKUP($B79,MMWR_TRAD_AGG_RO_PEN[],F$1,0),"ERROR")</f>
        <v>85</v>
      </c>
      <c r="G79" s="216">
        <f>IFERROR(F79/E79,"0%")</f>
        <v>0.34979423868312759</v>
      </c>
      <c r="H79" s="220">
        <f>IFERROR(VLOOKUP($B79,MMWR_TRAD_AGG_RO_PEN[],H$1,0),"ERROR")</f>
        <v>775</v>
      </c>
      <c r="I79" s="220">
        <f>IFERROR(VLOOKUP($B79,MMWR_TRAD_AGG_RO_PEN[],I$1,0),"ERROR")</f>
        <v>638</v>
      </c>
      <c r="J79" s="216">
        <f>IFERROR(I79/H79,"0%")</f>
        <v>0.82322580645161292</v>
      </c>
      <c r="K79" s="220">
        <f>IFERROR(VLOOKUP($B79,MMWR_TRAD_AGG_RO_PEN[],K$1,0),"ERROR")</f>
        <v>260</v>
      </c>
      <c r="L79" s="220">
        <f>IFERROR(VLOOKUP($B79,MMWR_TRAD_AGG_RO_PEN[],L$1,0),"ERROR")</f>
        <v>256</v>
      </c>
      <c r="M79" s="216">
        <f>IFERROR(L79/K79,"0%")</f>
        <v>0.98461538461538467</v>
      </c>
      <c r="N79" s="220">
        <f>IFERROR(VLOOKUP($B79,MMWR_TRAD_AGG_RO_PEN[],N$1,0),"ERROR")</f>
        <v>274</v>
      </c>
      <c r="O79" s="220">
        <f>IFERROR(VLOOKUP($B79,MMWR_TRAD_AGG_RO_PEN[],O$1,0),"ERROR")</f>
        <v>227</v>
      </c>
      <c r="P79" s="216">
        <f>IFERROR(O79/N79,"0%")</f>
        <v>0.82846715328467158</v>
      </c>
      <c r="Q79" s="220">
        <f>IFERROR(VLOOKUP($B79,MMWR_TRAD_AGG_RO_PEN[],Q$1,0),"ERROR")</f>
        <v>116</v>
      </c>
      <c r="R79" s="246">
        <f>IFERROR(VLOOKUP($B79,MMWR_TRAD_AGG_RO_PEN[],R$1,0),"ERROR")</f>
        <v>0</v>
      </c>
      <c r="S79" s="246"/>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OCTOBER 03, 2015</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231</v>
      </c>
      <c r="D3" s="461"/>
      <c r="E3" s="458" t="s">
        <v>211</v>
      </c>
      <c r="F3" s="459"/>
      <c r="G3" s="460"/>
      <c r="H3" s="458" t="s">
        <v>7</v>
      </c>
      <c r="I3" s="459"/>
      <c r="J3" s="460"/>
      <c r="K3" s="458" t="s">
        <v>33</v>
      </c>
      <c r="L3" s="459"/>
      <c r="M3" s="460"/>
      <c r="N3" s="458" t="s">
        <v>8</v>
      </c>
      <c r="O3" s="459"/>
      <c r="P3" s="460"/>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495</v>
      </c>
      <c r="T4" s="28"/>
    </row>
    <row r="5" spans="1:20" s="123" customFormat="1" ht="26.25" x14ac:dyDescent="0.4">
      <c r="A5" s="25"/>
      <c r="B5" s="124"/>
      <c r="C5" s="453" t="s">
        <v>493</v>
      </c>
      <c r="D5" s="454"/>
      <c r="E5" s="454"/>
      <c r="F5" s="454"/>
      <c r="G5" s="454"/>
      <c r="H5" s="454"/>
      <c r="I5" s="454"/>
      <c r="J5" s="454"/>
      <c r="K5" s="454"/>
      <c r="L5" s="454"/>
      <c r="M5" s="454"/>
      <c r="N5" s="454"/>
      <c r="O5" s="454"/>
      <c r="P5" s="454"/>
      <c r="Q5" s="454"/>
      <c r="R5" s="454"/>
      <c r="S5" s="455"/>
      <c r="T5" s="28"/>
    </row>
    <row r="6" spans="1:20" s="123" customFormat="1" x14ac:dyDescent="0.2">
      <c r="A6" s="92"/>
      <c r="B6" s="125" t="s">
        <v>468</v>
      </c>
      <c r="C6" s="94">
        <f>IFERROR(VLOOKUP($B6,MMWR_TRAD_AGG_ST_DISTRICT_COMP[],C$1,0),"ERROR")</f>
        <v>342787</v>
      </c>
      <c r="D6" s="95">
        <f>IFERROR(VLOOKUP($B6,MMWR_TRAD_AGG_ST_DISTRICT_COMP[],D$1,0),"ERROR")</f>
        <v>373.9802442916</v>
      </c>
      <c r="E6" s="96">
        <f>IFERROR(VLOOKUP($B6,MMWR_TRAD_AGG_ST_DISTRICT_COMP[],E$1,0),"ERROR")</f>
        <v>340897</v>
      </c>
      <c r="F6" s="97">
        <f>IFERROR(VLOOKUP($B6,MMWR_TRAD_AGG_ST_DISTRICT_COMP[],F$1,0),"ERROR")</f>
        <v>70488</v>
      </c>
      <c r="G6" s="98">
        <f t="shared" ref="G6:G37" si="0">IFERROR(F6/E6,"0%")</f>
        <v>0.20677213351833545</v>
      </c>
      <c r="H6" s="96">
        <f>IFERROR(VLOOKUP($B6,MMWR_TRAD_AGG_ST_DISTRICT_COMP[],H$1,0),"ERROR")</f>
        <v>489656</v>
      </c>
      <c r="I6" s="97">
        <f>IFERROR(VLOOKUP($B6,MMWR_TRAD_AGG_ST_DISTRICT_COMP[],I$1,0),"ERROR")</f>
        <v>306567</v>
      </c>
      <c r="J6" s="99">
        <f t="shared" ref="J6:J37" si="1">IFERROR(I6/H6,"0%")</f>
        <v>0.6260864770369402</v>
      </c>
      <c r="K6" s="96">
        <f>IFERROR(VLOOKUP($B6,MMWR_TRAD_AGG_ST_DISTRICT_COMP[],K$1,0),"ERROR")</f>
        <v>84653</v>
      </c>
      <c r="L6" s="97">
        <f>IFERROR(VLOOKUP($B6,MMWR_TRAD_AGG_ST_DISTRICT_COMP[],L$1,0),"ERROR")</f>
        <v>72307</v>
      </c>
      <c r="M6" s="99">
        <f t="shared" ref="M6:M37" si="2">IFERROR(L6/K6,"0%")</f>
        <v>0.85415756086612404</v>
      </c>
      <c r="N6" s="96">
        <f>IFERROR(VLOOKUP($B6,MMWR_TRAD_AGG_ST_DISTRICT_COMP[],N$1,0),"ERROR")</f>
        <v>140957</v>
      </c>
      <c r="O6" s="97">
        <f>IFERROR(VLOOKUP($B6,MMWR_TRAD_AGG_ST_DISTRICT_COMP[],O$1,0),"ERROR")</f>
        <v>84214</v>
      </c>
      <c r="P6" s="99">
        <f t="shared" ref="P6:P37" si="3">IFERROR(O6/N6,"0%")</f>
        <v>0.59744461076782285</v>
      </c>
      <c r="Q6" s="100">
        <f>IFERROR(VLOOKUP($B6,MMWR_TRAD_AGG_ST_DISTRICT_COMP[],Q$1,0),"ERROR")</f>
        <v>11435</v>
      </c>
      <c r="R6" s="100">
        <f>IFERROR(VLOOKUP($B6,MMWR_TRAD_AGG_ST_DISTRICT_COMP[],R$1,0),"ERROR")</f>
        <v>4448</v>
      </c>
      <c r="S6" s="100">
        <f>S7+S23+S36+S46+S56+S64</f>
        <v>308539</v>
      </c>
      <c r="T6" s="28"/>
    </row>
    <row r="7" spans="1:20" s="123" customFormat="1" x14ac:dyDescent="0.2">
      <c r="A7" s="92"/>
      <c r="B7" s="126" t="s">
        <v>376</v>
      </c>
      <c r="C7" s="102">
        <f>IF(SUM(C8:C22)&lt;&gt;VLOOKUP($B7,MMWR_TRAD_AGG_ST_DISTRICT_COMP[],C$1,0),"ERROR",
VLOOKUP($B7,MMWR_TRAD_AGG_ST_DISTRICT_COMP[],C$1,0))</f>
        <v>74538</v>
      </c>
      <c r="D7" s="103">
        <f>IFERROR(VLOOKUP($B7,MMWR_TRAD_AGG_ST_DISTRICT_COMP[],D$1,0),"ERROR")</f>
        <v>402.08799538490001</v>
      </c>
      <c r="E7" s="102">
        <f>IF(SUM(E8:E22)&lt;&gt;VLOOKUP($B7,MMWR_TRAD_AGG_ST_DISTRICT_COMP[],E$1,0),"ERROR",
VLOOKUP($B7,MMWR_TRAD_AGG_ST_DISTRICT_COMP[],E$1,0))</f>
        <v>73618</v>
      </c>
      <c r="F7" s="102">
        <f>IFERROR(VLOOKUP($B7,MMWR_TRAD_AGG_ST_DISTRICT_COMP[],F$1,0),"ERROR")</f>
        <v>15465</v>
      </c>
      <c r="G7" s="104">
        <f t="shared" si="0"/>
        <v>0.21007090657176233</v>
      </c>
      <c r="H7" s="102">
        <f>IF(SUM(H8:H22)&lt;&gt;VLOOKUP($B7,MMWR_TRAD_AGG_ST_DISTRICT_COMP[],H$1,0),"ERROR",
VLOOKUP($B7,MMWR_TRAD_AGG_ST_DISTRICT_COMP[],H$1,0))</f>
        <v>104628</v>
      </c>
      <c r="I7" s="102">
        <f>IF(SUM(I8:I22)&lt;&gt;VLOOKUP($B7,MMWR_TRAD_AGG_ST_DISTRICT_COMP[],I$1,0),"ERROR",
VLOOKUP($B7,MMWR_TRAD_AGG_ST_DISTRICT_COMP[],I$1,0))</f>
        <v>66359</v>
      </c>
      <c r="J7" s="105">
        <f t="shared" si="1"/>
        <v>0.63423748900867838</v>
      </c>
      <c r="K7" s="102">
        <f>IF(SUM(K8:K22)&lt;&gt;VLOOKUP($B7,MMWR_TRAD_AGG_ST_DISTRICT_COMP[],K$1,0),"ERROR",
VLOOKUP($B7,MMWR_TRAD_AGG_ST_DISTRICT_COMP[],K$1,0))</f>
        <v>21167</v>
      </c>
      <c r="L7" s="102">
        <f>IF(SUM(L8:L22)&lt;&gt;VLOOKUP($B7,MMWR_TRAD_AGG_ST_DISTRICT_COMP[],L$1,0),"ERROR",
VLOOKUP($B7,MMWR_TRAD_AGG_ST_DISTRICT_COMP[],L$1,0))</f>
        <v>17881</v>
      </c>
      <c r="M7" s="105">
        <f t="shared" si="2"/>
        <v>0.84475835026220059</v>
      </c>
      <c r="N7" s="102">
        <f>IF(SUM(N8:N22)&lt;&gt;VLOOKUP($B7,MMWR_TRAD_AGG_ST_DISTRICT_COMP[],N$1,0),"ERROR",
VLOOKUP($B7,MMWR_TRAD_AGG_ST_DISTRICT_COMP[],N$1,0))</f>
        <v>33357</v>
      </c>
      <c r="O7" s="102">
        <f>IF(SUM(O8:O22)&lt;&gt;VLOOKUP($B7,MMWR_TRAD_AGG_ST_DISTRICT_COMP[],O$1,0),"ERROR",
VLOOKUP($B7,MMWR_TRAD_AGG_ST_DISTRICT_COMP[],O$1,0))</f>
        <v>21962</v>
      </c>
      <c r="P7" s="105">
        <f t="shared" si="3"/>
        <v>0.65839254129568003</v>
      </c>
      <c r="Q7" s="102">
        <f>IF(SUM(Q8:Q22)&lt;&gt;VLOOKUP($B7,MMWR_TRAD_AGG_ST_DISTRICT_COMP[],Q$1,0),"ERROR",
VLOOKUP($B7,MMWR_TRAD_AGG_ST_DISTRICT_COMP[],Q$1,0))</f>
        <v>6589</v>
      </c>
      <c r="R7" s="106">
        <f>IFERROR(VLOOKUP($B7,MMWR_TRAD_AGG_ST_DISTRICT_COMP[],R$1,0),"ERROR")</f>
        <v>168</v>
      </c>
      <c r="S7" s="106">
        <f>SUM(S8:S22)</f>
        <v>55898</v>
      </c>
      <c r="T7" s="28"/>
    </row>
    <row r="8" spans="1:20" s="123" customFormat="1" x14ac:dyDescent="0.2">
      <c r="A8" s="107"/>
      <c r="B8" s="127" t="s">
        <v>380</v>
      </c>
      <c r="C8" s="109">
        <f>IFERROR(VLOOKUP($B8,MMWR_TRAD_AGG_STATE_COMP[],C$1,0),"ERROR")</f>
        <v>1747</v>
      </c>
      <c r="D8" s="110">
        <f>IFERROR(VLOOKUP($B8,MMWR_TRAD_AGG_STATE_COMP[],D$1,0),"ERROR")</f>
        <v>273.00457927880001</v>
      </c>
      <c r="E8" s="111">
        <f>IFERROR(VLOOKUP($B8,MMWR_TRAD_AGG_STATE_COMP[],E$1,0),"ERROR")</f>
        <v>1762</v>
      </c>
      <c r="F8" s="112">
        <f>IFERROR(VLOOKUP($B8,MMWR_TRAD_AGG_STATE_COMP[],F$1,0),"ERROR")</f>
        <v>306</v>
      </c>
      <c r="G8" s="113">
        <f t="shared" si="0"/>
        <v>0.17366628830874006</v>
      </c>
      <c r="H8" s="111">
        <f>IFERROR(VLOOKUP($B8,MMWR_TRAD_AGG_STATE_COMP[],H$1,0),"ERROR")</f>
        <v>3428</v>
      </c>
      <c r="I8" s="112">
        <f>IFERROR(VLOOKUP($B8,MMWR_TRAD_AGG_STATE_COMP[],I$1,0),"ERROR")</f>
        <v>2024</v>
      </c>
      <c r="J8" s="114">
        <f t="shared" si="1"/>
        <v>0.59043173862310383</v>
      </c>
      <c r="K8" s="111">
        <f>IFERROR(VLOOKUP($B8,MMWR_TRAD_AGG_STATE_COMP[],K$1,0),"ERROR")</f>
        <v>383</v>
      </c>
      <c r="L8" s="112">
        <f>IFERROR(VLOOKUP($B8,MMWR_TRAD_AGG_STATE_COMP[],L$1,0),"ERROR")</f>
        <v>282</v>
      </c>
      <c r="M8" s="114">
        <f t="shared" si="2"/>
        <v>0.73629242819843344</v>
      </c>
      <c r="N8" s="111">
        <f>IFERROR(VLOOKUP($B8,MMWR_TRAD_AGG_STATE_COMP[],N$1,0),"ERROR")</f>
        <v>796</v>
      </c>
      <c r="O8" s="112">
        <f>IFERROR(VLOOKUP($B8,MMWR_TRAD_AGG_STATE_COMP[],O$1,0),"ERROR")</f>
        <v>511</v>
      </c>
      <c r="P8" s="114">
        <f t="shared" si="3"/>
        <v>0.64195979899497491</v>
      </c>
      <c r="Q8" s="115">
        <f>IFERROR(VLOOKUP($B8,MMWR_TRAD_AGG_STATE_COMP[],Q$1,0),"ERROR")</f>
        <v>227</v>
      </c>
      <c r="R8" s="115">
        <f>IFERROR(VLOOKUP($B8,MMWR_TRAD_AGG_STATE_COMP[],R$1,0),"ERROR")</f>
        <v>3</v>
      </c>
      <c r="S8" s="115">
        <f>IFERROR(VLOOKUP($B8,MMWR_APP_STATE_COMP[],S$1,0),"ERROR")</f>
        <v>932</v>
      </c>
      <c r="T8" s="28"/>
    </row>
    <row r="9" spans="1:20" s="123" customFormat="1" x14ac:dyDescent="0.2">
      <c r="A9" s="107"/>
      <c r="B9" s="127" t="s">
        <v>430</v>
      </c>
      <c r="C9" s="109">
        <f>IFERROR(VLOOKUP($B9,MMWR_TRAD_AGG_STATE_COMP[],C$1,0),"ERROR")</f>
        <v>1043</v>
      </c>
      <c r="D9" s="110">
        <f>IFERROR(VLOOKUP($B9,MMWR_TRAD_AGG_STATE_COMP[],D$1,0),"ERROR")</f>
        <v>362.27037392139999</v>
      </c>
      <c r="E9" s="111">
        <f>IFERROR(VLOOKUP($B9,MMWR_TRAD_AGG_STATE_COMP[],E$1,0),"ERROR")</f>
        <v>951</v>
      </c>
      <c r="F9" s="112">
        <f>IFERROR(VLOOKUP($B9,MMWR_TRAD_AGG_STATE_COMP[],F$1,0),"ERROR")</f>
        <v>242</v>
      </c>
      <c r="G9" s="113">
        <f t="shared" si="0"/>
        <v>0.25446898002103052</v>
      </c>
      <c r="H9" s="111">
        <f>IFERROR(VLOOKUP($B9,MMWR_TRAD_AGG_STATE_COMP[],H$1,0),"ERROR")</f>
        <v>1262</v>
      </c>
      <c r="I9" s="112">
        <f>IFERROR(VLOOKUP($B9,MMWR_TRAD_AGG_STATE_COMP[],I$1,0),"ERROR")</f>
        <v>705</v>
      </c>
      <c r="J9" s="114">
        <f t="shared" si="1"/>
        <v>0.55863708399366085</v>
      </c>
      <c r="K9" s="111">
        <f>IFERROR(VLOOKUP($B9,MMWR_TRAD_AGG_STATE_COMP[],K$1,0),"ERROR")</f>
        <v>64</v>
      </c>
      <c r="L9" s="112">
        <f>IFERROR(VLOOKUP($B9,MMWR_TRAD_AGG_STATE_COMP[],L$1,0),"ERROR")</f>
        <v>51</v>
      </c>
      <c r="M9" s="114">
        <f t="shared" si="2"/>
        <v>0.796875</v>
      </c>
      <c r="N9" s="111">
        <f>IFERROR(VLOOKUP($B9,MMWR_TRAD_AGG_STATE_COMP[],N$1,0),"ERROR")</f>
        <v>319</v>
      </c>
      <c r="O9" s="112">
        <f>IFERROR(VLOOKUP($B9,MMWR_TRAD_AGG_STATE_COMP[],O$1,0),"ERROR")</f>
        <v>191</v>
      </c>
      <c r="P9" s="114">
        <f t="shared" si="3"/>
        <v>0.59874608150470221</v>
      </c>
      <c r="Q9" s="115">
        <f>IFERROR(VLOOKUP($B9,MMWR_TRAD_AGG_STATE_COMP[],Q$1,0),"ERROR")</f>
        <v>54</v>
      </c>
      <c r="R9" s="115">
        <f>IFERROR(VLOOKUP($B9,MMWR_TRAD_AGG_STATE_COMP[],R$1,0),"ERROR")</f>
        <v>1</v>
      </c>
      <c r="S9" s="115">
        <f>IFERROR(VLOOKUP($B9,MMWR_APP_STATE_COMP[],S$1,0),"ERROR")</f>
        <v>501</v>
      </c>
      <c r="T9" s="28"/>
    </row>
    <row r="10" spans="1:20" s="123" customFormat="1" x14ac:dyDescent="0.2">
      <c r="A10" s="107"/>
      <c r="B10" s="127" t="s">
        <v>421</v>
      </c>
      <c r="C10" s="109">
        <f>IFERROR(VLOOKUP($B10,MMWR_TRAD_AGG_STATE_COMP[],C$1,0),"ERROR")</f>
        <v>519</v>
      </c>
      <c r="D10" s="110">
        <f>IFERROR(VLOOKUP($B10,MMWR_TRAD_AGG_STATE_COMP[],D$1,0),"ERROR")</f>
        <v>486.79768786130001</v>
      </c>
      <c r="E10" s="111">
        <f>IFERROR(VLOOKUP($B10,MMWR_TRAD_AGG_STATE_COMP[],E$1,0),"ERROR")</f>
        <v>461</v>
      </c>
      <c r="F10" s="112">
        <f>IFERROR(VLOOKUP($B10,MMWR_TRAD_AGG_STATE_COMP[],F$1,0),"ERROR")</f>
        <v>103</v>
      </c>
      <c r="G10" s="113">
        <f t="shared" si="0"/>
        <v>0.22342733188720174</v>
      </c>
      <c r="H10" s="111">
        <f>IFERROR(VLOOKUP($B10,MMWR_TRAD_AGG_STATE_COMP[],H$1,0),"ERROR")</f>
        <v>697</v>
      </c>
      <c r="I10" s="112">
        <f>IFERROR(VLOOKUP($B10,MMWR_TRAD_AGG_STATE_COMP[],I$1,0),"ERROR")</f>
        <v>499</v>
      </c>
      <c r="J10" s="114">
        <f t="shared" si="1"/>
        <v>0.71592539454806314</v>
      </c>
      <c r="K10" s="111">
        <f>IFERROR(VLOOKUP($B10,MMWR_TRAD_AGG_STATE_COMP[],K$1,0),"ERROR")</f>
        <v>138</v>
      </c>
      <c r="L10" s="112">
        <f>IFERROR(VLOOKUP($B10,MMWR_TRAD_AGG_STATE_COMP[],L$1,0),"ERROR")</f>
        <v>118</v>
      </c>
      <c r="M10" s="114">
        <f t="shared" si="2"/>
        <v>0.85507246376811596</v>
      </c>
      <c r="N10" s="111">
        <f>IFERROR(VLOOKUP($B10,MMWR_TRAD_AGG_STATE_COMP[],N$1,0),"ERROR")</f>
        <v>318</v>
      </c>
      <c r="O10" s="112">
        <f>IFERROR(VLOOKUP($B10,MMWR_TRAD_AGG_STATE_COMP[],O$1,0),"ERROR")</f>
        <v>235</v>
      </c>
      <c r="P10" s="114">
        <f t="shared" si="3"/>
        <v>0.73899371069182385</v>
      </c>
      <c r="Q10" s="115">
        <f>IFERROR(VLOOKUP($B10,MMWR_TRAD_AGG_STATE_COMP[],Q$1,0),"ERROR")</f>
        <v>21</v>
      </c>
      <c r="R10" s="115">
        <f>IFERROR(VLOOKUP($B10,MMWR_TRAD_AGG_STATE_COMP[],R$1,0),"ERROR")</f>
        <v>1</v>
      </c>
      <c r="S10" s="115">
        <f>IFERROR(VLOOKUP($B10,MMWR_APP_STATE_COMP[],S$1,0),"ERROR")</f>
        <v>581</v>
      </c>
      <c r="T10" s="28"/>
    </row>
    <row r="11" spans="1:20" s="123" customFormat="1" x14ac:dyDescent="0.2">
      <c r="A11" s="107"/>
      <c r="B11" s="127" t="s">
        <v>423</v>
      </c>
      <c r="C11" s="109">
        <f>IFERROR(VLOOKUP($B11,MMWR_TRAD_AGG_STATE_COMP[],C$1,0),"ERROR")</f>
        <v>1527</v>
      </c>
      <c r="D11" s="110">
        <f>IFERROR(VLOOKUP($B11,MMWR_TRAD_AGG_STATE_COMP[],D$1,0),"ERROR")</f>
        <v>275.02161100199999</v>
      </c>
      <c r="E11" s="111">
        <f>IFERROR(VLOOKUP($B11,MMWR_TRAD_AGG_STATE_COMP[],E$1,0),"ERROR")</f>
        <v>1172</v>
      </c>
      <c r="F11" s="112">
        <f>IFERROR(VLOOKUP($B11,MMWR_TRAD_AGG_STATE_COMP[],F$1,0),"ERROR")</f>
        <v>154</v>
      </c>
      <c r="G11" s="113">
        <f t="shared" si="0"/>
        <v>0.13139931740614336</v>
      </c>
      <c r="H11" s="111">
        <f>IFERROR(VLOOKUP($B11,MMWR_TRAD_AGG_STATE_COMP[],H$1,0),"ERROR")</f>
        <v>2133</v>
      </c>
      <c r="I11" s="112">
        <f>IFERROR(VLOOKUP($B11,MMWR_TRAD_AGG_STATE_COMP[],I$1,0),"ERROR")</f>
        <v>1320</v>
      </c>
      <c r="J11" s="114">
        <f t="shared" si="1"/>
        <v>0.61884669479606191</v>
      </c>
      <c r="K11" s="111">
        <f>IFERROR(VLOOKUP($B11,MMWR_TRAD_AGG_STATE_COMP[],K$1,0),"ERROR")</f>
        <v>931</v>
      </c>
      <c r="L11" s="112">
        <f>IFERROR(VLOOKUP($B11,MMWR_TRAD_AGG_STATE_COMP[],L$1,0),"ERROR")</f>
        <v>805</v>
      </c>
      <c r="M11" s="114">
        <f t="shared" si="2"/>
        <v>0.86466165413533835</v>
      </c>
      <c r="N11" s="111">
        <f>IFERROR(VLOOKUP($B11,MMWR_TRAD_AGG_STATE_COMP[],N$1,0),"ERROR")</f>
        <v>305</v>
      </c>
      <c r="O11" s="112">
        <f>IFERROR(VLOOKUP($B11,MMWR_TRAD_AGG_STATE_COMP[],O$1,0),"ERROR")</f>
        <v>162</v>
      </c>
      <c r="P11" s="114">
        <f t="shared" si="3"/>
        <v>0.5311475409836065</v>
      </c>
      <c r="Q11" s="115">
        <f>IFERROR(VLOOKUP($B11,MMWR_TRAD_AGG_STATE_COMP[],Q$1,0),"ERROR")</f>
        <v>287</v>
      </c>
      <c r="R11" s="115">
        <f>IFERROR(VLOOKUP($B11,MMWR_TRAD_AGG_STATE_COMP[],R$1,0),"ERROR")</f>
        <v>3</v>
      </c>
      <c r="S11" s="115">
        <f>IFERROR(VLOOKUP($B11,MMWR_APP_STATE_COMP[],S$1,0),"ERROR")</f>
        <v>427</v>
      </c>
      <c r="T11" s="28"/>
    </row>
    <row r="12" spans="1:20" s="123" customFormat="1" x14ac:dyDescent="0.2">
      <c r="A12" s="107"/>
      <c r="B12" s="127" t="s">
        <v>383</v>
      </c>
      <c r="C12" s="109">
        <f>IFERROR(VLOOKUP($B12,MMWR_TRAD_AGG_STATE_COMP[],C$1,0),"ERROR")</f>
        <v>8905</v>
      </c>
      <c r="D12" s="110">
        <f>IFERROR(VLOOKUP($B12,MMWR_TRAD_AGG_STATE_COMP[],D$1,0),"ERROR")</f>
        <v>588.95440763620002</v>
      </c>
      <c r="E12" s="111">
        <f>IFERROR(VLOOKUP($B12,MMWR_TRAD_AGG_STATE_COMP[],E$1,0),"ERROR")</f>
        <v>6012</v>
      </c>
      <c r="F12" s="112">
        <f>IFERROR(VLOOKUP($B12,MMWR_TRAD_AGG_STATE_COMP[],F$1,0),"ERROR")</f>
        <v>1025</v>
      </c>
      <c r="G12" s="113">
        <f t="shared" si="0"/>
        <v>0.17049234863606122</v>
      </c>
      <c r="H12" s="111">
        <f>IFERROR(VLOOKUP($B12,MMWR_TRAD_AGG_STATE_COMP[],H$1,0),"ERROR")</f>
        <v>11210</v>
      </c>
      <c r="I12" s="112">
        <f>IFERROR(VLOOKUP($B12,MMWR_TRAD_AGG_STATE_COMP[],I$1,0),"ERROR")</f>
        <v>8304</v>
      </c>
      <c r="J12" s="114">
        <f t="shared" si="1"/>
        <v>0.74076717216770738</v>
      </c>
      <c r="K12" s="111">
        <f>IFERROR(VLOOKUP($B12,MMWR_TRAD_AGG_STATE_COMP[],K$1,0),"ERROR")</f>
        <v>1233</v>
      </c>
      <c r="L12" s="112">
        <f>IFERROR(VLOOKUP($B12,MMWR_TRAD_AGG_STATE_COMP[],L$1,0),"ERROR")</f>
        <v>1043</v>
      </c>
      <c r="M12" s="114">
        <f t="shared" si="2"/>
        <v>0.84590429845904302</v>
      </c>
      <c r="N12" s="111">
        <f>IFERROR(VLOOKUP($B12,MMWR_TRAD_AGG_STATE_COMP[],N$1,0),"ERROR")</f>
        <v>6450</v>
      </c>
      <c r="O12" s="112">
        <f>IFERROR(VLOOKUP($B12,MMWR_TRAD_AGG_STATE_COMP[],O$1,0),"ERROR")</f>
        <v>5192</v>
      </c>
      <c r="P12" s="114">
        <f t="shared" si="3"/>
        <v>0.80496124031007754</v>
      </c>
      <c r="Q12" s="115">
        <f>IFERROR(VLOOKUP($B12,MMWR_TRAD_AGG_STATE_COMP[],Q$1,0),"ERROR")</f>
        <v>361</v>
      </c>
      <c r="R12" s="115">
        <f>IFERROR(VLOOKUP($B12,MMWR_TRAD_AGG_STATE_COMP[],R$1,0),"ERROR")</f>
        <v>7</v>
      </c>
      <c r="S12" s="115">
        <f>IFERROR(VLOOKUP($B12,MMWR_APP_STATE_COMP[],S$1,0),"ERROR")</f>
        <v>5454</v>
      </c>
      <c r="T12" s="28"/>
    </row>
    <row r="13" spans="1:20" s="123" customFormat="1" x14ac:dyDescent="0.2">
      <c r="A13" s="107"/>
      <c r="B13" s="127" t="s">
        <v>378</v>
      </c>
      <c r="C13" s="109">
        <f>IFERROR(VLOOKUP($B13,MMWR_TRAD_AGG_STATE_COMP[],C$1,0),"ERROR")</f>
        <v>4911</v>
      </c>
      <c r="D13" s="110">
        <f>IFERROR(VLOOKUP($B13,MMWR_TRAD_AGG_STATE_COMP[],D$1,0),"ERROR")</f>
        <v>501.1425371615</v>
      </c>
      <c r="E13" s="111">
        <f>IFERROR(VLOOKUP($B13,MMWR_TRAD_AGG_STATE_COMP[],E$1,0),"ERROR")</f>
        <v>4405</v>
      </c>
      <c r="F13" s="112">
        <f>IFERROR(VLOOKUP($B13,MMWR_TRAD_AGG_STATE_COMP[],F$1,0),"ERROR")</f>
        <v>1014</v>
      </c>
      <c r="G13" s="113">
        <f t="shared" si="0"/>
        <v>0.23019296254256527</v>
      </c>
      <c r="H13" s="111">
        <f>IFERROR(VLOOKUP($B13,MMWR_TRAD_AGG_STATE_COMP[],H$1,0),"ERROR")</f>
        <v>7636</v>
      </c>
      <c r="I13" s="112">
        <f>IFERROR(VLOOKUP($B13,MMWR_TRAD_AGG_STATE_COMP[],I$1,0),"ERROR")</f>
        <v>4917</v>
      </c>
      <c r="J13" s="114">
        <f t="shared" si="1"/>
        <v>0.64392352016762699</v>
      </c>
      <c r="K13" s="111">
        <f>IFERROR(VLOOKUP($B13,MMWR_TRAD_AGG_STATE_COMP[],K$1,0),"ERROR")</f>
        <v>2733</v>
      </c>
      <c r="L13" s="112">
        <f>IFERROR(VLOOKUP($B13,MMWR_TRAD_AGG_STATE_COMP[],L$1,0),"ERROR")</f>
        <v>2253</v>
      </c>
      <c r="M13" s="114">
        <f t="shared" si="2"/>
        <v>0.82436882546652035</v>
      </c>
      <c r="N13" s="111">
        <f>IFERROR(VLOOKUP($B13,MMWR_TRAD_AGG_STATE_COMP[],N$1,0),"ERROR")</f>
        <v>1292</v>
      </c>
      <c r="O13" s="112">
        <f>IFERROR(VLOOKUP($B13,MMWR_TRAD_AGG_STATE_COMP[],O$1,0),"ERROR")</f>
        <v>999</v>
      </c>
      <c r="P13" s="114">
        <f t="shared" si="3"/>
        <v>0.77321981424148611</v>
      </c>
      <c r="Q13" s="115">
        <f>IFERROR(VLOOKUP($B13,MMWR_TRAD_AGG_STATE_COMP[],Q$1,0),"ERROR")</f>
        <v>620</v>
      </c>
      <c r="R13" s="115">
        <f>IFERROR(VLOOKUP($B13,MMWR_TRAD_AGG_STATE_COMP[],R$1,0),"ERROR")</f>
        <v>16</v>
      </c>
      <c r="S13" s="115">
        <f>IFERROR(VLOOKUP($B13,MMWR_APP_STATE_COMP[],S$1,0),"ERROR")</f>
        <v>3467</v>
      </c>
      <c r="T13" s="28"/>
    </row>
    <row r="14" spans="1:20" s="123" customFormat="1" x14ac:dyDescent="0.2">
      <c r="A14" s="107"/>
      <c r="B14" s="127" t="s">
        <v>422</v>
      </c>
      <c r="C14" s="109">
        <f>IFERROR(VLOOKUP($B14,MMWR_TRAD_AGG_STATE_COMP[],C$1,0),"ERROR")</f>
        <v>1718</v>
      </c>
      <c r="D14" s="110">
        <f>IFERROR(VLOOKUP($B14,MMWR_TRAD_AGG_STATE_COMP[],D$1,0),"ERROR")</f>
        <v>386.591967404</v>
      </c>
      <c r="E14" s="111">
        <f>IFERROR(VLOOKUP($B14,MMWR_TRAD_AGG_STATE_COMP[],E$1,0),"ERROR")</f>
        <v>1242</v>
      </c>
      <c r="F14" s="112">
        <f>IFERROR(VLOOKUP($B14,MMWR_TRAD_AGG_STATE_COMP[],F$1,0),"ERROR")</f>
        <v>259</v>
      </c>
      <c r="G14" s="113">
        <f t="shared" si="0"/>
        <v>0.20853462157809985</v>
      </c>
      <c r="H14" s="111">
        <f>IFERROR(VLOOKUP($B14,MMWR_TRAD_AGG_STATE_COMP[],H$1,0),"ERROR")</f>
        <v>2444</v>
      </c>
      <c r="I14" s="112">
        <f>IFERROR(VLOOKUP($B14,MMWR_TRAD_AGG_STATE_COMP[],I$1,0),"ERROR")</f>
        <v>1566</v>
      </c>
      <c r="J14" s="114">
        <f t="shared" si="1"/>
        <v>0.64075286415711952</v>
      </c>
      <c r="K14" s="111">
        <f>IFERROR(VLOOKUP($B14,MMWR_TRAD_AGG_STATE_COMP[],K$1,0),"ERROR")</f>
        <v>641</v>
      </c>
      <c r="L14" s="112">
        <f>IFERROR(VLOOKUP($B14,MMWR_TRAD_AGG_STATE_COMP[],L$1,0),"ERROR")</f>
        <v>552</v>
      </c>
      <c r="M14" s="114">
        <f t="shared" si="2"/>
        <v>0.86115444617784709</v>
      </c>
      <c r="N14" s="111">
        <f>IFERROR(VLOOKUP($B14,MMWR_TRAD_AGG_STATE_COMP[],N$1,0),"ERROR")</f>
        <v>175</v>
      </c>
      <c r="O14" s="112">
        <f>IFERROR(VLOOKUP($B14,MMWR_TRAD_AGG_STATE_COMP[],O$1,0),"ERROR")</f>
        <v>92</v>
      </c>
      <c r="P14" s="114">
        <f t="shared" si="3"/>
        <v>0.52571428571428569</v>
      </c>
      <c r="Q14" s="115">
        <f>IFERROR(VLOOKUP($B14,MMWR_TRAD_AGG_STATE_COMP[],Q$1,0),"ERROR")</f>
        <v>127</v>
      </c>
      <c r="R14" s="115">
        <f>IFERROR(VLOOKUP($B14,MMWR_TRAD_AGG_STATE_COMP[],R$1,0),"ERROR")</f>
        <v>3</v>
      </c>
      <c r="S14" s="115">
        <f>IFERROR(VLOOKUP($B14,MMWR_APP_STATE_COMP[],S$1,0),"ERROR")</f>
        <v>696</v>
      </c>
      <c r="T14" s="28"/>
    </row>
    <row r="15" spans="1:20" s="123" customFormat="1" x14ac:dyDescent="0.2">
      <c r="A15" s="107"/>
      <c r="B15" s="127" t="s">
        <v>381</v>
      </c>
      <c r="C15" s="109">
        <f>IFERROR(VLOOKUP($B15,MMWR_TRAD_AGG_STATE_COMP[],C$1,0),"ERROR")</f>
        <v>2644</v>
      </c>
      <c r="D15" s="110">
        <f>IFERROR(VLOOKUP($B15,MMWR_TRAD_AGG_STATE_COMP[],D$1,0),"ERROR")</f>
        <v>271.03706505299999</v>
      </c>
      <c r="E15" s="111">
        <f>IFERROR(VLOOKUP($B15,MMWR_TRAD_AGG_STATE_COMP[],E$1,0),"ERROR")</f>
        <v>4082</v>
      </c>
      <c r="F15" s="112">
        <f>IFERROR(VLOOKUP($B15,MMWR_TRAD_AGG_STATE_COMP[],F$1,0),"ERROR")</f>
        <v>834</v>
      </c>
      <c r="G15" s="113">
        <f t="shared" si="0"/>
        <v>0.20431161195492406</v>
      </c>
      <c r="H15" s="111">
        <f>IFERROR(VLOOKUP($B15,MMWR_TRAD_AGG_STATE_COMP[],H$1,0),"ERROR")</f>
        <v>4234</v>
      </c>
      <c r="I15" s="112">
        <f>IFERROR(VLOOKUP($B15,MMWR_TRAD_AGG_STATE_COMP[],I$1,0),"ERROR")</f>
        <v>1982</v>
      </c>
      <c r="J15" s="114">
        <f t="shared" si="1"/>
        <v>0.46811525743977328</v>
      </c>
      <c r="K15" s="111">
        <f>IFERROR(VLOOKUP($B15,MMWR_TRAD_AGG_STATE_COMP[],K$1,0),"ERROR")</f>
        <v>878</v>
      </c>
      <c r="L15" s="112">
        <f>IFERROR(VLOOKUP($B15,MMWR_TRAD_AGG_STATE_COMP[],L$1,0),"ERROR")</f>
        <v>733</v>
      </c>
      <c r="M15" s="114">
        <f t="shared" si="2"/>
        <v>0.83485193621867881</v>
      </c>
      <c r="N15" s="111">
        <f>IFERROR(VLOOKUP($B15,MMWR_TRAD_AGG_STATE_COMP[],N$1,0),"ERROR")</f>
        <v>2028</v>
      </c>
      <c r="O15" s="112">
        <f>IFERROR(VLOOKUP($B15,MMWR_TRAD_AGG_STATE_COMP[],O$1,0),"ERROR")</f>
        <v>1079</v>
      </c>
      <c r="P15" s="114">
        <f t="shared" si="3"/>
        <v>0.53205128205128205</v>
      </c>
      <c r="Q15" s="115">
        <f>IFERROR(VLOOKUP($B15,MMWR_TRAD_AGG_STATE_COMP[],Q$1,0),"ERROR")</f>
        <v>553</v>
      </c>
      <c r="R15" s="115">
        <f>IFERROR(VLOOKUP($B15,MMWR_TRAD_AGG_STATE_COMP[],R$1,0),"ERROR")</f>
        <v>5</v>
      </c>
      <c r="S15" s="115">
        <f>IFERROR(VLOOKUP($B15,MMWR_APP_STATE_COMP[],S$1,0),"ERROR")</f>
        <v>4072</v>
      </c>
      <c r="T15" s="28"/>
    </row>
    <row r="16" spans="1:20" s="123" customFormat="1" x14ac:dyDescent="0.2">
      <c r="A16" s="107"/>
      <c r="B16" s="127" t="s">
        <v>63</v>
      </c>
      <c r="C16" s="109">
        <f>IFERROR(VLOOKUP($B16,MMWR_TRAD_AGG_STATE_COMP[],C$1,0),"ERROR")</f>
        <v>5815</v>
      </c>
      <c r="D16" s="110">
        <f>IFERROR(VLOOKUP($B16,MMWR_TRAD_AGG_STATE_COMP[],D$1,0),"ERROR")</f>
        <v>257.50197764400002</v>
      </c>
      <c r="E16" s="111">
        <f>IFERROR(VLOOKUP($B16,MMWR_TRAD_AGG_STATE_COMP[],E$1,0),"ERROR")</f>
        <v>9203</v>
      </c>
      <c r="F16" s="112">
        <f>IFERROR(VLOOKUP($B16,MMWR_TRAD_AGG_STATE_COMP[],F$1,0),"ERROR")</f>
        <v>1774</v>
      </c>
      <c r="G16" s="113">
        <f t="shared" si="0"/>
        <v>0.19276322938172336</v>
      </c>
      <c r="H16" s="111">
        <f>IFERROR(VLOOKUP($B16,MMWR_TRAD_AGG_STATE_COMP[],H$1,0),"ERROR")</f>
        <v>8935</v>
      </c>
      <c r="I16" s="112">
        <f>IFERROR(VLOOKUP($B16,MMWR_TRAD_AGG_STATE_COMP[],I$1,0),"ERROR")</f>
        <v>4600</v>
      </c>
      <c r="J16" s="114">
        <f t="shared" si="1"/>
        <v>0.51482932288752103</v>
      </c>
      <c r="K16" s="111">
        <f>IFERROR(VLOOKUP($B16,MMWR_TRAD_AGG_STATE_COMP[],K$1,0),"ERROR")</f>
        <v>2083</v>
      </c>
      <c r="L16" s="112">
        <f>IFERROR(VLOOKUP($B16,MMWR_TRAD_AGG_STATE_COMP[],L$1,0),"ERROR")</f>
        <v>1606</v>
      </c>
      <c r="M16" s="114">
        <f t="shared" si="2"/>
        <v>0.77100336053768603</v>
      </c>
      <c r="N16" s="111">
        <f>IFERROR(VLOOKUP($B16,MMWR_TRAD_AGG_STATE_COMP[],N$1,0),"ERROR")</f>
        <v>1632</v>
      </c>
      <c r="O16" s="112">
        <f>IFERROR(VLOOKUP($B16,MMWR_TRAD_AGG_STATE_COMP[],O$1,0),"ERROR")</f>
        <v>836</v>
      </c>
      <c r="P16" s="114">
        <f t="shared" si="3"/>
        <v>0.51225490196078427</v>
      </c>
      <c r="Q16" s="115">
        <f>IFERROR(VLOOKUP($B16,MMWR_TRAD_AGG_STATE_COMP[],Q$1,0),"ERROR")</f>
        <v>1150</v>
      </c>
      <c r="R16" s="115">
        <f>IFERROR(VLOOKUP($B16,MMWR_TRAD_AGG_STATE_COMP[],R$1,0),"ERROR")</f>
        <v>20</v>
      </c>
      <c r="S16" s="115">
        <f>IFERROR(VLOOKUP($B16,MMWR_APP_STATE_COMP[],S$1,0),"ERROR")</f>
        <v>5510</v>
      </c>
      <c r="T16" s="28"/>
    </row>
    <row r="17" spans="1:20" s="123" customFormat="1" x14ac:dyDescent="0.2">
      <c r="A17" s="107"/>
      <c r="B17" s="127" t="s">
        <v>389</v>
      </c>
      <c r="C17" s="109">
        <f>IFERROR(VLOOKUP($B17,MMWR_TRAD_AGG_STATE_COMP[],C$1,0),"ERROR")</f>
        <v>16475</v>
      </c>
      <c r="D17" s="110">
        <f>IFERROR(VLOOKUP($B17,MMWR_TRAD_AGG_STATE_COMP[],D$1,0),"ERROR")</f>
        <v>320.4080728376</v>
      </c>
      <c r="E17" s="111">
        <f>IFERROR(VLOOKUP($B17,MMWR_TRAD_AGG_STATE_COMP[],E$1,0),"ERROR")</f>
        <v>18823</v>
      </c>
      <c r="F17" s="112">
        <f>IFERROR(VLOOKUP($B17,MMWR_TRAD_AGG_STATE_COMP[],F$1,0),"ERROR")</f>
        <v>4368</v>
      </c>
      <c r="G17" s="113">
        <f t="shared" si="0"/>
        <v>0.23205652658981032</v>
      </c>
      <c r="H17" s="111">
        <f>IFERROR(VLOOKUP($B17,MMWR_TRAD_AGG_STATE_COMP[],H$1,0),"ERROR")</f>
        <v>22753</v>
      </c>
      <c r="I17" s="112">
        <f>IFERROR(VLOOKUP($B17,MMWR_TRAD_AGG_STATE_COMP[],I$1,0),"ERROR")</f>
        <v>13797</v>
      </c>
      <c r="J17" s="114">
        <f t="shared" si="1"/>
        <v>0.6063815760559047</v>
      </c>
      <c r="K17" s="111">
        <f>IFERROR(VLOOKUP($B17,MMWR_TRAD_AGG_STATE_COMP[],K$1,0),"ERROR")</f>
        <v>4467</v>
      </c>
      <c r="L17" s="112">
        <f>IFERROR(VLOOKUP($B17,MMWR_TRAD_AGG_STATE_COMP[],L$1,0),"ERROR")</f>
        <v>3661</v>
      </c>
      <c r="M17" s="114">
        <f t="shared" si="2"/>
        <v>0.81956570405193641</v>
      </c>
      <c r="N17" s="111">
        <f>IFERROR(VLOOKUP($B17,MMWR_TRAD_AGG_STATE_COMP[],N$1,0),"ERROR")</f>
        <v>7101</v>
      </c>
      <c r="O17" s="112">
        <f>IFERROR(VLOOKUP($B17,MMWR_TRAD_AGG_STATE_COMP[],O$1,0),"ERROR")</f>
        <v>4625</v>
      </c>
      <c r="P17" s="114">
        <f t="shared" si="3"/>
        <v>0.65131671595549923</v>
      </c>
      <c r="Q17" s="115">
        <f>IFERROR(VLOOKUP($B17,MMWR_TRAD_AGG_STATE_COMP[],Q$1,0),"ERROR")</f>
        <v>924</v>
      </c>
      <c r="R17" s="115">
        <f>IFERROR(VLOOKUP($B17,MMWR_TRAD_AGG_STATE_COMP[],R$1,0),"ERROR")</f>
        <v>47</v>
      </c>
      <c r="S17" s="115">
        <f>IFERROR(VLOOKUP($B17,MMWR_APP_STATE_COMP[],S$1,0),"ERROR")</f>
        <v>10358</v>
      </c>
      <c r="T17" s="28"/>
    </row>
    <row r="18" spans="1:20" s="123" customFormat="1" x14ac:dyDescent="0.2">
      <c r="A18" s="107"/>
      <c r="B18" s="127" t="s">
        <v>382</v>
      </c>
      <c r="C18" s="109">
        <f>IFERROR(VLOOKUP($B18,MMWR_TRAD_AGG_STATE_COMP[],C$1,0),"ERROR")</f>
        <v>7822</v>
      </c>
      <c r="D18" s="110">
        <f>IFERROR(VLOOKUP($B18,MMWR_TRAD_AGG_STATE_COMP[],D$1,0),"ERROR")</f>
        <v>397.45972896960001</v>
      </c>
      <c r="E18" s="111">
        <f>IFERROR(VLOOKUP($B18,MMWR_TRAD_AGG_STATE_COMP[],E$1,0),"ERROR")</f>
        <v>9116</v>
      </c>
      <c r="F18" s="112">
        <f>IFERROR(VLOOKUP($B18,MMWR_TRAD_AGG_STATE_COMP[],F$1,0),"ERROR")</f>
        <v>2627</v>
      </c>
      <c r="G18" s="113">
        <f t="shared" si="0"/>
        <v>0.28817463799912241</v>
      </c>
      <c r="H18" s="111">
        <f>IFERROR(VLOOKUP($B18,MMWR_TRAD_AGG_STATE_COMP[],H$1,0),"ERROR")</f>
        <v>11771</v>
      </c>
      <c r="I18" s="112">
        <f>IFERROR(VLOOKUP($B18,MMWR_TRAD_AGG_STATE_COMP[],I$1,0),"ERROR")</f>
        <v>7912</v>
      </c>
      <c r="J18" s="114">
        <f t="shared" si="1"/>
        <v>0.67216039418910878</v>
      </c>
      <c r="K18" s="111">
        <f>IFERROR(VLOOKUP($B18,MMWR_TRAD_AGG_STATE_COMP[],K$1,0),"ERROR")</f>
        <v>973</v>
      </c>
      <c r="L18" s="112">
        <f>IFERROR(VLOOKUP($B18,MMWR_TRAD_AGG_STATE_COMP[],L$1,0),"ERROR")</f>
        <v>748</v>
      </c>
      <c r="M18" s="114">
        <f t="shared" si="2"/>
        <v>0.76875642343268247</v>
      </c>
      <c r="N18" s="111">
        <f>IFERROR(VLOOKUP($B18,MMWR_TRAD_AGG_STATE_COMP[],N$1,0),"ERROR")</f>
        <v>5792</v>
      </c>
      <c r="O18" s="112">
        <f>IFERROR(VLOOKUP($B18,MMWR_TRAD_AGG_STATE_COMP[],O$1,0),"ERROR")</f>
        <v>3019</v>
      </c>
      <c r="P18" s="114">
        <f t="shared" si="3"/>
        <v>0.5212361878453039</v>
      </c>
      <c r="Q18" s="115">
        <f>IFERROR(VLOOKUP($B18,MMWR_TRAD_AGG_STATE_COMP[],Q$1,0),"ERROR")</f>
        <v>1043</v>
      </c>
      <c r="R18" s="115">
        <f>IFERROR(VLOOKUP($B18,MMWR_TRAD_AGG_STATE_COMP[],R$1,0),"ERROR")</f>
        <v>9</v>
      </c>
      <c r="S18" s="115">
        <f>IFERROR(VLOOKUP($B18,MMWR_APP_STATE_COMP[],S$1,0),"ERROR")</f>
        <v>6581</v>
      </c>
      <c r="T18" s="28"/>
    </row>
    <row r="19" spans="1:20" s="123" customFormat="1" x14ac:dyDescent="0.2">
      <c r="A19" s="107"/>
      <c r="B19" s="127" t="s">
        <v>379</v>
      </c>
      <c r="C19" s="109">
        <f>IFERROR(VLOOKUP($B19,MMWR_TRAD_AGG_STATE_COMP[],C$1,0),"ERROR")</f>
        <v>470</v>
      </c>
      <c r="D19" s="110">
        <f>IFERROR(VLOOKUP($B19,MMWR_TRAD_AGG_STATE_COMP[],D$1,0),"ERROR")</f>
        <v>220.83191489359999</v>
      </c>
      <c r="E19" s="111">
        <f>IFERROR(VLOOKUP($B19,MMWR_TRAD_AGG_STATE_COMP[],E$1,0),"ERROR")</f>
        <v>885</v>
      </c>
      <c r="F19" s="112">
        <f>IFERROR(VLOOKUP($B19,MMWR_TRAD_AGG_STATE_COMP[],F$1,0),"ERROR")</f>
        <v>188</v>
      </c>
      <c r="G19" s="113">
        <f t="shared" si="0"/>
        <v>0.21242937853107344</v>
      </c>
      <c r="H19" s="111">
        <f>IFERROR(VLOOKUP($B19,MMWR_TRAD_AGG_STATE_COMP[],H$1,0),"ERROR")</f>
        <v>988</v>
      </c>
      <c r="I19" s="112">
        <f>IFERROR(VLOOKUP($B19,MMWR_TRAD_AGG_STATE_COMP[],I$1,0),"ERROR")</f>
        <v>339</v>
      </c>
      <c r="J19" s="114">
        <f t="shared" si="1"/>
        <v>0.34311740890688258</v>
      </c>
      <c r="K19" s="111">
        <f>IFERROR(VLOOKUP($B19,MMWR_TRAD_AGG_STATE_COMP[],K$1,0),"ERROR")</f>
        <v>309</v>
      </c>
      <c r="L19" s="112">
        <f>IFERROR(VLOOKUP($B19,MMWR_TRAD_AGG_STATE_COMP[],L$1,0),"ERROR")</f>
        <v>272</v>
      </c>
      <c r="M19" s="114">
        <f t="shared" si="2"/>
        <v>0.88025889967637538</v>
      </c>
      <c r="N19" s="111">
        <f>IFERROR(VLOOKUP($B19,MMWR_TRAD_AGG_STATE_COMP[],N$1,0),"ERROR")</f>
        <v>137</v>
      </c>
      <c r="O19" s="112">
        <f>IFERROR(VLOOKUP($B19,MMWR_TRAD_AGG_STATE_COMP[],O$1,0),"ERROR")</f>
        <v>50</v>
      </c>
      <c r="P19" s="114">
        <f t="shared" si="3"/>
        <v>0.36496350364963503</v>
      </c>
      <c r="Q19" s="115">
        <f>IFERROR(VLOOKUP($B19,MMWR_TRAD_AGG_STATE_COMP[],Q$1,0),"ERROR")</f>
        <v>147</v>
      </c>
      <c r="R19" s="115">
        <f>IFERROR(VLOOKUP($B19,MMWR_TRAD_AGG_STATE_COMP[],R$1,0),"ERROR")</f>
        <v>0</v>
      </c>
      <c r="S19" s="115">
        <f>IFERROR(VLOOKUP($B19,MMWR_APP_STATE_COMP[],S$1,0),"ERROR")</f>
        <v>317</v>
      </c>
      <c r="T19" s="28"/>
    </row>
    <row r="20" spans="1:20" s="123" customFormat="1" x14ac:dyDescent="0.2">
      <c r="A20" s="107"/>
      <c r="B20" s="127" t="s">
        <v>424</v>
      </c>
      <c r="C20" s="109">
        <f>IFERROR(VLOOKUP($B20,MMWR_TRAD_AGG_STATE_COMP[],C$1,0),"ERROR")</f>
        <v>434</v>
      </c>
      <c r="D20" s="110">
        <f>IFERROR(VLOOKUP($B20,MMWR_TRAD_AGG_STATE_COMP[],D$1,0),"ERROR")</f>
        <v>365.45852534559998</v>
      </c>
      <c r="E20" s="111">
        <f>IFERROR(VLOOKUP($B20,MMWR_TRAD_AGG_STATE_COMP[],E$1,0),"ERROR")</f>
        <v>398</v>
      </c>
      <c r="F20" s="112">
        <f>IFERROR(VLOOKUP($B20,MMWR_TRAD_AGG_STATE_COMP[],F$1,0),"ERROR")</f>
        <v>82</v>
      </c>
      <c r="G20" s="113">
        <f t="shared" si="0"/>
        <v>0.20603015075376885</v>
      </c>
      <c r="H20" s="111">
        <f>IFERROR(VLOOKUP($B20,MMWR_TRAD_AGG_STATE_COMP[],H$1,0),"ERROR")</f>
        <v>784</v>
      </c>
      <c r="I20" s="112">
        <f>IFERROR(VLOOKUP($B20,MMWR_TRAD_AGG_STATE_COMP[],I$1,0),"ERROR")</f>
        <v>440</v>
      </c>
      <c r="J20" s="114">
        <f t="shared" si="1"/>
        <v>0.56122448979591832</v>
      </c>
      <c r="K20" s="111">
        <f>IFERROR(VLOOKUP($B20,MMWR_TRAD_AGG_STATE_COMP[],K$1,0),"ERROR")</f>
        <v>180</v>
      </c>
      <c r="L20" s="112">
        <f>IFERROR(VLOOKUP($B20,MMWR_TRAD_AGG_STATE_COMP[],L$1,0),"ERROR")</f>
        <v>121</v>
      </c>
      <c r="M20" s="114">
        <f t="shared" si="2"/>
        <v>0.67222222222222228</v>
      </c>
      <c r="N20" s="111">
        <f>IFERROR(VLOOKUP($B20,MMWR_TRAD_AGG_STATE_COMP[],N$1,0),"ERROR")</f>
        <v>96</v>
      </c>
      <c r="O20" s="112">
        <f>IFERROR(VLOOKUP($B20,MMWR_TRAD_AGG_STATE_COMP[],O$1,0),"ERROR")</f>
        <v>59</v>
      </c>
      <c r="P20" s="114">
        <f t="shared" si="3"/>
        <v>0.61458333333333337</v>
      </c>
      <c r="Q20" s="115">
        <f>IFERROR(VLOOKUP($B20,MMWR_TRAD_AGG_STATE_COMP[],Q$1,0),"ERROR")</f>
        <v>50</v>
      </c>
      <c r="R20" s="115">
        <f>IFERROR(VLOOKUP($B20,MMWR_TRAD_AGG_STATE_COMP[],R$1,0),"ERROR")</f>
        <v>1</v>
      </c>
      <c r="S20" s="115">
        <f>IFERROR(VLOOKUP($B20,MMWR_APP_STATE_COMP[],S$1,0),"ERROR")</f>
        <v>193</v>
      </c>
      <c r="T20" s="28"/>
    </row>
    <row r="21" spans="1:20" s="123" customFormat="1" x14ac:dyDescent="0.2">
      <c r="A21" s="107"/>
      <c r="B21" s="127" t="s">
        <v>385</v>
      </c>
      <c r="C21" s="109">
        <f>IFERROR(VLOOKUP($B21,MMWR_TRAD_AGG_STATE_COMP[],C$1,0),"ERROR")</f>
        <v>18061</v>
      </c>
      <c r="D21" s="110">
        <f>IFERROR(VLOOKUP($B21,MMWR_TRAD_AGG_STATE_COMP[],D$1,0),"ERROR")</f>
        <v>475.19461823820001</v>
      </c>
      <c r="E21" s="111">
        <f>IFERROR(VLOOKUP($B21,MMWR_TRAD_AGG_STATE_COMP[],E$1,0),"ERROR")</f>
        <v>12789</v>
      </c>
      <c r="F21" s="112">
        <f>IFERROR(VLOOKUP($B21,MMWR_TRAD_AGG_STATE_COMP[],F$1,0),"ERROR")</f>
        <v>2098</v>
      </c>
      <c r="G21" s="113">
        <f t="shared" si="0"/>
        <v>0.16404722808663696</v>
      </c>
      <c r="H21" s="111">
        <f>IFERROR(VLOOKUP($B21,MMWR_TRAD_AGG_STATE_COMP[],H$1,0),"ERROR")</f>
        <v>22570</v>
      </c>
      <c r="I21" s="112">
        <f>IFERROR(VLOOKUP($B21,MMWR_TRAD_AGG_STATE_COMP[],I$1,0),"ERROR")</f>
        <v>15834</v>
      </c>
      <c r="J21" s="114">
        <f t="shared" si="1"/>
        <v>0.70155073105892773</v>
      </c>
      <c r="K21" s="111">
        <f>IFERROR(VLOOKUP($B21,MMWR_TRAD_AGG_STATE_COMP[],K$1,0),"ERROR")</f>
        <v>5914</v>
      </c>
      <c r="L21" s="112">
        <f>IFERROR(VLOOKUP($B21,MMWR_TRAD_AGG_STATE_COMP[],L$1,0),"ERROR")</f>
        <v>5446</v>
      </c>
      <c r="M21" s="114">
        <f t="shared" si="2"/>
        <v>0.92086574230639162</v>
      </c>
      <c r="N21" s="111">
        <f>IFERROR(VLOOKUP($B21,MMWR_TRAD_AGG_STATE_COMP[],N$1,0),"ERROR")</f>
        <v>5764</v>
      </c>
      <c r="O21" s="112">
        <f>IFERROR(VLOOKUP($B21,MMWR_TRAD_AGG_STATE_COMP[],O$1,0),"ERROR")</f>
        <v>4191</v>
      </c>
      <c r="P21" s="114">
        <f t="shared" si="3"/>
        <v>0.72709923664122134</v>
      </c>
      <c r="Q21" s="115">
        <f>IFERROR(VLOOKUP($B21,MMWR_TRAD_AGG_STATE_COMP[],Q$1,0),"ERROR")</f>
        <v>753</v>
      </c>
      <c r="R21" s="115">
        <f>IFERROR(VLOOKUP($B21,MMWR_TRAD_AGG_STATE_COMP[],R$1,0),"ERROR")</f>
        <v>34</v>
      </c>
      <c r="S21" s="115">
        <f>IFERROR(VLOOKUP($B21,MMWR_APP_STATE_COMP[],S$1,0),"ERROR")</f>
        <v>14500</v>
      </c>
      <c r="T21" s="28"/>
    </row>
    <row r="22" spans="1:20" s="123" customFormat="1" x14ac:dyDescent="0.2">
      <c r="A22" s="107"/>
      <c r="B22" s="127" t="s">
        <v>386</v>
      </c>
      <c r="C22" s="109">
        <f>IFERROR(VLOOKUP($B22,MMWR_TRAD_AGG_STATE_COMP[],C$1,0),"ERROR")</f>
        <v>2447</v>
      </c>
      <c r="D22" s="110">
        <f>IFERROR(VLOOKUP($B22,MMWR_TRAD_AGG_STATE_COMP[],D$1,0),"ERROR")</f>
        <v>256.2272170004</v>
      </c>
      <c r="E22" s="111">
        <f>IFERROR(VLOOKUP($B22,MMWR_TRAD_AGG_STATE_COMP[],E$1,0),"ERROR")</f>
        <v>2317</v>
      </c>
      <c r="F22" s="112">
        <f>IFERROR(VLOOKUP($B22,MMWR_TRAD_AGG_STATE_COMP[],F$1,0),"ERROR")</f>
        <v>391</v>
      </c>
      <c r="G22" s="113">
        <f t="shared" si="0"/>
        <v>0.1687526974536038</v>
      </c>
      <c r="H22" s="111">
        <f>IFERROR(VLOOKUP($B22,MMWR_TRAD_AGG_STATE_COMP[],H$1,0),"ERROR")</f>
        <v>3783</v>
      </c>
      <c r="I22" s="112">
        <f>IFERROR(VLOOKUP($B22,MMWR_TRAD_AGG_STATE_COMP[],I$1,0),"ERROR")</f>
        <v>2120</v>
      </c>
      <c r="J22" s="114">
        <f t="shared" si="1"/>
        <v>0.56040179751519958</v>
      </c>
      <c r="K22" s="111">
        <f>IFERROR(VLOOKUP($B22,MMWR_TRAD_AGG_STATE_COMP[],K$1,0),"ERROR")</f>
        <v>240</v>
      </c>
      <c r="L22" s="112">
        <f>IFERROR(VLOOKUP($B22,MMWR_TRAD_AGG_STATE_COMP[],L$1,0),"ERROR")</f>
        <v>190</v>
      </c>
      <c r="M22" s="114">
        <f t="shared" si="2"/>
        <v>0.79166666666666663</v>
      </c>
      <c r="N22" s="111">
        <f>IFERROR(VLOOKUP($B22,MMWR_TRAD_AGG_STATE_COMP[],N$1,0),"ERROR")</f>
        <v>1152</v>
      </c>
      <c r="O22" s="112">
        <f>IFERROR(VLOOKUP($B22,MMWR_TRAD_AGG_STATE_COMP[],O$1,0),"ERROR")</f>
        <v>721</v>
      </c>
      <c r="P22" s="114">
        <f t="shared" si="3"/>
        <v>0.62586805555555558</v>
      </c>
      <c r="Q22" s="115">
        <f>IFERROR(VLOOKUP($B22,MMWR_TRAD_AGG_STATE_COMP[],Q$1,0),"ERROR")</f>
        <v>272</v>
      </c>
      <c r="R22" s="115">
        <f>IFERROR(VLOOKUP($B22,MMWR_TRAD_AGG_STATE_COMP[],R$1,0),"ERROR")</f>
        <v>18</v>
      </c>
      <c r="S22" s="115">
        <f>IFERROR(VLOOKUP($B22,MMWR_APP_STATE_COMP[],S$1,0),"ERROR")</f>
        <v>2309</v>
      </c>
      <c r="T22" s="28"/>
    </row>
    <row r="23" spans="1:20" s="123" customFormat="1" x14ac:dyDescent="0.2">
      <c r="A23" s="107"/>
      <c r="B23" s="126" t="s">
        <v>397</v>
      </c>
      <c r="C23" s="102">
        <f>IF(SUM(C24:C35)&lt;&gt;VLOOKUP($B23,MMWR_TRAD_AGG_ST_DISTRICT_COMP[],C$1,0),"ERROR",
VLOOKUP($B23,MMWR_TRAD_AGG_ST_DISTRICT_COMP[],C$1,0))</f>
        <v>44968</v>
      </c>
      <c r="D23" s="103">
        <f>IFERROR(VLOOKUP($B23,MMWR_TRAD_AGG_ST_DISTRICT_COMP[],D$1,0),"ERROR")</f>
        <v>392.38645258849999</v>
      </c>
      <c r="E23" s="102">
        <f>IF(SUM(E24:E35)&lt;&gt;VLOOKUP($B23,MMWR_TRAD_AGG_ST_DISTRICT_COMP[],E$1,0),"ERROR",
VLOOKUP($B23,MMWR_TRAD_AGG_ST_DISTRICT_COMP[],E$1,0))</f>
        <v>53033</v>
      </c>
      <c r="F23" s="102">
        <f>IF(SUM(F24:F35)&lt;&gt;VLOOKUP($B23,MMWR_TRAD_AGG_ST_DISTRICT_COMP[],F$1,0),"ERROR",
VLOOKUP($B23,MMWR_TRAD_AGG_ST_DISTRICT_COMP[],F$1,0))</f>
        <v>10786</v>
      </c>
      <c r="G23" s="104">
        <f t="shared" si="0"/>
        <v>0.20338279938905965</v>
      </c>
      <c r="H23" s="102">
        <f>IF(SUM(H24:H35)&lt;&gt;VLOOKUP($B23,MMWR_TRAD_AGG_ST_DISTRICT_COMP[],H$1,0),"ERROR",
VLOOKUP($B23,MMWR_TRAD_AGG_ST_DISTRICT_COMP[],H$1,0))</f>
        <v>70696</v>
      </c>
      <c r="I23" s="102">
        <f>IF(SUM(I24:I35)&lt;&gt;VLOOKUP($B23,MMWR_TRAD_AGG_ST_DISTRICT_COMP[],I$1,0),"ERROR",
VLOOKUP($B23,MMWR_TRAD_AGG_ST_DISTRICT_COMP[],I$1,0))</f>
        <v>40240</v>
      </c>
      <c r="J23" s="105">
        <f t="shared" si="1"/>
        <v>0.56919769152427291</v>
      </c>
      <c r="K23" s="102">
        <f>IF(SUM(K24:K35)&lt;&gt;VLOOKUP($B23,MMWR_TRAD_AGG_ST_DISTRICT_COMP[],K$1,0),"ERROR",
VLOOKUP($B23,MMWR_TRAD_AGG_ST_DISTRICT_COMP[],K$1,0))</f>
        <v>10291</v>
      </c>
      <c r="L23" s="102">
        <f>IF(SUM(L24:L35)&lt;&gt;VLOOKUP($B23,MMWR_TRAD_AGG_ST_DISTRICT_COMP[],L$1,0),"ERROR",
VLOOKUP($B23,MMWR_TRAD_AGG_ST_DISTRICT_COMP[],L$1,0))</f>
        <v>8755</v>
      </c>
      <c r="M23" s="105">
        <f t="shared" si="2"/>
        <v>0.85074336799144878</v>
      </c>
      <c r="N23" s="102">
        <f>IF(SUM(N24:N35)&lt;&gt;VLOOKUP($B23,MMWR_TRAD_AGG_ST_DISTRICT_COMP[],N$1,0),"ERROR",
VLOOKUP($B23,MMWR_TRAD_AGG_ST_DISTRICT_COMP[],N$1,0))</f>
        <v>22572</v>
      </c>
      <c r="O23" s="102">
        <f>IF(SUM(O24:O35)&lt;&gt;VLOOKUP($B23,MMWR_TRAD_AGG_ST_DISTRICT_COMP[],O$1,0),"ERROR",
VLOOKUP($B23,MMWR_TRAD_AGG_ST_DISTRICT_COMP[],O$1,0))</f>
        <v>14361</v>
      </c>
      <c r="P23" s="105">
        <f t="shared" si="3"/>
        <v>0.63623072833599148</v>
      </c>
      <c r="Q23" s="102">
        <f>IF(SUM(Q24:Q35)&lt;&gt;VLOOKUP($B23,MMWR_TRAD_AGG_ST_DISTRICT_COMP[],Q$1,0),"ERROR",
VLOOKUP($B23,MMWR_TRAD_AGG_ST_DISTRICT_COMP[],Q$1,0))</f>
        <v>729</v>
      </c>
      <c r="R23" s="102">
        <f>IF(SUM(R24:R35)&lt;&gt;VLOOKUP($B23,MMWR_TRAD_AGG_ST_DISTRICT_COMP[],R$1,0),"ERROR",
VLOOKUP($B23,MMWR_TRAD_AGG_ST_DISTRICT_COMP[],R$1,0))</f>
        <v>1198</v>
      </c>
      <c r="S23" s="106">
        <f>SUM(S24:S35)</f>
        <v>53709</v>
      </c>
      <c r="T23" s="28"/>
    </row>
    <row r="24" spans="1:20" s="123" customFormat="1" x14ac:dyDescent="0.2">
      <c r="A24" s="92"/>
      <c r="B24" s="127" t="s">
        <v>401</v>
      </c>
      <c r="C24" s="109">
        <f>IFERROR(VLOOKUP($B24,MMWR_TRAD_AGG_STATE_COMP[],C$1,0),"ERROR")</f>
        <v>7742</v>
      </c>
      <c r="D24" s="110">
        <f>IFERROR(VLOOKUP($B24,MMWR_TRAD_AGG_STATE_COMP[],D$1,0),"ERROR")</f>
        <v>485.96977525189999</v>
      </c>
      <c r="E24" s="111">
        <f>IFERROR(VLOOKUP($B24,MMWR_TRAD_AGG_STATE_COMP[],E$1,0),"ERROR")</f>
        <v>7364</v>
      </c>
      <c r="F24" s="112">
        <f>IFERROR(VLOOKUP($B24,MMWR_TRAD_AGG_STATE_COMP[],F$1,0),"ERROR")</f>
        <v>1859</v>
      </c>
      <c r="G24" s="113">
        <f t="shared" si="0"/>
        <v>0.25244432373709941</v>
      </c>
      <c r="H24" s="111">
        <f>IFERROR(VLOOKUP($B24,MMWR_TRAD_AGG_STATE_COMP[],H$1,0),"ERROR")</f>
        <v>10395</v>
      </c>
      <c r="I24" s="112">
        <f>IFERROR(VLOOKUP($B24,MMWR_TRAD_AGG_STATE_COMP[],I$1,0),"ERROR")</f>
        <v>7084</v>
      </c>
      <c r="J24" s="114">
        <f t="shared" si="1"/>
        <v>0.68148148148148147</v>
      </c>
      <c r="K24" s="111">
        <f>IFERROR(VLOOKUP($B24,MMWR_TRAD_AGG_STATE_COMP[],K$1,0),"ERROR")</f>
        <v>1471</v>
      </c>
      <c r="L24" s="112">
        <f>IFERROR(VLOOKUP($B24,MMWR_TRAD_AGG_STATE_COMP[],L$1,0),"ERROR")</f>
        <v>1376</v>
      </c>
      <c r="M24" s="114">
        <f t="shared" si="2"/>
        <v>0.93541808293677775</v>
      </c>
      <c r="N24" s="111">
        <f>IFERROR(VLOOKUP($B24,MMWR_TRAD_AGG_STATE_COMP[],N$1,0),"ERROR")</f>
        <v>2666</v>
      </c>
      <c r="O24" s="112">
        <f>IFERROR(VLOOKUP($B24,MMWR_TRAD_AGG_STATE_COMP[],O$1,0),"ERROR")</f>
        <v>1791</v>
      </c>
      <c r="P24" s="114">
        <f t="shared" si="3"/>
        <v>0.67179294823705926</v>
      </c>
      <c r="Q24" s="115">
        <f>IFERROR(VLOOKUP($B24,MMWR_TRAD_AGG_STATE_COMP[],Q$1,0),"ERROR")</f>
        <v>121</v>
      </c>
      <c r="R24" s="115">
        <f>IFERROR(VLOOKUP($B24,MMWR_TRAD_AGG_STATE_COMP[],R$1,0),"ERROR")</f>
        <v>284</v>
      </c>
      <c r="S24" s="115">
        <f>IFERROR(VLOOKUP($B24,MMWR_APP_STATE_COMP[],S$1,0),"ERROR")</f>
        <v>7830</v>
      </c>
      <c r="T24" s="28"/>
    </row>
    <row r="25" spans="1:20" s="123" customFormat="1" x14ac:dyDescent="0.2">
      <c r="A25" s="107"/>
      <c r="B25" s="127" t="s">
        <v>399</v>
      </c>
      <c r="C25" s="109">
        <f>IFERROR(VLOOKUP($B25,MMWR_TRAD_AGG_STATE_COMP[],C$1,0),"ERROR")</f>
        <v>7647</v>
      </c>
      <c r="D25" s="110">
        <f>IFERROR(VLOOKUP($B25,MMWR_TRAD_AGG_STATE_COMP[],D$1,0),"ERROR")</f>
        <v>617.15038577220002</v>
      </c>
      <c r="E25" s="111">
        <f>IFERROR(VLOOKUP($B25,MMWR_TRAD_AGG_STATE_COMP[],E$1,0),"ERROR")</f>
        <v>5285</v>
      </c>
      <c r="F25" s="112">
        <f>IFERROR(VLOOKUP($B25,MMWR_TRAD_AGG_STATE_COMP[],F$1,0),"ERROR")</f>
        <v>864</v>
      </c>
      <c r="G25" s="113">
        <f t="shared" si="0"/>
        <v>0.16348155156102176</v>
      </c>
      <c r="H25" s="111">
        <f>IFERROR(VLOOKUP($B25,MMWR_TRAD_AGG_STATE_COMP[],H$1,0),"ERROR")</f>
        <v>11129</v>
      </c>
      <c r="I25" s="112">
        <f>IFERROR(VLOOKUP($B25,MMWR_TRAD_AGG_STATE_COMP[],I$1,0),"ERROR")</f>
        <v>7200</v>
      </c>
      <c r="J25" s="114">
        <f t="shared" si="1"/>
        <v>0.64695839698086077</v>
      </c>
      <c r="K25" s="111">
        <f>IFERROR(VLOOKUP($B25,MMWR_TRAD_AGG_STATE_COMP[],K$1,0),"ERROR")</f>
        <v>1208</v>
      </c>
      <c r="L25" s="112">
        <f>IFERROR(VLOOKUP($B25,MMWR_TRAD_AGG_STATE_COMP[],L$1,0),"ERROR")</f>
        <v>987</v>
      </c>
      <c r="M25" s="114">
        <f t="shared" si="2"/>
        <v>0.81705298013245031</v>
      </c>
      <c r="N25" s="111">
        <f>IFERROR(VLOOKUP($B25,MMWR_TRAD_AGG_STATE_COMP[],N$1,0),"ERROR")</f>
        <v>2182</v>
      </c>
      <c r="O25" s="112">
        <f>IFERROR(VLOOKUP($B25,MMWR_TRAD_AGG_STATE_COMP[],O$1,0),"ERROR")</f>
        <v>1492</v>
      </c>
      <c r="P25" s="114">
        <f t="shared" si="3"/>
        <v>0.68377635197066911</v>
      </c>
      <c r="Q25" s="115">
        <f>IFERROR(VLOOKUP($B25,MMWR_TRAD_AGG_STATE_COMP[],Q$1,0),"ERROR")</f>
        <v>105</v>
      </c>
      <c r="R25" s="115">
        <f>IFERROR(VLOOKUP($B25,MMWR_TRAD_AGG_STATE_COMP[],R$1,0),"ERROR")</f>
        <v>207</v>
      </c>
      <c r="S25" s="115">
        <f>IFERROR(VLOOKUP($B25,MMWR_APP_STATE_COMP[],S$1,0),"ERROR")</f>
        <v>8187</v>
      </c>
      <c r="T25" s="28"/>
    </row>
    <row r="26" spans="1:20" s="123" customFormat="1" x14ac:dyDescent="0.2">
      <c r="A26" s="107"/>
      <c r="B26" s="127" t="s">
        <v>406</v>
      </c>
      <c r="C26" s="109">
        <f>IFERROR(VLOOKUP($B26,MMWR_TRAD_AGG_STATE_COMP[],C$1,0),"ERROR")</f>
        <v>1525</v>
      </c>
      <c r="D26" s="110">
        <f>IFERROR(VLOOKUP($B26,MMWR_TRAD_AGG_STATE_COMP[],D$1,0),"ERROR")</f>
        <v>191.4636065574</v>
      </c>
      <c r="E26" s="111">
        <f>IFERROR(VLOOKUP($B26,MMWR_TRAD_AGG_STATE_COMP[],E$1,0),"ERROR")</f>
        <v>2487</v>
      </c>
      <c r="F26" s="112">
        <f>IFERROR(VLOOKUP($B26,MMWR_TRAD_AGG_STATE_COMP[],F$1,0),"ERROR")</f>
        <v>493</v>
      </c>
      <c r="G26" s="113">
        <f t="shared" si="0"/>
        <v>0.19823080016083636</v>
      </c>
      <c r="H26" s="111">
        <f>IFERROR(VLOOKUP($B26,MMWR_TRAD_AGG_STATE_COMP[],H$1,0),"ERROR")</f>
        <v>3044</v>
      </c>
      <c r="I26" s="112">
        <f>IFERROR(VLOOKUP($B26,MMWR_TRAD_AGG_STATE_COMP[],I$1,0),"ERROR")</f>
        <v>1042</v>
      </c>
      <c r="J26" s="114">
        <f t="shared" si="1"/>
        <v>0.34231274638633374</v>
      </c>
      <c r="K26" s="111">
        <f>IFERROR(VLOOKUP($B26,MMWR_TRAD_AGG_STATE_COMP[],K$1,0),"ERROR")</f>
        <v>270</v>
      </c>
      <c r="L26" s="112">
        <f>IFERROR(VLOOKUP($B26,MMWR_TRAD_AGG_STATE_COMP[],L$1,0),"ERROR")</f>
        <v>224</v>
      </c>
      <c r="M26" s="114">
        <f t="shared" si="2"/>
        <v>0.82962962962962961</v>
      </c>
      <c r="N26" s="111">
        <f>IFERROR(VLOOKUP($B26,MMWR_TRAD_AGG_STATE_COMP[],N$1,0),"ERROR")</f>
        <v>1221</v>
      </c>
      <c r="O26" s="112">
        <f>IFERROR(VLOOKUP($B26,MMWR_TRAD_AGG_STATE_COMP[],O$1,0),"ERROR")</f>
        <v>968</v>
      </c>
      <c r="P26" s="114">
        <f t="shared" si="3"/>
        <v>0.7927927927927928</v>
      </c>
      <c r="Q26" s="115">
        <f>IFERROR(VLOOKUP($B26,MMWR_TRAD_AGG_STATE_COMP[],Q$1,0),"ERROR")</f>
        <v>1</v>
      </c>
      <c r="R26" s="115">
        <f>IFERROR(VLOOKUP($B26,MMWR_TRAD_AGG_STATE_COMP[],R$1,0),"ERROR")</f>
        <v>10</v>
      </c>
      <c r="S26" s="115">
        <f>IFERROR(VLOOKUP($B26,MMWR_APP_STATE_COMP[],S$1,0),"ERROR")</f>
        <v>1140</v>
      </c>
      <c r="T26" s="28"/>
    </row>
    <row r="27" spans="1:20" s="123" customFormat="1" x14ac:dyDescent="0.2">
      <c r="A27" s="107"/>
      <c r="B27" s="127" t="s">
        <v>429</v>
      </c>
      <c r="C27" s="109">
        <f>IFERROR(VLOOKUP($B27,MMWR_TRAD_AGG_STATE_COMP[],C$1,0),"ERROR")</f>
        <v>1994</v>
      </c>
      <c r="D27" s="110">
        <f>IFERROR(VLOOKUP($B27,MMWR_TRAD_AGG_STATE_COMP[],D$1,0),"ERROR")</f>
        <v>241.1634904714</v>
      </c>
      <c r="E27" s="111">
        <f>IFERROR(VLOOKUP($B27,MMWR_TRAD_AGG_STATE_COMP[],E$1,0),"ERROR")</f>
        <v>2951</v>
      </c>
      <c r="F27" s="112">
        <f>IFERROR(VLOOKUP($B27,MMWR_TRAD_AGG_STATE_COMP[],F$1,0),"ERROR")</f>
        <v>533</v>
      </c>
      <c r="G27" s="113">
        <f t="shared" si="0"/>
        <v>0.18061674008810572</v>
      </c>
      <c r="H27" s="111">
        <f>IFERROR(VLOOKUP($B27,MMWR_TRAD_AGG_STATE_COMP[],H$1,0),"ERROR")</f>
        <v>3444</v>
      </c>
      <c r="I27" s="112">
        <f>IFERROR(VLOOKUP($B27,MMWR_TRAD_AGG_STATE_COMP[],I$1,0),"ERROR")</f>
        <v>1453</v>
      </c>
      <c r="J27" s="114">
        <f t="shared" si="1"/>
        <v>0.42189314750290358</v>
      </c>
      <c r="K27" s="111">
        <f>IFERROR(VLOOKUP($B27,MMWR_TRAD_AGG_STATE_COMP[],K$1,0),"ERROR")</f>
        <v>515</v>
      </c>
      <c r="L27" s="112">
        <f>IFERROR(VLOOKUP($B27,MMWR_TRAD_AGG_STATE_COMP[],L$1,0),"ERROR")</f>
        <v>340</v>
      </c>
      <c r="M27" s="114">
        <f t="shared" si="2"/>
        <v>0.66019417475728159</v>
      </c>
      <c r="N27" s="111">
        <f>IFERROR(VLOOKUP($B27,MMWR_TRAD_AGG_STATE_COMP[],N$1,0),"ERROR")</f>
        <v>437</v>
      </c>
      <c r="O27" s="112">
        <f>IFERROR(VLOOKUP($B27,MMWR_TRAD_AGG_STATE_COMP[],O$1,0),"ERROR")</f>
        <v>204</v>
      </c>
      <c r="P27" s="114">
        <f t="shared" si="3"/>
        <v>0.46681922196796338</v>
      </c>
      <c r="Q27" s="115">
        <f>IFERROR(VLOOKUP($B27,MMWR_TRAD_AGG_STATE_COMP[],Q$1,0),"ERROR")</f>
        <v>2</v>
      </c>
      <c r="R27" s="115">
        <f>IFERROR(VLOOKUP($B27,MMWR_TRAD_AGG_STATE_COMP[],R$1,0),"ERROR")</f>
        <v>17</v>
      </c>
      <c r="S27" s="115">
        <f>IFERROR(VLOOKUP($B27,MMWR_APP_STATE_COMP[],S$1,0),"ERROR")</f>
        <v>1377</v>
      </c>
      <c r="T27" s="28"/>
    </row>
    <row r="28" spans="1:20" s="123" customFormat="1" x14ac:dyDescent="0.2">
      <c r="A28" s="107"/>
      <c r="B28" s="127" t="s">
        <v>402</v>
      </c>
      <c r="C28" s="109">
        <f>IFERROR(VLOOKUP($B28,MMWR_TRAD_AGG_STATE_COMP[],C$1,0),"ERROR")</f>
        <v>4000</v>
      </c>
      <c r="D28" s="110">
        <f>IFERROR(VLOOKUP($B28,MMWR_TRAD_AGG_STATE_COMP[],D$1,0),"ERROR")</f>
        <v>256.46875</v>
      </c>
      <c r="E28" s="111">
        <f>IFERROR(VLOOKUP($B28,MMWR_TRAD_AGG_STATE_COMP[],E$1,0),"ERROR")</f>
        <v>7678</v>
      </c>
      <c r="F28" s="112">
        <f>IFERROR(VLOOKUP($B28,MMWR_TRAD_AGG_STATE_COMP[],F$1,0),"ERROR")</f>
        <v>1851</v>
      </c>
      <c r="G28" s="113">
        <f t="shared" si="0"/>
        <v>0.24107840583485282</v>
      </c>
      <c r="H28" s="111">
        <f>IFERROR(VLOOKUP($B28,MMWR_TRAD_AGG_STATE_COMP[],H$1,0),"ERROR")</f>
        <v>7748</v>
      </c>
      <c r="I28" s="112">
        <f>IFERROR(VLOOKUP($B28,MMWR_TRAD_AGG_STATE_COMP[],I$1,0),"ERROR")</f>
        <v>3563</v>
      </c>
      <c r="J28" s="114">
        <f t="shared" si="1"/>
        <v>0.45986060918946825</v>
      </c>
      <c r="K28" s="111">
        <f>IFERROR(VLOOKUP($B28,MMWR_TRAD_AGG_STATE_COMP[],K$1,0),"ERROR")</f>
        <v>958</v>
      </c>
      <c r="L28" s="112">
        <f>IFERROR(VLOOKUP($B28,MMWR_TRAD_AGG_STATE_COMP[],L$1,0),"ERROR")</f>
        <v>816</v>
      </c>
      <c r="M28" s="114">
        <f t="shared" si="2"/>
        <v>0.85177453027139871</v>
      </c>
      <c r="N28" s="111">
        <f>IFERROR(VLOOKUP($B28,MMWR_TRAD_AGG_STATE_COMP[],N$1,0),"ERROR")</f>
        <v>1361</v>
      </c>
      <c r="O28" s="112">
        <f>IFERROR(VLOOKUP($B28,MMWR_TRAD_AGG_STATE_COMP[],O$1,0),"ERROR")</f>
        <v>680</v>
      </c>
      <c r="P28" s="114">
        <f t="shared" si="3"/>
        <v>0.4996326230712711</v>
      </c>
      <c r="Q28" s="115">
        <f>IFERROR(VLOOKUP($B28,MMWR_TRAD_AGG_STATE_COMP[],Q$1,0),"ERROR")</f>
        <v>139</v>
      </c>
      <c r="R28" s="115">
        <f>IFERROR(VLOOKUP($B28,MMWR_TRAD_AGG_STATE_COMP[],R$1,0),"ERROR")</f>
        <v>204</v>
      </c>
      <c r="S28" s="115">
        <f>IFERROR(VLOOKUP($B28,MMWR_APP_STATE_COMP[],S$1,0),"ERROR")</f>
        <v>6512</v>
      </c>
      <c r="T28" s="28"/>
    </row>
    <row r="29" spans="1:20" s="123" customFormat="1" x14ac:dyDescent="0.2">
      <c r="A29" s="107"/>
      <c r="B29" s="127" t="s">
        <v>408</v>
      </c>
      <c r="C29" s="109">
        <f>IFERROR(VLOOKUP($B29,MMWR_TRAD_AGG_STATE_COMP[],C$1,0),"ERROR")</f>
        <v>1317</v>
      </c>
      <c r="D29" s="110">
        <f>IFERROR(VLOOKUP($B29,MMWR_TRAD_AGG_STATE_COMP[],D$1,0),"ERROR")</f>
        <v>193.5140470767</v>
      </c>
      <c r="E29" s="111">
        <f>IFERROR(VLOOKUP($B29,MMWR_TRAD_AGG_STATE_COMP[],E$1,0),"ERROR")</f>
        <v>5396</v>
      </c>
      <c r="F29" s="112">
        <f>IFERROR(VLOOKUP($B29,MMWR_TRAD_AGG_STATE_COMP[],F$1,0),"ERROR")</f>
        <v>1069</v>
      </c>
      <c r="G29" s="113">
        <f t="shared" si="0"/>
        <v>0.19810971089696072</v>
      </c>
      <c r="H29" s="111">
        <f>IFERROR(VLOOKUP($B29,MMWR_TRAD_AGG_STATE_COMP[],H$1,0),"ERROR")</f>
        <v>4097</v>
      </c>
      <c r="I29" s="112">
        <f>IFERROR(VLOOKUP($B29,MMWR_TRAD_AGG_STATE_COMP[],I$1,0),"ERROR")</f>
        <v>1063</v>
      </c>
      <c r="J29" s="114">
        <f t="shared" si="1"/>
        <v>0.25945814010251406</v>
      </c>
      <c r="K29" s="111">
        <f>IFERROR(VLOOKUP($B29,MMWR_TRAD_AGG_STATE_COMP[],K$1,0),"ERROR")</f>
        <v>339</v>
      </c>
      <c r="L29" s="112">
        <f>IFERROR(VLOOKUP($B29,MMWR_TRAD_AGG_STATE_COMP[],L$1,0),"ERROR")</f>
        <v>246</v>
      </c>
      <c r="M29" s="114">
        <f t="shared" si="2"/>
        <v>0.72566371681415931</v>
      </c>
      <c r="N29" s="111">
        <f>IFERROR(VLOOKUP($B29,MMWR_TRAD_AGG_STATE_COMP[],N$1,0),"ERROR")</f>
        <v>946</v>
      </c>
      <c r="O29" s="112">
        <f>IFERROR(VLOOKUP($B29,MMWR_TRAD_AGG_STATE_COMP[],O$1,0),"ERROR")</f>
        <v>568</v>
      </c>
      <c r="P29" s="114">
        <f t="shared" si="3"/>
        <v>0.60042283298097254</v>
      </c>
      <c r="Q29" s="115">
        <f>IFERROR(VLOOKUP($B29,MMWR_TRAD_AGG_STATE_COMP[],Q$1,0),"ERROR")</f>
        <v>4</v>
      </c>
      <c r="R29" s="115">
        <f>IFERROR(VLOOKUP($B29,MMWR_TRAD_AGG_STATE_COMP[],R$1,0),"ERROR")</f>
        <v>2</v>
      </c>
      <c r="S29" s="115">
        <f>IFERROR(VLOOKUP($B29,MMWR_APP_STATE_COMP[],S$1,0),"ERROR")</f>
        <v>2126</v>
      </c>
      <c r="T29" s="28"/>
    </row>
    <row r="30" spans="1:20" s="123" customFormat="1" x14ac:dyDescent="0.2">
      <c r="A30" s="107"/>
      <c r="B30" s="127" t="s">
        <v>404</v>
      </c>
      <c r="C30" s="109">
        <f>IFERROR(VLOOKUP($B30,MMWR_TRAD_AGG_STATE_COMP[],C$1,0),"ERROR")</f>
        <v>5778</v>
      </c>
      <c r="D30" s="110">
        <f>IFERROR(VLOOKUP($B30,MMWR_TRAD_AGG_STATE_COMP[],D$1,0),"ERROR")</f>
        <v>292.3566978193</v>
      </c>
      <c r="E30" s="111">
        <f>IFERROR(VLOOKUP($B30,MMWR_TRAD_AGG_STATE_COMP[],E$1,0),"ERROR")</f>
        <v>5713</v>
      </c>
      <c r="F30" s="112">
        <f>IFERROR(VLOOKUP($B30,MMWR_TRAD_AGG_STATE_COMP[],F$1,0),"ERROR")</f>
        <v>861</v>
      </c>
      <c r="G30" s="113">
        <f t="shared" si="0"/>
        <v>0.15070890950463856</v>
      </c>
      <c r="H30" s="111">
        <f>IFERROR(VLOOKUP($B30,MMWR_TRAD_AGG_STATE_COMP[],H$1,0),"ERROR")</f>
        <v>8589</v>
      </c>
      <c r="I30" s="112">
        <f>IFERROR(VLOOKUP($B30,MMWR_TRAD_AGG_STATE_COMP[],I$1,0),"ERROR")</f>
        <v>5262</v>
      </c>
      <c r="J30" s="114">
        <f t="shared" si="1"/>
        <v>0.61264407963674472</v>
      </c>
      <c r="K30" s="111">
        <f>IFERROR(VLOOKUP($B30,MMWR_TRAD_AGG_STATE_COMP[],K$1,0),"ERROR")</f>
        <v>2180</v>
      </c>
      <c r="L30" s="112">
        <f>IFERROR(VLOOKUP($B30,MMWR_TRAD_AGG_STATE_COMP[],L$1,0),"ERROR")</f>
        <v>1988</v>
      </c>
      <c r="M30" s="114">
        <f t="shared" si="2"/>
        <v>0.91192660550458715</v>
      </c>
      <c r="N30" s="111">
        <f>IFERROR(VLOOKUP($B30,MMWR_TRAD_AGG_STATE_COMP[],N$1,0),"ERROR")</f>
        <v>6236</v>
      </c>
      <c r="O30" s="112">
        <f>IFERROR(VLOOKUP($B30,MMWR_TRAD_AGG_STATE_COMP[],O$1,0),"ERROR")</f>
        <v>4532</v>
      </c>
      <c r="P30" s="114">
        <f t="shared" si="3"/>
        <v>0.72674791533034</v>
      </c>
      <c r="Q30" s="115">
        <f>IFERROR(VLOOKUP($B30,MMWR_TRAD_AGG_STATE_COMP[],Q$1,0),"ERROR")</f>
        <v>134</v>
      </c>
      <c r="R30" s="115">
        <f>IFERROR(VLOOKUP($B30,MMWR_TRAD_AGG_STATE_COMP[],R$1,0),"ERROR")</f>
        <v>105</v>
      </c>
      <c r="S30" s="115">
        <f>IFERROR(VLOOKUP($B30,MMWR_APP_STATE_COMP[],S$1,0),"ERROR")</f>
        <v>6909</v>
      </c>
      <c r="T30" s="28"/>
    </row>
    <row r="31" spans="1:20" s="123" customFormat="1" x14ac:dyDescent="0.2">
      <c r="A31" s="107"/>
      <c r="B31" s="127" t="s">
        <v>407</v>
      </c>
      <c r="C31" s="109">
        <f>IFERROR(VLOOKUP($B31,MMWR_TRAD_AGG_STATE_COMP[],C$1,0),"ERROR")</f>
        <v>1330</v>
      </c>
      <c r="D31" s="110">
        <f>IFERROR(VLOOKUP($B31,MMWR_TRAD_AGG_STATE_COMP[],D$1,0),"ERROR")</f>
        <v>210.81127819549999</v>
      </c>
      <c r="E31" s="111">
        <f>IFERROR(VLOOKUP($B31,MMWR_TRAD_AGG_STATE_COMP[],E$1,0),"ERROR")</f>
        <v>2005</v>
      </c>
      <c r="F31" s="112">
        <f>IFERROR(VLOOKUP($B31,MMWR_TRAD_AGG_STATE_COMP[],F$1,0),"ERROR")</f>
        <v>250</v>
      </c>
      <c r="G31" s="113">
        <f t="shared" si="0"/>
        <v>0.12468827930174564</v>
      </c>
      <c r="H31" s="111">
        <f>IFERROR(VLOOKUP($B31,MMWR_TRAD_AGG_STATE_COMP[],H$1,0),"ERROR")</f>
        <v>2514</v>
      </c>
      <c r="I31" s="112">
        <f>IFERROR(VLOOKUP($B31,MMWR_TRAD_AGG_STATE_COMP[],I$1,0),"ERROR")</f>
        <v>849</v>
      </c>
      <c r="J31" s="114">
        <f t="shared" si="1"/>
        <v>0.33770883054892603</v>
      </c>
      <c r="K31" s="111">
        <f>IFERROR(VLOOKUP($B31,MMWR_TRAD_AGG_STATE_COMP[],K$1,0),"ERROR")</f>
        <v>899</v>
      </c>
      <c r="L31" s="112">
        <f>IFERROR(VLOOKUP($B31,MMWR_TRAD_AGG_STATE_COMP[],L$1,0),"ERROR")</f>
        <v>757</v>
      </c>
      <c r="M31" s="114">
        <f t="shared" si="2"/>
        <v>0.84204671857619573</v>
      </c>
      <c r="N31" s="111">
        <f>IFERROR(VLOOKUP($B31,MMWR_TRAD_AGG_STATE_COMP[],N$1,0),"ERROR")</f>
        <v>410</v>
      </c>
      <c r="O31" s="112">
        <f>IFERROR(VLOOKUP($B31,MMWR_TRAD_AGG_STATE_COMP[],O$1,0),"ERROR")</f>
        <v>171</v>
      </c>
      <c r="P31" s="114">
        <f t="shared" si="3"/>
        <v>0.4170731707317073</v>
      </c>
      <c r="Q31" s="115">
        <f>IFERROR(VLOOKUP($B31,MMWR_TRAD_AGG_STATE_COMP[],Q$1,0),"ERROR")</f>
        <v>1</v>
      </c>
      <c r="R31" s="115">
        <f>IFERROR(VLOOKUP($B31,MMWR_TRAD_AGG_STATE_COMP[],R$1,0),"ERROR")</f>
        <v>14</v>
      </c>
      <c r="S31" s="115">
        <f>IFERROR(VLOOKUP($B31,MMWR_APP_STATE_COMP[],S$1,0),"ERROR")</f>
        <v>1513</v>
      </c>
      <c r="T31" s="28"/>
    </row>
    <row r="32" spans="1:20" s="123" customFormat="1" x14ac:dyDescent="0.2">
      <c r="A32" s="107"/>
      <c r="B32" s="127" t="s">
        <v>426</v>
      </c>
      <c r="C32" s="109">
        <f>IFERROR(VLOOKUP($B32,MMWR_TRAD_AGG_STATE_COMP[],C$1,0),"ERROR")</f>
        <v>232</v>
      </c>
      <c r="D32" s="110">
        <f>IFERROR(VLOOKUP($B32,MMWR_TRAD_AGG_STATE_COMP[],D$1,0),"ERROR")</f>
        <v>238.92241379309999</v>
      </c>
      <c r="E32" s="111">
        <f>IFERROR(VLOOKUP($B32,MMWR_TRAD_AGG_STATE_COMP[],E$1,0),"ERROR")</f>
        <v>620</v>
      </c>
      <c r="F32" s="112">
        <f>IFERROR(VLOOKUP($B32,MMWR_TRAD_AGG_STATE_COMP[],F$1,0),"ERROR")</f>
        <v>125</v>
      </c>
      <c r="G32" s="113">
        <f t="shared" si="0"/>
        <v>0.20161290322580644</v>
      </c>
      <c r="H32" s="111">
        <f>IFERROR(VLOOKUP($B32,MMWR_TRAD_AGG_STATE_COMP[],H$1,0),"ERROR")</f>
        <v>470</v>
      </c>
      <c r="I32" s="112">
        <f>IFERROR(VLOOKUP($B32,MMWR_TRAD_AGG_STATE_COMP[],I$1,0),"ERROR")</f>
        <v>145</v>
      </c>
      <c r="J32" s="114">
        <f t="shared" si="1"/>
        <v>0.30851063829787234</v>
      </c>
      <c r="K32" s="111">
        <f>IFERROR(VLOOKUP($B32,MMWR_TRAD_AGG_STATE_COMP[],K$1,0),"ERROR")</f>
        <v>73</v>
      </c>
      <c r="L32" s="112">
        <f>IFERROR(VLOOKUP($B32,MMWR_TRAD_AGG_STATE_COMP[],L$1,0),"ERROR")</f>
        <v>43</v>
      </c>
      <c r="M32" s="114">
        <f t="shared" si="2"/>
        <v>0.58904109589041098</v>
      </c>
      <c r="N32" s="111">
        <f>IFERROR(VLOOKUP($B32,MMWR_TRAD_AGG_STATE_COMP[],N$1,0),"ERROR")</f>
        <v>111</v>
      </c>
      <c r="O32" s="112">
        <f>IFERROR(VLOOKUP($B32,MMWR_TRAD_AGG_STATE_COMP[],O$1,0),"ERROR")</f>
        <v>48</v>
      </c>
      <c r="P32" s="114">
        <f t="shared" si="3"/>
        <v>0.43243243243243246</v>
      </c>
      <c r="Q32" s="115">
        <f>IFERROR(VLOOKUP($B32,MMWR_TRAD_AGG_STATE_COMP[],Q$1,0),"ERROR")</f>
        <v>0</v>
      </c>
      <c r="R32" s="115">
        <f>IFERROR(VLOOKUP($B32,MMWR_TRAD_AGG_STATE_COMP[],R$1,0),"ERROR")</f>
        <v>0</v>
      </c>
      <c r="S32" s="115">
        <f>IFERROR(VLOOKUP($B32,MMWR_APP_STATE_COMP[],S$1,0),"ERROR")</f>
        <v>434</v>
      </c>
      <c r="T32" s="28"/>
    </row>
    <row r="33" spans="1:20" s="123" customFormat="1" x14ac:dyDescent="0.2">
      <c r="A33" s="107"/>
      <c r="B33" s="127" t="s">
        <v>398</v>
      </c>
      <c r="C33" s="109">
        <f>IFERROR(VLOOKUP($B33,MMWR_TRAD_AGG_STATE_COMP[],C$1,0),"ERROR")</f>
        <v>8019</v>
      </c>
      <c r="D33" s="110">
        <f>IFERROR(VLOOKUP($B33,MMWR_TRAD_AGG_STATE_COMP[],D$1,0),"ERROR")</f>
        <v>471.81705948370001</v>
      </c>
      <c r="E33" s="111">
        <f>IFERROR(VLOOKUP($B33,MMWR_TRAD_AGG_STATE_COMP[],E$1,0),"ERROR")</f>
        <v>8732</v>
      </c>
      <c r="F33" s="112">
        <f>IFERROR(VLOOKUP($B33,MMWR_TRAD_AGG_STATE_COMP[],F$1,0),"ERROR")</f>
        <v>1924</v>
      </c>
      <c r="G33" s="113">
        <f t="shared" si="0"/>
        <v>0.22033898305084745</v>
      </c>
      <c r="H33" s="111">
        <f>IFERROR(VLOOKUP($B33,MMWR_TRAD_AGG_STATE_COMP[],H$1,0),"ERROR")</f>
        <v>11523</v>
      </c>
      <c r="I33" s="112">
        <f>IFERROR(VLOOKUP($B33,MMWR_TRAD_AGG_STATE_COMP[],I$1,0),"ERROR")</f>
        <v>7960</v>
      </c>
      <c r="J33" s="114">
        <f t="shared" si="1"/>
        <v>0.6907923283867049</v>
      </c>
      <c r="K33" s="111">
        <f>IFERROR(VLOOKUP($B33,MMWR_TRAD_AGG_STATE_COMP[],K$1,0),"ERROR")</f>
        <v>1595</v>
      </c>
      <c r="L33" s="112">
        <f>IFERROR(VLOOKUP($B33,MMWR_TRAD_AGG_STATE_COMP[],L$1,0),"ERROR")</f>
        <v>1479</v>
      </c>
      <c r="M33" s="114">
        <f t="shared" si="2"/>
        <v>0.92727272727272725</v>
      </c>
      <c r="N33" s="111">
        <f>IFERROR(VLOOKUP($B33,MMWR_TRAD_AGG_STATE_COMP[],N$1,0),"ERROR")</f>
        <v>6131</v>
      </c>
      <c r="O33" s="112">
        <f>IFERROR(VLOOKUP($B33,MMWR_TRAD_AGG_STATE_COMP[],O$1,0),"ERROR")</f>
        <v>3476</v>
      </c>
      <c r="P33" s="114">
        <f t="shared" si="3"/>
        <v>0.56695481976839013</v>
      </c>
      <c r="Q33" s="115">
        <f>IFERROR(VLOOKUP($B33,MMWR_TRAD_AGG_STATE_COMP[],Q$1,0),"ERROR")</f>
        <v>158</v>
      </c>
      <c r="R33" s="115">
        <f>IFERROR(VLOOKUP($B33,MMWR_TRAD_AGG_STATE_COMP[],R$1,0),"ERROR")</f>
        <v>344</v>
      </c>
      <c r="S33" s="115">
        <f>IFERROR(VLOOKUP($B33,MMWR_APP_STATE_COMP[],S$1,0),"ERROR")</f>
        <v>14105</v>
      </c>
      <c r="T33" s="28"/>
    </row>
    <row r="34" spans="1:20" s="123" customFormat="1" x14ac:dyDescent="0.2">
      <c r="A34" s="107"/>
      <c r="B34" s="127" t="s">
        <v>427</v>
      </c>
      <c r="C34" s="109">
        <f>IFERROR(VLOOKUP($B34,MMWR_TRAD_AGG_STATE_COMP[],C$1,0),"ERROR")</f>
        <v>396</v>
      </c>
      <c r="D34" s="110">
        <f>IFERROR(VLOOKUP($B34,MMWR_TRAD_AGG_STATE_COMP[],D$1,0),"ERROR")</f>
        <v>226.81060606060001</v>
      </c>
      <c r="E34" s="111">
        <f>IFERROR(VLOOKUP($B34,MMWR_TRAD_AGG_STATE_COMP[],E$1,0),"ERROR")</f>
        <v>854</v>
      </c>
      <c r="F34" s="112">
        <f>IFERROR(VLOOKUP($B34,MMWR_TRAD_AGG_STATE_COMP[],F$1,0),"ERROR")</f>
        <v>200</v>
      </c>
      <c r="G34" s="113">
        <f t="shared" si="0"/>
        <v>0.23419203747072601</v>
      </c>
      <c r="H34" s="111">
        <f>IFERROR(VLOOKUP($B34,MMWR_TRAD_AGG_STATE_COMP[],H$1,0),"ERROR")</f>
        <v>1003</v>
      </c>
      <c r="I34" s="112">
        <f>IFERROR(VLOOKUP($B34,MMWR_TRAD_AGG_STATE_COMP[],I$1,0),"ERROR")</f>
        <v>251</v>
      </c>
      <c r="J34" s="114">
        <f t="shared" si="1"/>
        <v>0.25024925224327021</v>
      </c>
      <c r="K34" s="111">
        <f>IFERROR(VLOOKUP($B34,MMWR_TRAD_AGG_STATE_COMP[],K$1,0),"ERROR")</f>
        <v>353</v>
      </c>
      <c r="L34" s="112">
        <f>IFERROR(VLOOKUP($B34,MMWR_TRAD_AGG_STATE_COMP[],L$1,0),"ERROR")</f>
        <v>213</v>
      </c>
      <c r="M34" s="114">
        <f t="shared" si="2"/>
        <v>0.60339943342776203</v>
      </c>
      <c r="N34" s="111">
        <f>IFERROR(VLOOKUP($B34,MMWR_TRAD_AGG_STATE_COMP[],N$1,0),"ERROR")</f>
        <v>120</v>
      </c>
      <c r="O34" s="112">
        <f>IFERROR(VLOOKUP($B34,MMWR_TRAD_AGG_STATE_COMP[],O$1,0),"ERROR")</f>
        <v>57</v>
      </c>
      <c r="P34" s="114">
        <f t="shared" si="3"/>
        <v>0.47499999999999998</v>
      </c>
      <c r="Q34" s="115">
        <f>IFERROR(VLOOKUP($B34,MMWR_TRAD_AGG_STATE_COMP[],Q$1,0),"ERROR")</f>
        <v>1</v>
      </c>
      <c r="R34" s="115">
        <f>IFERROR(VLOOKUP($B34,MMWR_TRAD_AGG_STATE_COMP[],R$1,0),"ERROR")</f>
        <v>2</v>
      </c>
      <c r="S34" s="115">
        <f>IFERROR(VLOOKUP($B34,MMWR_APP_STATE_COMP[],S$1,0),"ERROR")</f>
        <v>197</v>
      </c>
      <c r="T34" s="28"/>
    </row>
    <row r="35" spans="1:20" s="123" customFormat="1" x14ac:dyDescent="0.2">
      <c r="A35" s="107"/>
      <c r="B35" s="127" t="s">
        <v>403</v>
      </c>
      <c r="C35" s="109">
        <f>IFERROR(VLOOKUP($B35,MMWR_TRAD_AGG_STATE_COMP[],C$1,0),"ERROR")</f>
        <v>4988</v>
      </c>
      <c r="D35" s="110">
        <f>IFERROR(VLOOKUP($B35,MMWR_TRAD_AGG_STATE_COMP[],D$1,0),"ERROR")</f>
        <v>242.81234963910001</v>
      </c>
      <c r="E35" s="111">
        <f>IFERROR(VLOOKUP($B35,MMWR_TRAD_AGG_STATE_COMP[],E$1,0),"ERROR")</f>
        <v>3948</v>
      </c>
      <c r="F35" s="112">
        <f>IFERROR(VLOOKUP($B35,MMWR_TRAD_AGG_STATE_COMP[],F$1,0),"ERROR")</f>
        <v>757</v>
      </c>
      <c r="G35" s="113">
        <f t="shared" si="0"/>
        <v>0.19174265450861194</v>
      </c>
      <c r="H35" s="111">
        <f>IFERROR(VLOOKUP($B35,MMWR_TRAD_AGG_STATE_COMP[],H$1,0),"ERROR")</f>
        <v>6740</v>
      </c>
      <c r="I35" s="112">
        <f>IFERROR(VLOOKUP($B35,MMWR_TRAD_AGG_STATE_COMP[],I$1,0),"ERROR")</f>
        <v>4368</v>
      </c>
      <c r="J35" s="114">
        <f t="shared" si="1"/>
        <v>0.64807121661721068</v>
      </c>
      <c r="K35" s="111">
        <f>IFERROR(VLOOKUP($B35,MMWR_TRAD_AGG_STATE_COMP[],K$1,0),"ERROR")</f>
        <v>430</v>
      </c>
      <c r="L35" s="112">
        <f>IFERROR(VLOOKUP($B35,MMWR_TRAD_AGG_STATE_COMP[],L$1,0),"ERROR")</f>
        <v>286</v>
      </c>
      <c r="M35" s="114">
        <f t="shared" si="2"/>
        <v>0.66511627906976745</v>
      </c>
      <c r="N35" s="111">
        <f>IFERROR(VLOOKUP($B35,MMWR_TRAD_AGG_STATE_COMP[],N$1,0),"ERROR")</f>
        <v>751</v>
      </c>
      <c r="O35" s="112">
        <f>IFERROR(VLOOKUP($B35,MMWR_TRAD_AGG_STATE_COMP[],O$1,0),"ERROR")</f>
        <v>374</v>
      </c>
      <c r="P35" s="114">
        <f t="shared" si="3"/>
        <v>0.49800266311584551</v>
      </c>
      <c r="Q35" s="115">
        <f>IFERROR(VLOOKUP($B35,MMWR_TRAD_AGG_STATE_COMP[],Q$1,0),"ERROR")</f>
        <v>63</v>
      </c>
      <c r="R35" s="115">
        <f>IFERROR(VLOOKUP($B35,MMWR_TRAD_AGG_STATE_COMP[],R$1,0),"ERROR")</f>
        <v>9</v>
      </c>
      <c r="S35" s="115">
        <f>IFERROR(VLOOKUP($B35,MMWR_APP_STATE_COMP[],S$1,0),"ERROR")</f>
        <v>3379</v>
      </c>
      <c r="T35" s="28"/>
    </row>
    <row r="36" spans="1:20" s="123" customFormat="1" x14ac:dyDescent="0.2">
      <c r="A36" s="28"/>
      <c r="B36" s="126" t="s">
        <v>392</v>
      </c>
      <c r="C36" s="102">
        <f>IF(SUM(C37:C45)&lt;&gt;VLOOKUP($B36,MMWR_TRAD_AGG_ST_DISTRICT_COMP[],C$1,0),"ERROR",
VLOOKUP($B36,MMWR_TRAD_AGG_ST_DISTRICT_COMP[],C$1,0))</f>
        <v>66028</v>
      </c>
      <c r="D36" s="103">
        <f>IFERROR(VLOOKUP($B36,MMWR_TRAD_AGG_ST_DISTRICT_COMP[],D$1,0),"ERROR")</f>
        <v>350.01032895140003</v>
      </c>
      <c r="E36" s="102">
        <f>IFERROR(VLOOKUP($B36,MMWR_TRAD_AGG_ST_DISTRICT_COMP[],E$1,0),"ERROR")</f>
        <v>69752</v>
      </c>
      <c r="F36" s="102">
        <f>IFERROR(VLOOKUP($B36,MMWR_TRAD_AGG_ST_DISTRICT_COMP[],F$1,0),"ERROR")</f>
        <v>13339</v>
      </c>
      <c r="G36" s="104">
        <f t="shared" si="0"/>
        <v>0.19123465993806629</v>
      </c>
      <c r="H36" s="102">
        <f>IFERROR(VLOOKUP($B36,MMWR_TRAD_AGG_ST_DISTRICT_COMP[],H$1,0),"ERROR")</f>
        <v>93832</v>
      </c>
      <c r="I36" s="102">
        <f>IFERROR(VLOOKUP($B36,MMWR_TRAD_AGG_ST_DISTRICT_COMP[],I$1,0),"ERROR")</f>
        <v>56885</v>
      </c>
      <c r="J36" s="105">
        <f t="shared" si="1"/>
        <v>0.60624307272572253</v>
      </c>
      <c r="K36" s="102">
        <f>IFERROR(VLOOKUP($B36,MMWR_TRAD_AGG_ST_DISTRICT_COMP[],K$1,0),"ERROR")</f>
        <v>13222</v>
      </c>
      <c r="L36" s="102">
        <f>IFERROR(VLOOKUP($B36,MMWR_TRAD_AGG_ST_DISTRICT_COMP[],L$1,0),"ERROR")</f>
        <v>10907</v>
      </c>
      <c r="M36" s="105">
        <f t="shared" si="2"/>
        <v>0.82491302374829834</v>
      </c>
      <c r="N36" s="102">
        <f>IFERROR(VLOOKUP($B36,MMWR_TRAD_AGG_ST_DISTRICT_COMP[],N$1,0),"ERROR")</f>
        <v>19902</v>
      </c>
      <c r="O36" s="102">
        <f>IFERROR(VLOOKUP($B36,MMWR_TRAD_AGG_ST_DISTRICT_COMP[],O$1,0),"ERROR")</f>
        <v>10390</v>
      </c>
      <c r="P36" s="105">
        <f t="shared" si="3"/>
        <v>0.52205808461461156</v>
      </c>
      <c r="Q36" s="102">
        <f>IFERROR(VLOOKUP($B36,MMWR_TRAD_AGG_ST_DISTRICT_COMP[],Q$1,0),"ERROR")</f>
        <v>240</v>
      </c>
      <c r="R36" s="106">
        <f>IFERROR(VLOOKUP($B36,MMWR_TRAD_AGG_ST_DISTRICT_COMP[],R$1,0),"ERROR")</f>
        <v>1203</v>
      </c>
      <c r="S36" s="106">
        <f>SUM(S37:S45)</f>
        <v>68434</v>
      </c>
      <c r="T36" s="28"/>
    </row>
    <row r="37" spans="1:20" s="123" customFormat="1" x14ac:dyDescent="0.2">
      <c r="A37" s="28"/>
      <c r="B37" s="127" t="s">
        <v>418</v>
      </c>
      <c r="C37" s="109">
        <f>IFERROR(VLOOKUP($B37,MMWR_TRAD_AGG_STATE_COMP[],C$1,0),"ERROR")</f>
        <v>5298</v>
      </c>
      <c r="D37" s="110">
        <f>IFERROR(VLOOKUP($B37,MMWR_TRAD_AGG_STATE_COMP[],D$1,0),"ERROR")</f>
        <v>343.93922234809997</v>
      </c>
      <c r="E37" s="111">
        <f>IFERROR(VLOOKUP($B37,MMWR_TRAD_AGG_STATE_COMP[],E$1,0),"ERROR")</f>
        <v>3788</v>
      </c>
      <c r="F37" s="112">
        <f>IFERROR(VLOOKUP($B37,MMWR_TRAD_AGG_STATE_COMP[],F$1,0),"ERROR")</f>
        <v>466</v>
      </c>
      <c r="G37" s="113">
        <f t="shared" si="0"/>
        <v>0.12302006335797254</v>
      </c>
      <c r="H37" s="111">
        <f>IFERROR(VLOOKUP($B37,MMWR_TRAD_AGG_STATE_COMP[],H$1,0),"ERROR")</f>
        <v>7286</v>
      </c>
      <c r="I37" s="112">
        <f>IFERROR(VLOOKUP($B37,MMWR_TRAD_AGG_STATE_COMP[],I$1,0),"ERROR")</f>
        <v>4487</v>
      </c>
      <c r="J37" s="114">
        <f t="shared" si="1"/>
        <v>0.61583859456491907</v>
      </c>
      <c r="K37" s="111">
        <f>IFERROR(VLOOKUP($B37,MMWR_TRAD_AGG_STATE_COMP[],K$1,0),"ERROR")</f>
        <v>1889</v>
      </c>
      <c r="L37" s="112">
        <f>IFERROR(VLOOKUP($B37,MMWR_TRAD_AGG_STATE_COMP[],L$1,0),"ERROR")</f>
        <v>1775</v>
      </c>
      <c r="M37" s="114">
        <f t="shared" si="2"/>
        <v>0.93965060878771833</v>
      </c>
      <c r="N37" s="111">
        <f>IFERROR(VLOOKUP($B37,MMWR_TRAD_AGG_STATE_COMP[],N$1,0),"ERROR")</f>
        <v>1503</v>
      </c>
      <c r="O37" s="112">
        <f>IFERROR(VLOOKUP($B37,MMWR_TRAD_AGG_STATE_COMP[],O$1,0),"ERROR")</f>
        <v>556</v>
      </c>
      <c r="P37" s="114">
        <f t="shared" si="3"/>
        <v>0.3699268130405855</v>
      </c>
      <c r="Q37" s="115">
        <f>IFERROR(VLOOKUP($B37,MMWR_TRAD_AGG_STATE_COMP[],Q$1,0),"ERROR")</f>
        <v>83</v>
      </c>
      <c r="R37" s="115">
        <f>IFERROR(VLOOKUP($B37,MMWR_TRAD_AGG_STATE_COMP[],R$1,0),"ERROR")</f>
        <v>157</v>
      </c>
      <c r="S37" s="115">
        <f>IFERROR(VLOOKUP($B37,MMWR_APP_STATE_COMP[],S$1,0),"ERROR")</f>
        <v>5392</v>
      </c>
      <c r="T37" s="28"/>
    </row>
    <row r="38" spans="1:20" s="123" customFormat="1" x14ac:dyDescent="0.2">
      <c r="A38" s="28"/>
      <c r="B38" s="127" t="s">
        <v>410</v>
      </c>
      <c r="C38" s="109">
        <f>IFERROR(VLOOKUP($B38,MMWR_TRAD_AGG_STATE_COMP[],C$1,0),"ERROR")</f>
        <v>8191</v>
      </c>
      <c r="D38" s="110">
        <f>IFERROR(VLOOKUP($B38,MMWR_TRAD_AGG_STATE_COMP[],D$1,0),"ERROR")</f>
        <v>403.07886704920003</v>
      </c>
      <c r="E38" s="111">
        <f>IFERROR(VLOOKUP($B38,MMWR_TRAD_AGG_STATE_COMP[],E$1,0),"ERROR")</f>
        <v>7202</v>
      </c>
      <c r="F38" s="112">
        <f>IFERROR(VLOOKUP($B38,MMWR_TRAD_AGG_STATE_COMP[],F$1,0),"ERROR")</f>
        <v>1746</v>
      </c>
      <c r="G38" s="113">
        <f t="shared" ref="G38:G64" si="4">IFERROR(F38/E38,"0%")</f>
        <v>0.24243265759511246</v>
      </c>
      <c r="H38" s="111">
        <f>IFERROR(VLOOKUP($B38,MMWR_TRAD_AGG_STATE_COMP[],H$1,0),"ERROR")</f>
        <v>11031</v>
      </c>
      <c r="I38" s="112">
        <f>IFERROR(VLOOKUP($B38,MMWR_TRAD_AGG_STATE_COMP[],I$1,0),"ERROR")</f>
        <v>7777</v>
      </c>
      <c r="J38" s="114">
        <f t="shared" ref="J38:J64" si="5">IFERROR(I38/H38,"0%")</f>
        <v>0.70501314477381927</v>
      </c>
      <c r="K38" s="111">
        <f>IFERROR(VLOOKUP($B38,MMWR_TRAD_AGG_STATE_COMP[],K$1,0),"ERROR")</f>
        <v>2136</v>
      </c>
      <c r="L38" s="112">
        <f>IFERROR(VLOOKUP($B38,MMWR_TRAD_AGG_STATE_COMP[],L$1,0),"ERROR")</f>
        <v>1833</v>
      </c>
      <c r="M38" s="114">
        <f t="shared" ref="M38:M64" si="6">IFERROR(L38/K38,"0%")</f>
        <v>0.8581460674157303</v>
      </c>
      <c r="N38" s="111">
        <f>IFERROR(VLOOKUP($B38,MMWR_TRAD_AGG_STATE_COMP[],N$1,0),"ERROR")</f>
        <v>3625</v>
      </c>
      <c r="O38" s="112">
        <f>IFERROR(VLOOKUP($B38,MMWR_TRAD_AGG_STATE_COMP[],O$1,0),"ERROR")</f>
        <v>2474</v>
      </c>
      <c r="P38" s="114">
        <f t="shared" ref="P38:P64" si="7">IFERROR(O38/N38,"0%")</f>
        <v>0.68248275862068963</v>
      </c>
      <c r="Q38" s="115">
        <f>IFERROR(VLOOKUP($B38,MMWR_TRAD_AGG_STATE_COMP[],Q$1,0),"ERROR")</f>
        <v>7</v>
      </c>
      <c r="R38" s="115">
        <f>IFERROR(VLOOKUP($B38,MMWR_TRAD_AGG_STATE_COMP[],R$1,0),"ERROR")</f>
        <v>72</v>
      </c>
      <c r="S38" s="115">
        <f>IFERROR(VLOOKUP($B38,MMWR_APP_STATE_COMP[],S$1,0),"ERROR")</f>
        <v>6151</v>
      </c>
      <c r="T38" s="28"/>
    </row>
    <row r="39" spans="1:20" s="123" customFormat="1" x14ac:dyDescent="0.2">
      <c r="A39" s="28"/>
      <c r="B39" s="127" t="s">
        <v>394</v>
      </c>
      <c r="C39" s="109">
        <f>IFERROR(VLOOKUP($B39,MMWR_TRAD_AGG_STATE_COMP[],C$1,0),"ERROR")</f>
        <v>6346</v>
      </c>
      <c r="D39" s="110">
        <f>IFERROR(VLOOKUP($B39,MMWR_TRAD_AGG_STATE_COMP[],D$1,0),"ERROR")</f>
        <v>405.0535770564</v>
      </c>
      <c r="E39" s="111">
        <f>IFERROR(VLOOKUP($B39,MMWR_TRAD_AGG_STATE_COMP[],E$1,0),"ERROR")</f>
        <v>6393</v>
      </c>
      <c r="F39" s="112">
        <f>IFERROR(VLOOKUP($B39,MMWR_TRAD_AGG_STATE_COMP[],F$1,0),"ERROR")</f>
        <v>1049</v>
      </c>
      <c r="G39" s="113">
        <f t="shared" si="4"/>
        <v>0.16408571875488817</v>
      </c>
      <c r="H39" s="111">
        <f>IFERROR(VLOOKUP($B39,MMWR_TRAD_AGG_STATE_COMP[],H$1,0),"ERROR")</f>
        <v>9250</v>
      </c>
      <c r="I39" s="112">
        <f>IFERROR(VLOOKUP($B39,MMWR_TRAD_AGG_STATE_COMP[],I$1,0),"ERROR")</f>
        <v>5886</v>
      </c>
      <c r="J39" s="114">
        <f t="shared" si="5"/>
        <v>0.63632432432432429</v>
      </c>
      <c r="K39" s="111">
        <f>IFERROR(VLOOKUP($B39,MMWR_TRAD_AGG_STATE_COMP[],K$1,0),"ERROR")</f>
        <v>875</v>
      </c>
      <c r="L39" s="112">
        <f>IFERROR(VLOOKUP($B39,MMWR_TRAD_AGG_STATE_COMP[],L$1,0),"ERROR")</f>
        <v>714</v>
      </c>
      <c r="M39" s="114">
        <f t="shared" si="6"/>
        <v>0.81599999999999995</v>
      </c>
      <c r="N39" s="111">
        <f>IFERROR(VLOOKUP($B39,MMWR_TRAD_AGG_STATE_COMP[],N$1,0),"ERROR")</f>
        <v>1511</v>
      </c>
      <c r="O39" s="112">
        <f>IFERROR(VLOOKUP($B39,MMWR_TRAD_AGG_STATE_COMP[],O$1,0),"ERROR")</f>
        <v>645</v>
      </c>
      <c r="P39" s="114">
        <f t="shared" si="7"/>
        <v>0.42686962276637991</v>
      </c>
      <c r="Q39" s="115">
        <f>IFERROR(VLOOKUP($B39,MMWR_TRAD_AGG_STATE_COMP[],Q$1,0),"ERROR")</f>
        <v>50</v>
      </c>
      <c r="R39" s="115">
        <f>IFERROR(VLOOKUP($B39,MMWR_TRAD_AGG_STATE_COMP[],R$1,0),"ERROR")</f>
        <v>300</v>
      </c>
      <c r="S39" s="115">
        <f>IFERROR(VLOOKUP($B39,MMWR_APP_STATE_COMP[],S$1,0),"ERROR")</f>
        <v>6062</v>
      </c>
      <c r="T39" s="28"/>
    </row>
    <row r="40" spans="1:20" s="123" customFormat="1" x14ac:dyDescent="0.2">
      <c r="A40" s="28"/>
      <c r="B40" s="127" t="s">
        <v>396</v>
      </c>
      <c r="C40" s="109">
        <f>IFERROR(VLOOKUP($B40,MMWR_TRAD_AGG_STATE_COMP[],C$1,0),"ERROR")</f>
        <v>5065</v>
      </c>
      <c r="D40" s="110">
        <f>IFERROR(VLOOKUP($B40,MMWR_TRAD_AGG_STATE_COMP[],D$1,0),"ERROR")</f>
        <v>376.82922013820001</v>
      </c>
      <c r="E40" s="111">
        <f>IFERROR(VLOOKUP($B40,MMWR_TRAD_AGG_STATE_COMP[],E$1,0),"ERROR")</f>
        <v>4167</v>
      </c>
      <c r="F40" s="112">
        <f>IFERROR(VLOOKUP($B40,MMWR_TRAD_AGG_STATE_COMP[],F$1,0),"ERROR")</f>
        <v>933</v>
      </c>
      <c r="G40" s="113">
        <f t="shared" si="4"/>
        <v>0.22390208783297336</v>
      </c>
      <c r="H40" s="111">
        <f>IFERROR(VLOOKUP($B40,MMWR_TRAD_AGG_STATE_COMP[],H$1,0),"ERROR")</f>
        <v>7418</v>
      </c>
      <c r="I40" s="112">
        <f>IFERROR(VLOOKUP($B40,MMWR_TRAD_AGG_STATE_COMP[],I$1,0),"ERROR")</f>
        <v>4933</v>
      </c>
      <c r="J40" s="114">
        <f t="shared" si="5"/>
        <v>0.66500404421677006</v>
      </c>
      <c r="K40" s="111">
        <f>IFERROR(VLOOKUP($B40,MMWR_TRAD_AGG_STATE_COMP[],K$1,0),"ERROR")</f>
        <v>1182</v>
      </c>
      <c r="L40" s="112">
        <f>IFERROR(VLOOKUP($B40,MMWR_TRAD_AGG_STATE_COMP[],L$1,0),"ERROR")</f>
        <v>1046</v>
      </c>
      <c r="M40" s="114">
        <f t="shared" si="6"/>
        <v>0.88494077834179352</v>
      </c>
      <c r="N40" s="111">
        <f>IFERROR(VLOOKUP($B40,MMWR_TRAD_AGG_STATE_COMP[],N$1,0),"ERROR")</f>
        <v>2258</v>
      </c>
      <c r="O40" s="112">
        <f>IFERROR(VLOOKUP($B40,MMWR_TRAD_AGG_STATE_COMP[],O$1,0),"ERROR")</f>
        <v>1291</v>
      </c>
      <c r="P40" s="114">
        <f t="shared" si="7"/>
        <v>0.57174490699734282</v>
      </c>
      <c r="Q40" s="115">
        <f>IFERROR(VLOOKUP($B40,MMWR_TRAD_AGG_STATE_COMP[],Q$1,0),"ERROR")</f>
        <v>60</v>
      </c>
      <c r="R40" s="115">
        <f>IFERROR(VLOOKUP($B40,MMWR_TRAD_AGG_STATE_COMP[],R$1,0),"ERROR")</f>
        <v>146</v>
      </c>
      <c r="S40" s="115">
        <f>IFERROR(VLOOKUP($B40,MMWR_APP_STATE_COMP[],S$1,0),"ERROR")</f>
        <v>4753</v>
      </c>
      <c r="T40" s="28"/>
    </row>
    <row r="41" spans="1:20" s="123" customFormat="1" x14ac:dyDescent="0.2">
      <c r="A41" s="28"/>
      <c r="B41" s="127" t="s">
        <v>425</v>
      </c>
      <c r="C41" s="109">
        <f>IFERROR(VLOOKUP($B41,MMWR_TRAD_AGG_STATE_COMP[],C$1,0),"ERROR")</f>
        <v>1083</v>
      </c>
      <c r="D41" s="110">
        <f>IFERROR(VLOOKUP($B41,MMWR_TRAD_AGG_STATE_COMP[],D$1,0),"ERROR")</f>
        <v>240.06371191139999</v>
      </c>
      <c r="E41" s="111">
        <f>IFERROR(VLOOKUP($B41,MMWR_TRAD_AGG_STATE_COMP[],E$1,0),"ERROR")</f>
        <v>986</v>
      </c>
      <c r="F41" s="112">
        <f>IFERROR(VLOOKUP($B41,MMWR_TRAD_AGG_STATE_COMP[],F$1,0),"ERROR")</f>
        <v>94</v>
      </c>
      <c r="G41" s="113">
        <f t="shared" si="4"/>
        <v>9.5334685598377281E-2</v>
      </c>
      <c r="H41" s="111">
        <f>IFERROR(VLOOKUP($B41,MMWR_TRAD_AGG_STATE_COMP[],H$1,0),"ERROR")</f>
        <v>1726</v>
      </c>
      <c r="I41" s="112">
        <f>IFERROR(VLOOKUP($B41,MMWR_TRAD_AGG_STATE_COMP[],I$1,0),"ERROR")</f>
        <v>817</v>
      </c>
      <c r="J41" s="114">
        <f t="shared" si="5"/>
        <v>0.47334878331402086</v>
      </c>
      <c r="K41" s="111">
        <f>IFERROR(VLOOKUP($B41,MMWR_TRAD_AGG_STATE_COMP[],K$1,0),"ERROR")</f>
        <v>411</v>
      </c>
      <c r="L41" s="112">
        <f>IFERROR(VLOOKUP($B41,MMWR_TRAD_AGG_STATE_COMP[],L$1,0),"ERROR")</f>
        <v>252</v>
      </c>
      <c r="M41" s="114">
        <f t="shared" si="6"/>
        <v>0.61313868613138689</v>
      </c>
      <c r="N41" s="111">
        <f>IFERROR(VLOOKUP($B41,MMWR_TRAD_AGG_STATE_COMP[],N$1,0),"ERROR")</f>
        <v>200</v>
      </c>
      <c r="O41" s="112">
        <f>IFERROR(VLOOKUP($B41,MMWR_TRAD_AGG_STATE_COMP[],O$1,0),"ERROR")</f>
        <v>87</v>
      </c>
      <c r="P41" s="114">
        <f t="shared" si="7"/>
        <v>0.435</v>
      </c>
      <c r="Q41" s="115">
        <f>IFERROR(VLOOKUP($B41,MMWR_TRAD_AGG_STATE_COMP[],Q$1,0),"ERROR")</f>
        <v>3</v>
      </c>
      <c r="R41" s="115">
        <f>IFERROR(VLOOKUP($B41,MMWR_TRAD_AGG_STATE_COMP[],R$1,0),"ERROR")</f>
        <v>5</v>
      </c>
      <c r="S41" s="115">
        <f>IFERROR(VLOOKUP($B41,MMWR_APP_STATE_COMP[],S$1,0),"ERROR")</f>
        <v>303</v>
      </c>
      <c r="T41" s="28"/>
    </row>
    <row r="42" spans="1:20" s="123" customFormat="1" x14ac:dyDescent="0.2">
      <c r="A42" s="28"/>
      <c r="B42" s="127" t="s">
        <v>419</v>
      </c>
      <c r="C42" s="109">
        <f>IFERROR(VLOOKUP($B42,MMWR_TRAD_AGG_STATE_COMP[],C$1,0),"ERROR")</f>
        <v>3907</v>
      </c>
      <c r="D42" s="110">
        <f>IFERROR(VLOOKUP($B42,MMWR_TRAD_AGG_STATE_COMP[],D$1,0),"ERROR")</f>
        <v>289.1919631431</v>
      </c>
      <c r="E42" s="111">
        <f>IFERROR(VLOOKUP($B42,MMWR_TRAD_AGG_STATE_COMP[],E$1,0),"ERROR")</f>
        <v>6612</v>
      </c>
      <c r="F42" s="112">
        <f>IFERROR(VLOOKUP($B42,MMWR_TRAD_AGG_STATE_COMP[],F$1,0),"ERROR")</f>
        <v>1087</v>
      </c>
      <c r="G42" s="113">
        <f t="shared" si="4"/>
        <v>0.16439806412583183</v>
      </c>
      <c r="H42" s="111">
        <f>IFERROR(VLOOKUP($B42,MMWR_TRAD_AGG_STATE_COMP[],H$1,0),"ERROR")</f>
        <v>6595</v>
      </c>
      <c r="I42" s="112">
        <f>IFERROR(VLOOKUP($B42,MMWR_TRAD_AGG_STATE_COMP[],I$1,0),"ERROR")</f>
        <v>2611</v>
      </c>
      <c r="J42" s="114">
        <f t="shared" si="5"/>
        <v>0.39590598938589838</v>
      </c>
      <c r="K42" s="111">
        <f>IFERROR(VLOOKUP($B42,MMWR_TRAD_AGG_STATE_COMP[],K$1,0),"ERROR")</f>
        <v>1043</v>
      </c>
      <c r="L42" s="112">
        <f>IFERROR(VLOOKUP($B42,MMWR_TRAD_AGG_STATE_COMP[],L$1,0),"ERROR")</f>
        <v>590</v>
      </c>
      <c r="M42" s="114">
        <f t="shared" si="6"/>
        <v>0.56567593480345157</v>
      </c>
      <c r="N42" s="111">
        <f>IFERROR(VLOOKUP($B42,MMWR_TRAD_AGG_STATE_COMP[],N$1,0),"ERROR")</f>
        <v>1379</v>
      </c>
      <c r="O42" s="112">
        <f>IFERROR(VLOOKUP($B42,MMWR_TRAD_AGG_STATE_COMP[],O$1,0),"ERROR")</f>
        <v>516</v>
      </c>
      <c r="P42" s="114">
        <f t="shared" si="7"/>
        <v>0.37418419144307469</v>
      </c>
      <c r="Q42" s="115">
        <f>IFERROR(VLOOKUP($B42,MMWR_TRAD_AGG_STATE_COMP[],Q$1,0),"ERROR")</f>
        <v>6</v>
      </c>
      <c r="R42" s="115">
        <f>IFERROR(VLOOKUP($B42,MMWR_TRAD_AGG_STATE_COMP[],R$1,0),"ERROR")</f>
        <v>66</v>
      </c>
      <c r="S42" s="115">
        <f>IFERROR(VLOOKUP($B42,MMWR_APP_STATE_COMP[],S$1,0),"ERROR")</f>
        <v>4392</v>
      </c>
      <c r="T42" s="28"/>
    </row>
    <row r="43" spans="1:20" s="123" customFormat="1" x14ac:dyDescent="0.2">
      <c r="A43" s="28"/>
      <c r="B43" s="127" t="s">
        <v>417</v>
      </c>
      <c r="C43" s="109">
        <f>IFERROR(VLOOKUP($B43,MMWR_TRAD_AGG_STATE_COMP[],C$1,0),"ERROR")</f>
        <v>33512</v>
      </c>
      <c r="D43" s="110">
        <f>IFERROR(VLOOKUP($B43,MMWR_TRAD_AGG_STATE_COMP[],D$1,0),"ERROR")</f>
        <v>336.16647767960001</v>
      </c>
      <c r="E43" s="111">
        <f>IFERROR(VLOOKUP($B43,MMWR_TRAD_AGG_STATE_COMP[],E$1,0),"ERROR")</f>
        <v>37790</v>
      </c>
      <c r="F43" s="112">
        <f>IFERROR(VLOOKUP($B43,MMWR_TRAD_AGG_STATE_COMP[],F$1,0),"ERROR")</f>
        <v>7399</v>
      </c>
      <c r="G43" s="113">
        <f t="shared" si="4"/>
        <v>0.19579253770838848</v>
      </c>
      <c r="H43" s="111">
        <f>IFERROR(VLOOKUP($B43,MMWR_TRAD_AGG_STATE_COMP[],H$1,0),"ERROR")</f>
        <v>46370</v>
      </c>
      <c r="I43" s="112">
        <f>IFERROR(VLOOKUP($B43,MMWR_TRAD_AGG_STATE_COMP[],I$1,0),"ERROR")</f>
        <v>28098</v>
      </c>
      <c r="J43" s="114">
        <f t="shared" si="5"/>
        <v>0.60595212421824451</v>
      </c>
      <c r="K43" s="111">
        <f>IFERROR(VLOOKUP($B43,MMWR_TRAD_AGG_STATE_COMP[],K$1,0),"ERROR")</f>
        <v>5026</v>
      </c>
      <c r="L43" s="112">
        <f>IFERROR(VLOOKUP($B43,MMWR_TRAD_AGG_STATE_COMP[],L$1,0),"ERROR")</f>
        <v>4129</v>
      </c>
      <c r="M43" s="114">
        <f t="shared" si="6"/>
        <v>0.82152805411858332</v>
      </c>
      <c r="N43" s="111">
        <f>IFERROR(VLOOKUP($B43,MMWR_TRAD_AGG_STATE_COMP[],N$1,0),"ERROR")</f>
        <v>9057</v>
      </c>
      <c r="O43" s="112">
        <f>IFERROR(VLOOKUP($B43,MMWR_TRAD_AGG_STATE_COMP[],O$1,0),"ERROR")</f>
        <v>4661</v>
      </c>
      <c r="P43" s="114">
        <f t="shared" si="7"/>
        <v>0.51462956828972062</v>
      </c>
      <c r="Q43" s="115">
        <f>IFERROR(VLOOKUP($B43,MMWR_TRAD_AGG_STATE_COMP[],Q$1,0),"ERROR")</f>
        <v>28</v>
      </c>
      <c r="R43" s="115">
        <f>IFERROR(VLOOKUP($B43,MMWR_TRAD_AGG_STATE_COMP[],R$1,0),"ERROR")</f>
        <v>447</v>
      </c>
      <c r="S43" s="115">
        <f>IFERROR(VLOOKUP($B43,MMWR_APP_STATE_COMP[],S$1,0),"ERROR")</f>
        <v>40446</v>
      </c>
      <c r="T43" s="28"/>
    </row>
    <row r="44" spans="1:20" s="123" customFormat="1" x14ac:dyDescent="0.2">
      <c r="A44" s="28"/>
      <c r="B44" s="127" t="s">
        <v>413</v>
      </c>
      <c r="C44" s="109">
        <f>IFERROR(VLOOKUP($B44,MMWR_TRAD_AGG_STATE_COMP[],C$1,0),"ERROR")</f>
        <v>2065</v>
      </c>
      <c r="D44" s="110">
        <f>IFERROR(VLOOKUP($B44,MMWR_TRAD_AGG_STATE_COMP[],D$1,0),"ERROR")</f>
        <v>324.96610169489998</v>
      </c>
      <c r="E44" s="111">
        <f>IFERROR(VLOOKUP($B44,MMWR_TRAD_AGG_STATE_COMP[],E$1,0),"ERROR")</f>
        <v>1931</v>
      </c>
      <c r="F44" s="112">
        <f>IFERROR(VLOOKUP($B44,MMWR_TRAD_AGG_STATE_COMP[],F$1,0),"ERROR")</f>
        <v>405</v>
      </c>
      <c r="G44" s="113">
        <f t="shared" si="4"/>
        <v>0.20973588814085967</v>
      </c>
      <c r="H44" s="111">
        <f>IFERROR(VLOOKUP($B44,MMWR_TRAD_AGG_STATE_COMP[],H$1,0),"ERROR")</f>
        <v>3142</v>
      </c>
      <c r="I44" s="112">
        <f>IFERROR(VLOOKUP($B44,MMWR_TRAD_AGG_STATE_COMP[],I$1,0),"ERROR")</f>
        <v>1772</v>
      </c>
      <c r="J44" s="114">
        <f t="shared" si="5"/>
        <v>0.56397199236155315</v>
      </c>
      <c r="K44" s="111">
        <f>IFERROR(VLOOKUP($B44,MMWR_TRAD_AGG_STATE_COMP[],K$1,0),"ERROR")</f>
        <v>497</v>
      </c>
      <c r="L44" s="112">
        <f>IFERROR(VLOOKUP($B44,MMWR_TRAD_AGG_STATE_COMP[],L$1,0),"ERROR")</f>
        <v>439</v>
      </c>
      <c r="M44" s="114">
        <f t="shared" si="6"/>
        <v>0.88329979879275655</v>
      </c>
      <c r="N44" s="111">
        <f>IFERROR(VLOOKUP($B44,MMWR_TRAD_AGG_STATE_COMP[],N$1,0),"ERROR")</f>
        <v>221</v>
      </c>
      <c r="O44" s="112">
        <f>IFERROR(VLOOKUP($B44,MMWR_TRAD_AGG_STATE_COMP[],O$1,0),"ERROR")</f>
        <v>100</v>
      </c>
      <c r="P44" s="114">
        <f t="shared" si="7"/>
        <v>0.45248868778280543</v>
      </c>
      <c r="Q44" s="115">
        <f>IFERROR(VLOOKUP($B44,MMWR_TRAD_AGG_STATE_COMP[],Q$1,0),"ERROR")</f>
        <v>0</v>
      </c>
      <c r="R44" s="115">
        <f>IFERROR(VLOOKUP($B44,MMWR_TRAD_AGG_STATE_COMP[],R$1,0),"ERROR")</f>
        <v>5</v>
      </c>
      <c r="S44" s="115">
        <f>IFERROR(VLOOKUP($B44,MMWR_APP_STATE_COMP[],S$1,0),"ERROR")</f>
        <v>565</v>
      </c>
      <c r="T44" s="28"/>
    </row>
    <row r="45" spans="1:20" s="123" customFormat="1" x14ac:dyDescent="0.2">
      <c r="A45" s="28"/>
      <c r="B45" s="127" t="s">
        <v>428</v>
      </c>
      <c r="C45" s="109">
        <f>IFERROR(VLOOKUP($B45,MMWR_TRAD_AGG_STATE_COMP[],C$1,0),"ERROR")</f>
        <v>561</v>
      </c>
      <c r="D45" s="110">
        <f>IFERROR(VLOOKUP($B45,MMWR_TRAD_AGG_STATE_COMP[],D$1,0),"ERROR")</f>
        <v>322.7005347594</v>
      </c>
      <c r="E45" s="111">
        <f>IFERROR(VLOOKUP($B45,MMWR_TRAD_AGG_STATE_COMP[],E$1,0),"ERROR")</f>
        <v>883</v>
      </c>
      <c r="F45" s="112">
        <f>IFERROR(VLOOKUP($B45,MMWR_TRAD_AGG_STATE_COMP[],F$1,0),"ERROR")</f>
        <v>160</v>
      </c>
      <c r="G45" s="113">
        <f t="shared" si="4"/>
        <v>0.18120045300113249</v>
      </c>
      <c r="H45" s="111">
        <f>IFERROR(VLOOKUP($B45,MMWR_TRAD_AGG_STATE_COMP[],H$1,0),"ERROR")</f>
        <v>1014</v>
      </c>
      <c r="I45" s="112">
        <f>IFERROR(VLOOKUP($B45,MMWR_TRAD_AGG_STATE_COMP[],I$1,0),"ERROR")</f>
        <v>504</v>
      </c>
      <c r="J45" s="114">
        <f t="shared" si="5"/>
        <v>0.49704142011834318</v>
      </c>
      <c r="K45" s="111">
        <f>IFERROR(VLOOKUP($B45,MMWR_TRAD_AGG_STATE_COMP[],K$1,0),"ERROR")</f>
        <v>163</v>
      </c>
      <c r="L45" s="112">
        <f>IFERROR(VLOOKUP($B45,MMWR_TRAD_AGG_STATE_COMP[],L$1,0),"ERROR")</f>
        <v>129</v>
      </c>
      <c r="M45" s="114">
        <f t="shared" si="6"/>
        <v>0.79141104294478526</v>
      </c>
      <c r="N45" s="111">
        <f>IFERROR(VLOOKUP($B45,MMWR_TRAD_AGG_STATE_COMP[],N$1,0),"ERROR")</f>
        <v>148</v>
      </c>
      <c r="O45" s="112">
        <f>IFERROR(VLOOKUP($B45,MMWR_TRAD_AGG_STATE_COMP[],O$1,0),"ERROR")</f>
        <v>60</v>
      </c>
      <c r="P45" s="114">
        <f t="shared" si="7"/>
        <v>0.40540540540540543</v>
      </c>
      <c r="Q45" s="115">
        <f>IFERROR(VLOOKUP($B45,MMWR_TRAD_AGG_STATE_COMP[],Q$1,0),"ERROR")</f>
        <v>3</v>
      </c>
      <c r="R45" s="115">
        <f>IFERROR(VLOOKUP($B45,MMWR_TRAD_AGG_STATE_COMP[],R$1,0),"ERROR")</f>
        <v>5</v>
      </c>
      <c r="S45" s="115">
        <f>IFERROR(VLOOKUP($B45,MMWR_APP_STATE_COMP[],S$1,0),"ERROR")</f>
        <v>370</v>
      </c>
      <c r="T45" s="28"/>
    </row>
    <row r="46" spans="1:20" s="123" customFormat="1" x14ac:dyDescent="0.2">
      <c r="A46" s="28"/>
      <c r="B46" s="126" t="s">
        <v>411</v>
      </c>
      <c r="C46" s="102">
        <f>IFERROR(VLOOKUP($B46,MMWR_TRAD_AGG_ST_DISTRICT_COMP[],C$1,0),"ERROR")</f>
        <v>71866</v>
      </c>
      <c r="D46" s="103">
        <f>IFERROR(VLOOKUP($B46,MMWR_TRAD_AGG_ST_DISTRICT_COMP[],D$1,0),"ERROR")</f>
        <v>369.9513260791</v>
      </c>
      <c r="E46" s="102">
        <f>IFERROR(VLOOKUP($B46,MMWR_TRAD_AGG_ST_DISTRICT_COMP[],E$1,0),"ERROR")</f>
        <v>62461</v>
      </c>
      <c r="F46" s="102">
        <f>IFERROR(VLOOKUP($B46,MMWR_TRAD_AGG_ST_DISTRICT_COMP[],F$1,0),"ERROR")</f>
        <v>13130</v>
      </c>
      <c r="G46" s="104">
        <f t="shared" si="4"/>
        <v>0.21021117177118523</v>
      </c>
      <c r="H46" s="102">
        <f>IFERROR(VLOOKUP($B46,MMWR_TRAD_AGG_ST_DISTRICT_COMP[],H$1,0),"ERROR")</f>
        <v>101666</v>
      </c>
      <c r="I46" s="102">
        <f>IFERROR(VLOOKUP($B46,MMWR_TRAD_AGG_ST_DISTRICT_COMP[],I$1,0),"ERROR")</f>
        <v>65861</v>
      </c>
      <c r="J46" s="105">
        <f t="shared" si="5"/>
        <v>0.64781736273680479</v>
      </c>
      <c r="K46" s="102">
        <f>IFERROR(VLOOKUP($B46,MMWR_TRAD_AGG_ST_DISTRICT_COMP[],K$1,0),"ERROR")</f>
        <v>18379</v>
      </c>
      <c r="L46" s="102">
        <f>IFERROR(VLOOKUP($B46,MMWR_TRAD_AGG_ST_DISTRICT_COMP[],L$1,0),"ERROR")</f>
        <v>16097</v>
      </c>
      <c r="M46" s="105">
        <f t="shared" si="6"/>
        <v>0.87583655258719195</v>
      </c>
      <c r="N46" s="102">
        <f>IFERROR(VLOOKUP($B46,MMWR_TRAD_AGG_ST_DISTRICT_COMP[],N$1,0),"ERROR")</f>
        <v>24696</v>
      </c>
      <c r="O46" s="102">
        <f>IFERROR(VLOOKUP($B46,MMWR_TRAD_AGG_ST_DISTRICT_COMP[],O$1,0),"ERROR")</f>
        <v>15824</v>
      </c>
      <c r="P46" s="105">
        <f t="shared" si="7"/>
        <v>0.64075153871072243</v>
      </c>
      <c r="Q46" s="102">
        <f>IFERROR(VLOOKUP($B46,MMWR_TRAD_AGG_ST_DISTRICT_COMP[],Q$1,0),"ERROR")</f>
        <v>83</v>
      </c>
      <c r="R46" s="106">
        <f>IFERROR(VLOOKUP($B46,MMWR_TRAD_AGG_ST_DISTRICT_COMP[],R$1,0),"ERROR")</f>
        <v>614</v>
      </c>
      <c r="S46" s="106">
        <f>SUM(S47:S55)</f>
        <v>43339</v>
      </c>
      <c r="T46" s="28"/>
    </row>
    <row r="47" spans="1:20" s="123" customFormat="1" x14ac:dyDescent="0.2">
      <c r="A47" s="28"/>
      <c r="B47" s="127" t="s">
        <v>431</v>
      </c>
      <c r="C47" s="109">
        <f>IFERROR(VLOOKUP($B47,MMWR_TRAD_AGG_STATE_COMP[],C$1,0),"ERROR")</f>
        <v>2069</v>
      </c>
      <c r="D47" s="110">
        <f>IFERROR(VLOOKUP($B47,MMWR_TRAD_AGG_STATE_COMP[],D$1,0),"ERROR")</f>
        <v>438.04011599810002</v>
      </c>
      <c r="E47" s="111">
        <f>IFERROR(VLOOKUP($B47,MMWR_TRAD_AGG_STATE_COMP[],E$1,0),"ERROR")</f>
        <v>1046</v>
      </c>
      <c r="F47" s="112">
        <f>IFERROR(VLOOKUP($B47,MMWR_TRAD_AGG_STATE_COMP[],F$1,0),"ERROR")</f>
        <v>88</v>
      </c>
      <c r="G47" s="113">
        <f t="shared" si="4"/>
        <v>8.4130019120458893E-2</v>
      </c>
      <c r="H47" s="111">
        <f>IFERROR(VLOOKUP($B47,MMWR_TRAD_AGG_STATE_COMP[],H$1,0),"ERROR")</f>
        <v>2874</v>
      </c>
      <c r="I47" s="112">
        <f>IFERROR(VLOOKUP($B47,MMWR_TRAD_AGG_STATE_COMP[],I$1,0),"ERROR")</f>
        <v>1921</v>
      </c>
      <c r="J47" s="114">
        <f t="shared" si="5"/>
        <v>0.66840640222686154</v>
      </c>
      <c r="K47" s="111">
        <f>IFERROR(VLOOKUP($B47,MMWR_TRAD_AGG_STATE_COMP[],K$1,0),"ERROR")</f>
        <v>1564</v>
      </c>
      <c r="L47" s="112">
        <f>IFERROR(VLOOKUP($B47,MMWR_TRAD_AGG_STATE_COMP[],L$1,0),"ERROR")</f>
        <v>1461</v>
      </c>
      <c r="M47" s="114">
        <f t="shared" si="6"/>
        <v>0.93414322250639381</v>
      </c>
      <c r="N47" s="111">
        <f>IFERROR(VLOOKUP($B47,MMWR_TRAD_AGG_STATE_COMP[],N$1,0),"ERROR")</f>
        <v>400</v>
      </c>
      <c r="O47" s="112">
        <f>IFERROR(VLOOKUP($B47,MMWR_TRAD_AGG_STATE_COMP[],O$1,0),"ERROR")</f>
        <v>180</v>
      </c>
      <c r="P47" s="114">
        <f t="shared" si="7"/>
        <v>0.45</v>
      </c>
      <c r="Q47" s="115">
        <f>IFERROR(VLOOKUP($B47,MMWR_TRAD_AGG_STATE_COMP[],Q$1,0),"ERROR")</f>
        <v>2</v>
      </c>
      <c r="R47" s="115">
        <f>IFERROR(VLOOKUP($B47,MMWR_TRAD_AGG_STATE_COMP[],R$1,0),"ERROR")</f>
        <v>3</v>
      </c>
      <c r="S47" s="115">
        <f>IFERROR(VLOOKUP($B47,MMWR_APP_STATE_COMP[],S$1,0),"ERROR")</f>
        <v>291</v>
      </c>
      <c r="T47" s="28"/>
    </row>
    <row r="48" spans="1:20" s="123" customFormat="1" x14ac:dyDescent="0.2">
      <c r="A48" s="28"/>
      <c r="B48" s="127" t="s">
        <v>433</v>
      </c>
      <c r="C48" s="109">
        <f>IFERROR(VLOOKUP($B48,MMWR_TRAD_AGG_STATE_COMP[],C$1,0),"ERROR")</f>
        <v>7046</v>
      </c>
      <c r="D48" s="110">
        <f>IFERROR(VLOOKUP($B48,MMWR_TRAD_AGG_STATE_COMP[],D$1,0),"ERROR")</f>
        <v>303.12177121769997</v>
      </c>
      <c r="E48" s="111">
        <f>IFERROR(VLOOKUP($B48,MMWR_TRAD_AGG_STATE_COMP[],E$1,0),"ERROR")</f>
        <v>6378</v>
      </c>
      <c r="F48" s="112">
        <f>IFERROR(VLOOKUP($B48,MMWR_TRAD_AGG_STATE_COMP[],F$1,0),"ERROR")</f>
        <v>1121</v>
      </c>
      <c r="G48" s="113">
        <f t="shared" si="4"/>
        <v>0.17576042646597678</v>
      </c>
      <c r="H48" s="111">
        <f>IFERROR(VLOOKUP($B48,MMWR_TRAD_AGG_STATE_COMP[],H$1,0),"ERROR")</f>
        <v>9483</v>
      </c>
      <c r="I48" s="112">
        <f>IFERROR(VLOOKUP($B48,MMWR_TRAD_AGG_STATE_COMP[],I$1,0),"ERROR")</f>
        <v>5588</v>
      </c>
      <c r="J48" s="114">
        <f t="shared" si="5"/>
        <v>0.58926500052725928</v>
      </c>
      <c r="K48" s="111">
        <f>IFERROR(VLOOKUP($B48,MMWR_TRAD_AGG_STATE_COMP[],K$1,0),"ERROR")</f>
        <v>686</v>
      </c>
      <c r="L48" s="112">
        <f>IFERROR(VLOOKUP($B48,MMWR_TRAD_AGG_STATE_COMP[],L$1,0),"ERROR")</f>
        <v>544</v>
      </c>
      <c r="M48" s="114">
        <f t="shared" si="6"/>
        <v>0.79300291545189505</v>
      </c>
      <c r="N48" s="111">
        <f>IFERROR(VLOOKUP($B48,MMWR_TRAD_AGG_STATE_COMP[],N$1,0),"ERROR")</f>
        <v>3108</v>
      </c>
      <c r="O48" s="112">
        <f>IFERROR(VLOOKUP($B48,MMWR_TRAD_AGG_STATE_COMP[],O$1,0),"ERROR")</f>
        <v>2229</v>
      </c>
      <c r="P48" s="114">
        <f t="shared" si="7"/>
        <v>0.71718146718146714</v>
      </c>
      <c r="Q48" s="115">
        <f>IFERROR(VLOOKUP($B48,MMWR_TRAD_AGG_STATE_COMP[],Q$1,0),"ERROR")</f>
        <v>5</v>
      </c>
      <c r="R48" s="115">
        <f>IFERROR(VLOOKUP($B48,MMWR_TRAD_AGG_STATE_COMP[],R$1,0),"ERROR")</f>
        <v>77</v>
      </c>
      <c r="S48" s="115">
        <f>IFERROR(VLOOKUP($B48,MMWR_APP_STATE_COMP[],S$1,0),"ERROR")</f>
        <v>7179</v>
      </c>
      <c r="T48" s="28"/>
    </row>
    <row r="49" spans="1:20" s="123" customFormat="1" x14ac:dyDescent="0.2">
      <c r="A49" s="28"/>
      <c r="B49" s="127" t="s">
        <v>414</v>
      </c>
      <c r="C49" s="109">
        <f>IFERROR(VLOOKUP($B49,MMWR_TRAD_AGG_STATE_COMP[],C$1,0),"ERROR")</f>
        <v>31222</v>
      </c>
      <c r="D49" s="110">
        <f>IFERROR(VLOOKUP($B49,MMWR_TRAD_AGG_STATE_COMP[],D$1,0),"ERROR")</f>
        <v>364.75104093269999</v>
      </c>
      <c r="E49" s="111">
        <f>IFERROR(VLOOKUP($B49,MMWR_TRAD_AGG_STATE_COMP[],E$1,0),"ERROR")</f>
        <v>32347</v>
      </c>
      <c r="F49" s="112">
        <f>IFERROR(VLOOKUP($B49,MMWR_TRAD_AGG_STATE_COMP[],F$1,0),"ERROR")</f>
        <v>6588</v>
      </c>
      <c r="G49" s="113">
        <f t="shared" si="4"/>
        <v>0.20366649148298141</v>
      </c>
      <c r="H49" s="111">
        <f>IFERROR(VLOOKUP($B49,MMWR_TRAD_AGG_STATE_COMP[],H$1,0),"ERROR")</f>
        <v>44906</v>
      </c>
      <c r="I49" s="112">
        <f>IFERROR(VLOOKUP($B49,MMWR_TRAD_AGG_STATE_COMP[],I$1,0),"ERROR")</f>
        <v>29421</v>
      </c>
      <c r="J49" s="114">
        <f t="shared" si="5"/>
        <v>0.65516857435532005</v>
      </c>
      <c r="K49" s="111">
        <f>IFERROR(VLOOKUP($B49,MMWR_TRAD_AGG_STATE_COMP[],K$1,0),"ERROR")</f>
        <v>7554</v>
      </c>
      <c r="L49" s="112">
        <f>IFERROR(VLOOKUP($B49,MMWR_TRAD_AGG_STATE_COMP[],L$1,0),"ERROR")</f>
        <v>6769</v>
      </c>
      <c r="M49" s="114">
        <f t="shared" si="6"/>
        <v>0.89608154620068836</v>
      </c>
      <c r="N49" s="111">
        <f>IFERROR(VLOOKUP($B49,MMWR_TRAD_AGG_STATE_COMP[],N$1,0),"ERROR")</f>
        <v>11597</v>
      </c>
      <c r="O49" s="112">
        <f>IFERROR(VLOOKUP($B49,MMWR_TRAD_AGG_STATE_COMP[],O$1,0),"ERROR")</f>
        <v>7305</v>
      </c>
      <c r="P49" s="114">
        <f t="shared" si="7"/>
        <v>0.62990428559110112</v>
      </c>
      <c r="Q49" s="115">
        <f>IFERROR(VLOOKUP($B49,MMWR_TRAD_AGG_STATE_COMP[],Q$1,0),"ERROR")</f>
        <v>46</v>
      </c>
      <c r="R49" s="115">
        <f>IFERROR(VLOOKUP($B49,MMWR_TRAD_AGG_STATE_COMP[],R$1,0),"ERROR")</f>
        <v>163</v>
      </c>
      <c r="S49" s="115">
        <f>IFERROR(VLOOKUP($B49,MMWR_APP_STATE_COMP[],S$1,0),"ERROR")</f>
        <v>18339</v>
      </c>
      <c r="T49" s="28"/>
    </row>
    <row r="50" spans="1:20" s="123" customFormat="1" x14ac:dyDescent="0.2">
      <c r="A50" s="28"/>
      <c r="B50" s="127" t="s">
        <v>435</v>
      </c>
      <c r="C50" s="109">
        <f>IFERROR(VLOOKUP($B50,MMWR_TRAD_AGG_STATE_COMP[],C$1,0),"ERROR")</f>
        <v>1834</v>
      </c>
      <c r="D50" s="110">
        <f>IFERROR(VLOOKUP($B50,MMWR_TRAD_AGG_STATE_COMP[],D$1,0),"ERROR")</f>
        <v>274.66957470009999</v>
      </c>
      <c r="E50" s="111">
        <f>IFERROR(VLOOKUP($B50,MMWR_TRAD_AGG_STATE_COMP[],E$1,0),"ERROR")</f>
        <v>2185</v>
      </c>
      <c r="F50" s="112">
        <f>IFERROR(VLOOKUP($B50,MMWR_TRAD_AGG_STATE_COMP[],F$1,0),"ERROR")</f>
        <v>327</v>
      </c>
      <c r="G50" s="113">
        <f t="shared" si="4"/>
        <v>0.14965675057208239</v>
      </c>
      <c r="H50" s="111">
        <f>IFERROR(VLOOKUP($B50,MMWR_TRAD_AGG_STATE_COMP[],H$1,0),"ERROR")</f>
        <v>2519</v>
      </c>
      <c r="I50" s="112">
        <f>IFERROR(VLOOKUP($B50,MMWR_TRAD_AGG_STATE_COMP[],I$1,0),"ERROR")</f>
        <v>1526</v>
      </c>
      <c r="J50" s="114">
        <f t="shared" si="5"/>
        <v>0.60579595077411674</v>
      </c>
      <c r="K50" s="111">
        <f>IFERROR(VLOOKUP($B50,MMWR_TRAD_AGG_STATE_COMP[],K$1,0),"ERROR")</f>
        <v>352</v>
      </c>
      <c r="L50" s="112">
        <f>IFERROR(VLOOKUP($B50,MMWR_TRAD_AGG_STATE_COMP[],L$1,0),"ERROR")</f>
        <v>283</v>
      </c>
      <c r="M50" s="114">
        <f t="shared" si="6"/>
        <v>0.80397727272727271</v>
      </c>
      <c r="N50" s="111">
        <f>IFERROR(VLOOKUP($B50,MMWR_TRAD_AGG_STATE_COMP[],N$1,0),"ERROR")</f>
        <v>298</v>
      </c>
      <c r="O50" s="112">
        <f>IFERROR(VLOOKUP($B50,MMWR_TRAD_AGG_STATE_COMP[],O$1,0),"ERROR")</f>
        <v>177</v>
      </c>
      <c r="P50" s="114">
        <f t="shared" si="7"/>
        <v>0.59395973154362414</v>
      </c>
      <c r="Q50" s="115">
        <f>IFERROR(VLOOKUP($B50,MMWR_TRAD_AGG_STATE_COMP[],Q$1,0),"ERROR")</f>
        <v>6</v>
      </c>
      <c r="R50" s="115">
        <f>IFERROR(VLOOKUP($B50,MMWR_TRAD_AGG_STATE_COMP[],R$1,0),"ERROR")</f>
        <v>2</v>
      </c>
      <c r="S50" s="115">
        <f>IFERROR(VLOOKUP($B50,MMWR_APP_STATE_COMP[],S$1,0),"ERROR")</f>
        <v>1045</v>
      </c>
      <c r="T50" s="28"/>
    </row>
    <row r="51" spans="1:20" s="123" customFormat="1" x14ac:dyDescent="0.2">
      <c r="A51" s="28"/>
      <c r="B51" s="127" t="s">
        <v>415</v>
      </c>
      <c r="C51" s="109">
        <f>IFERROR(VLOOKUP($B51,MMWR_TRAD_AGG_STATE_COMP[],C$1,0),"ERROR")</f>
        <v>910</v>
      </c>
      <c r="D51" s="110">
        <f>IFERROR(VLOOKUP($B51,MMWR_TRAD_AGG_STATE_COMP[],D$1,0),"ERROR")</f>
        <v>260.00879120880001</v>
      </c>
      <c r="E51" s="111">
        <f>IFERROR(VLOOKUP($B51,MMWR_TRAD_AGG_STATE_COMP[],E$1,0),"ERROR")</f>
        <v>1625</v>
      </c>
      <c r="F51" s="112">
        <f>IFERROR(VLOOKUP($B51,MMWR_TRAD_AGG_STATE_COMP[],F$1,0),"ERROR")</f>
        <v>320</v>
      </c>
      <c r="G51" s="113">
        <f t="shared" si="4"/>
        <v>0.19692307692307692</v>
      </c>
      <c r="H51" s="111">
        <f>IFERROR(VLOOKUP($B51,MMWR_TRAD_AGG_STATE_COMP[],H$1,0),"ERROR")</f>
        <v>1406</v>
      </c>
      <c r="I51" s="112">
        <f>IFERROR(VLOOKUP($B51,MMWR_TRAD_AGG_STATE_COMP[],I$1,0),"ERROR")</f>
        <v>634</v>
      </c>
      <c r="J51" s="114">
        <f t="shared" si="5"/>
        <v>0.45092460881934565</v>
      </c>
      <c r="K51" s="111">
        <f>IFERROR(VLOOKUP($B51,MMWR_TRAD_AGG_STATE_COMP[],K$1,0),"ERROR")</f>
        <v>191</v>
      </c>
      <c r="L51" s="112">
        <f>IFERROR(VLOOKUP($B51,MMWR_TRAD_AGG_STATE_COMP[],L$1,0),"ERROR")</f>
        <v>126</v>
      </c>
      <c r="M51" s="114">
        <f t="shared" si="6"/>
        <v>0.65968586387434558</v>
      </c>
      <c r="N51" s="111">
        <f>IFERROR(VLOOKUP($B51,MMWR_TRAD_AGG_STATE_COMP[],N$1,0),"ERROR")</f>
        <v>311</v>
      </c>
      <c r="O51" s="112">
        <f>IFERROR(VLOOKUP($B51,MMWR_TRAD_AGG_STATE_COMP[],O$1,0),"ERROR")</f>
        <v>151</v>
      </c>
      <c r="P51" s="114">
        <f t="shared" si="7"/>
        <v>0.48553054662379419</v>
      </c>
      <c r="Q51" s="115">
        <f>IFERROR(VLOOKUP($B51,MMWR_TRAD_AGG_STATE_COMP[],Q$1,0),"ERROR")</f>
        <v>1</v>
      </c>
      <c r="R51" s="115">
        <f>IFERROR(VLOOKUP($B51,MMWR_TRAD_AGG_STATE_COMP[],R$1,0),"ERROR")</f>
        <v>10</v>
      </c>
      <c r="S51" s="115">
        <f>IFERROR(VLOOKUP($B51,MMWR_APP_STATE_COMP[],S$1,0),"ERROR")</f>
        <v>979</v>
      </c>
      <c r="T51" s="28"/>
    </row>
    <row r="52" spans="1:20" s="123" customFormat="1" x14ac:dyDescent="0.2">
      <c r="A52" s="28"/>
      <c r="B52" s="127" t="s">
        <v>420</v>
      </c>
      <c r="C52" s="109">
        <f>IFERROR(VLOOKUP($B52,MMWR_TRAD_AGG_STATE_COMP[],C$1,0),"ERROR")</f>
        <v>4270</v>
      </c>
      <c r="D52" s="110">
        <f>IFERROR(VLOOKUP($B52,MMWR_TRAD_AGG_STATE_COMP[],D$1,0),"ERROR")</f>
        <v>440.20725995319998</v>
      </c>
      <c r="E52" s="111">
        <f>IFERROR(VLOOKUP($B52,MMWR_TRAD_AGG_STATE_COMP[],E$1,0),"ERROR")</f>
        <v>3950</v>
      </c>
      <c r="F52" s="112">
        <f>IFERROR(VLOOKUP($B52,MMWR_TRAD_AGG_STATE_COMP[],F$1,0),"ERROR")</f>
        <v>1078</v>
      </c>
      <c r="G52" s="113">
        <f t="shared" si="4"/>
        <v>0.27291139240506329</v>
      </c>
      <c r="H52" s="111">
        <f>IFERROR(VLOOKUP($B52,MMWR_TRAD_AGG_STATE_COMP[],H$1,0),"ERROR")</f>
        <v>5467</v>
      </c>
      <c r="I52" s="112">
        <f>IFERROR(VLOOKUP($B52,MMWR_TRAD_AGG_STATE_COMP[],I$1,0),"ERROR")</f>
        <v>3579</v>
      </c>
      <c r="J52" s="114">
        <f t="shared" si="5"/>
        <v>0.65465520395097865</v>
      </c>
      <c r="K52" s="111">
        <f>IFERROR(VLOOKUP($B52,MMWR_TRAD_AGG_STATE_COMP[],K$1,0),"ERROR")</f>
        <v>539</v>
      </c>
      <c r="L52" s="112">
        <f>IFERROR(VLOOKUP($B52,MMWR_TRAD_AGG_STATE_COMP[],L$1,0),"ERROR")</f>
        <v>470</v>
      </c>
      <c r="M52" s="114">
        <f t="shared" si="6"/>
        <v>0.8719851576994434</v>
      </c>
      <c r="N52" s="111">
        <f>IFERROR(VLOOKUP($B52,MMWR_TRAD_AGG_STATE_COMP[],N$1,0),"ERROR")</f>
        <v>1477</v>
      </c>
      <c r="O52" s="112">
        <f>IFERROR(VLOOKUP($B52,MMWR_TRAD_AGG_STATE_COMP[],O$1,0),"ERROR")</f>
        <v>848</v>
      </c>
      <c r="P52" s="114">
        <f t="shared" si="7"/>
        <v>0.57413676371022337</v>
      </c>
      <c r="Q52" s="115">
        <f>IFERROR(VLOOKUP($B52,MMWR_TRAD_AGG_STATE_COMP[],Q$1,0),"ERROR")</f>
        <v>6</v>
      </c>
      <c r="R52" s="115">
        <f>IFERROR(VLOOKUP($B52,MMWR_TRAD_AGG_STATE_COMP[],R$1,0),"ERROR")</f>
        <v>117</v>
      </c>
      <c r="S52" s="115">
        <f>IFERROR(VLOOKUP($B52,MMWR_APP_STATE_COMP[],S$1,0),"ERROR")</f>
        <v>2971</v>
      </c>
      <c r="T52" s="28"/>
    </row>
    <row r="53" spans="1:20" s="123" customFormat="1" x14ac:dyDescent="0.2">
      <c r="A53" s="28"/>
      <c r="B53" s="127" t="s">
        <v>412</v>
      </c>
      <c r="C53" s="109">
        <f>IFERROR(VLOOKUP($B53,MMWR_TRAD_AGG_STATE_COMP[],C$1,0),"ERROR")</f>
        <v>1816</v>
      </c>
      <c r="D53" s="110">
        <f>IFERROR(VLOOKUP($B53,MMWR_TRAD_AGG_STATE_COMP[],D$1,0),"ERROR")</f>
        <v>211.27973568280001</v>
      </c>
      <c r="E53" s="111">
        <f>IFERROR(VLOOKUP($B53,MMWR_TRAD_AGG_STATE_COMP[],E$1,0),"ERROR")</f>
        <v>3067</v>
      </c>
      <c r="F53" s="112">
        <f>IFERROR(VLOOKUP($B53,MMWR_TRAD_AGG_STATE_COMP[],F$1,0),"ERROR")</f>
        <v>718</v>
      </c>
      <c r="G53" s="113">
        <f t="shared" si="4"/>
        <v>0.23410498858819692</v>
      </c>
      <c r="H53" s="111">
        <f>IFERROR(VLOOKUP($B53,MMWR_TRAD_AGG_STATE_COMP[],H$1,0),"ERROR")</f>
        <v>2626</v>
      </c>
      <c r="I53" s="112">
        <f>IFERROR(VLOOKUP($B53,MMWR_TRAD_AGG_STATE_COMP[],I$1,0),"ERROR")</f>
        <v>1209</v>
      </c>
      <c r="J53" s="114">
        <f t="shared" si="5"/>
        <v>0.46039603960396042</v>
      </c>
      <c r="K53" s="111">
        <f>IFERROR(VLOOKUP($B53,MMWR_TRAD_AGG_STATE_COMP[],K$1,0),"ERROR")</f>
        <v>271</v>
      </c>
      <c r="L53" s="112">
        <f>IFERROR(VLOOKUP($B53,MMWR_TRAD_AGG_STATE_COMP[],L$1,0),"ERROR")</f>
        <v>176</v>
      </c>
      <c r="M53" s="114">
        <f t="shared" si="6"/>
        <v>0.64944649446494462</v>
      </c>
      <c r="N53" s="111">
        <f>IFERROR(VLOOKUP($B53,MMWR_TRAD_AGG_STATE_COMP[],N$1,0),"ERROR")</f>
        <v>609</v>
      </c>
      <c r="O53" s="112">
        <f>IFERROR(VLOOKUP($B53,MMWR_TRAD_AGG_STATE_COMP[],O$1,0),"ERROR")</f>
        <v>281</v>
      </c>
      <c r="P53" s="114">
        <f t="shared" si="7"/>
        <v>0.46141215106732347</v>
      </c>
      <c r="Q53" s="115">
        <f>IFERROR(VLOOKUP($B53,MMWR_TRAD_AGG_STATE_COMP[],Q$1,0),"ERROR")</f>
        <v>2</v>
      </c>
      <c r="R53" s="115">
        <f>IFERROR(VLOOKUP($B53,MMWR_TRAD_AGG_STATE_COMP[],R$1,0),"ERROR")</f>
        <v>19</v>
      </c>
      <c r="S53" s="115">
        <f>IFERROR(VLOOKUP($B53,MMWR_APP_STATE_COMP[],S$1,0),"ERROR")</f>
        <v>2000</v>
      </c>
      <c r="T53" s="28"/>
    </row>
    <row r="54" spans="1:20" s="123" customFormat="1" x14ac:dyDescent="0.2">
      <c r="A54" s="28"/>
      <c r="B54" s="127" t="s">
        <v>416</v>
      </c>
      <c r="C54" s="109">
        <f>IFERROR(VLOOKUP($B54,MMWR_TRAD_AGG_STATE_COMP[],C$1,0),"ERROR")</f>
        <v>8819</v>
      </c>
      <c r="D54" s="110">
        <f>IFERROR(VLOOKUP($B54,MMWR_TRAD_AGG_STATE_COMP[],D$1,0),"ERROR")</f>
        <v>404.60460369660001</v>
      </c>
      <c r="E54" s="111">
        <f>IFERROR(VLOOKUP($B54,MMWR_TRAD_AGG_STATE_COMP[],E$1,0),"ERROR")</f>
        <v>4936</v>
      </c>
      <c r="F54" s="112">
        <f>IFERROR(VLOOKUP($B54,MMWR_TRAD_AGG_STATE_COMP[],F$1,0),"ERROR")</f>
        <v>1511</v>
      </c>
      <c r="G54" s="113">
        <f t="shared" si="4"/>
        <v>0.30611831442463533</v>
      </c>
      <c r="H54" s="111">
        <f>IFERROR(VLOOKUP($B54,MMWR_TRAD_AGG_STATE_COMP[],H$1,0),"ERROR")</f>
        <v>12190</v>
      </c>
      <c r="I54" s="112">
        <f>IFERROR(VLOOKUP($B54,MMWR_TRAD_AGG_STATE_COMP[],I$1,0),"ERROR")</f>
        <v>8482</v>
      </c>
      <c r="J54" s="114">
        <f t="shared" si="5"/>
        <v>0.69581624282198529</v>
      </c>
      <c r="K54" s="111">
        <f>IFERROR(VLOOKUP($B54,MMWR_TRAD_AGG_STATE_COMP[],K$1,0),"ERROR")</f>
        <v>3745</v>
      </c>
      <c r="L54" s="112">
        <f>IFERROR(VLOOKUP($B54,MMWR_TRAD_AGG_STATE_COMP[],L$1,0),"ERROR")</f>
        <v>3110</v>
      </c>
      <c r="M54" s="114">
        <f t="shared" si="6"/>
        <v>0.83044058744993321</v>
      </c>
      <c r="N54" s="111">
        <f>IFERROR(VLOOKUP($B54,MMWR_TRAD_AGG_STATE_COMP[],N$1,0),"ERROR")</f>
        <v>1909</v>
      </c>
      <c r="O54" s="112">
        <f>IFERROR(VLOOKUP($B54,MMWR_TRAD_AGG_STATE_COMP[],O$1,0),"ERROR")</f>
        <v>703</v>
      </c>
      <c r="P54" s="114">
        <f t="shared" si="7"/>
        <v>0.36825563122053429</v>
      </c>
      <c r="Q54" s="115">
        <f>IFERROR(VLOOKUP($B54,MMWR_TRAD_AGG_STATE_COMP[],Q$1,0),"ERROR")</f>
        <v>4</v>
      </c>
      <c r="R54" s="115">
        <f>IFERROR(VLOOKUP($B54,MMWR_TRAD_AGG_STATE_COMP[],R$1,0),"ERROR")</f>
        <v>77</v>
      </c>
      <c r="S54" s="115">
        <f>IFERROR(VLOOKUP($B54,MMWR_APP_STATE_COMP[],S$1,0),"ERROR")</f>
        <v>5483</v>
      </c>
      <c r="T54" s="28"/>
    </row>
    <row r="55" spans="1:20" s="123" customFormat="1" x14ac:dyDescent="0.2">
      <c r="A55" s="28"/>
      <c r="B55" s="127" t="s">
        <v>83</v>
      </c>
      <c r="C55" s="109">
        <f>IFERROR(VLOOKUP($B55,MMWR_TRAD_AGG_STATE_COMP[],C$1,0),"ERROR")</f>
        <v>13880</v>
      </c>
      <c r="D55" s="110">
        <f>IFERROR(VLOOKUP($B55,MMWR_TRAD_AGG_STATE_COMP[],D$1,0),"ERROR")</f>
        <v>402.35122478390002</v>
      </c>
      <c r="E55" s="111">
        <f>IFERROR(VLOOKUP($B55,MMWR_TRAD_AGG_STATE_COMP[],E$1,0),"ERROR")</f>
        <v>6927</v>
      </c>
      <c r="F55" s="112">
        <f>IFERROR(VLOOKUP($B55,MMWR_TRAD_AGG_STATE_COMP[],F$1,0),"ERROR")</f>
        <v>1379</v>
      </c>
      <c r="G55" s="113">
        <f t="shared" si="4"/>
        <v>0.19907607911072614</v>
      </c>
      <c r="H55" s="111">
        <f>IFERROR(VLOOKUP($B55,MMWR_TRAD_AGG_STATE_COMP[],H$1,0),"ERROR")</f>
        <v>20195</v>
      </c>
      <c r="I55" s="112">
        <f>IFERROR(VLOOKUP($B55,MMWR_TRAD_AGG_STATE_COMP[],I$1,0),"ERROR")</f>
        <v>13501</v>
      </c>
      <c r="J55" s="114">
        <f t="shared" si="5"/>
        <v>0.66853181480564494</v>
      </c>
      <c r="K55" s="111">
        <f>IFERROR(VLOOKUP($B55,MMWR_TRAD_AGG_STATE_COMP[],K$1,0),"ERROR")</f>
        <v>3477</v>
      </c>
      <c r="L55" s="112">
        <f>IFERROR(VLOOKUP($B55,MMWR_TRAD_AGG_STATE_COMP[],L$1,0),"ERROR")</f>
        <v>3158</v>
      </c>
      <c r="M55" s="114">
        <f t="shared" si="6"/>
        <v>0.90825424216278405</v>
      </c>
      <c r="N55" s="111">
        <f>IFERROR(VLOOKUP($B55,MMWR_TRAD_AGG_STATE_COMP[],N$1,0),"ERROR")</f>
        <v>4987</v>
      </c>
      <c r="O55" s="112">
        <f>IFERROR(VLOOKUP($B55,MMWR_TRAD_AGG_STATE_COMP[],O$1,0),"ERROR")</f>
        <v>3950</v>
      </c>
      <c r="P55" s="114">
        <f t="shared" si="7"/>
        <v>0.7920593543212352</v>
      </c>
      <c r="Q55" s="115">
        <f>IFERROR(VLOOKUP($B55,MMWR_TRAD_AGG_STATE_COMP[],Q$1,0),"ERROR")</f>
        <v>11</v>
      </c>
      <c r="R55" s="115">
        <f>IFERROR(VLOOKUP($B55,MMWR_TRAD_AGG_STATE_COMP[],R$1,0),"ERROR")</f>
        <v>146</v>
      </c>
      <c r="S55" s="115">
        <f>IFERROR(VLOOKUP($B55,MMWR_APP_STATE_COMP[],S$1,0),"ERROR")</f>
        <v>5052</v>
      </c>
      <c r="T55" s="28"/>
    </row>
    <row r="56" spans="1:20" s="123" customFormat="1" x14ac:dyDescent="0.2">
      <c r="A56" s="28"/>
      <c r="B56" s="126" t="s">
        <v>387</v>
      </c>
      <c r="C56" s="102">
        <f>IFERROR(VLOOKUP($B56,MMWR_TRAD_AGG_ST_DISTRICT_COMP[],C$1,0),"ERROR")</f>
        <v>80905</v>
      </c>
      <c r="D56" s="103">
        <f>IFERROR(VLOOKUP($B56,MMWR_TRAD_AGG_ST_DISTRICT_COMP[],D$1,0),"ERROR")</f>
        <v>360.41381867619998</v>
      </c>
      <c r="E56" s="102">
        <f>IFERROR(VLOOKUP($B56,MMWR_TRAD_AGG_ST_DISTRICT_COMP[],E$1,0),"ERROR")</f>
        <v>77962</v>
      </c>
      <c r="F56" s="102">
        <f>IFERROR(VLOOKUP($B56,MMWR_TRAD_AGG_ST_DISTRICT_COMP[],F$1,0),"ERROR")</f>
        <v>16174</v>
      </c>
      <c r="G56" s="104">
        <f t="shared" si="4"/>
        <v>0.20746004463713091</v>
      </c>
      <c r="H56" s="102">
        <f>IFERROR(VLOOKUP($B56,MMWR_TRAD_AGG_ST_DISTRICT_COMP[],H$1,0),"ERROR")</f>
        <v>113034</v>
      </c>
      <c r="I56" s="102">
        <f>IFERROR(VLOOKUP($B56,MMWR_TRAD_AGG_ST_DISTRICT_COMP[],I$1,0),"ERROR")</f>
        <v>73185</v>
      </c>
      <c r="J56" s="105">
        <f t="shared" si="5"/>
        <v>0.64746005626625613</v>
      </c>
      <c r="K56" s="102">
        <f>IFERROR(VLOOKUP($B56,MMWR_TRAD_AGG_ST_DISTRICT_COMP[],K$1,0),"ERROR")</f>
        <v>20896</v>
      </c>
      <c r="L56" s="102">
        <f>IFERROR(VLOOKUP($B56,MMWR_TRAD_AGG_ST_DISTRICT_COMP[],L$1,0),"ERROR")</f>
        <v>18070</v>
      </c>
      <c r="M56" s="105">
        <f t="shared" si="6"/>
        <v>0.86475880551301687</v>
      </c>
      <c r="N56" s="102">
        <f>IFERROR(VLOOKUP($B56,MMWR_TRAD_AGG_ST_DISTRICT_COMP[],N$1,0),"ERROR")</f>
        <v>39105</v>
      </c>
      <c r="O56" s="102">
        <f>IFERROR(VLOOKUP($B56,MMWR_TRAD_AGG_ST_DISTRICT_COMP[],O$1,0),"ERROR")</f>
        <v>20858</v>
      </c>
      <c r="P56" s="105">
        <f t="shared" si="7"/>
        <v>0.53338447768827513</v>
      </c>
      <c r="Q56" s="102">
        <f>IFERROR(VLOOKUP($B56,MMWR_TRAD_AGG_ST_DISTRICT_COMP[],Q$1,0),"ERROR")</f>
        <v>3406</v>
      </c>
      <c r="R56" s="106">
        <f>IFERROR(VLOOKUP($B56,MMWR_TRAD_AGG_ST_DISTRICT_COMP[],R$1,0),"ERROR")</f>
        <v>1126</v>
      </c>
      <c r="S56" s="106">
        <f>SUM(S57:S63)</f>
        <v>86762</v>
      </c>
      <c r="T56" s="28"/>
    </row>
    <row r="57" spans="1:20" s="123" customFormat="1" x14ac:dyDescent="0.2">
      <c r="A57" s="28"/>
      <c r="B57" s="127" t="s">
        <v>395</v>
      </c>
      <c r="C57" s="109">
        <f>IFERROR(VLOOKUP($B57,MMWR_TRAD_AGG_STATE_COMP[],C$1,0),"ERROR")</f>
        <v>13940</v>
      </c>
      <c r="D57" s="110">
        <f>IFERROR(VLOOKUP($B57,MMWR_TRAD_AGG_STATE_COMP[],D$1,0),"ERROR")</f>
        <v>372.38335724529998</v>
      </c>
      <c r="E57" s="111">
        <f>IFERROR(VLOOKUP($B57,MMWR_TRAD_AGG_STATE_COMP[],E$1,0),"ERROR")</f>
        <v>8338</v>
      </c>
      <c r="F57" s="112">
        <f>IFERROR(VLOOKUP($B57,MMWR_TRAD_AGG_STATE_COMP[],F$1,0),"ERROR")</f>
        <v>1088</v>
      </c>
      <c r="G57" s="113">
        <f t="shared" si="4"/>
        <v>0.13048692732070041</v>
      </c>
      <c r="H57" s="111">
        <f>IFERROR(VLOOKUP($B57,MMWR_TRAD_AGG_STATE_COMP[],H$1,0),"ERROR")</f>
        <v>16613</v>
      </c>
      <c r="I57" s="112">
        <f>IFERROR(VLOOKUP($B57,MMWR_TRAD_AGG_STATE_COMP[],I$1,0),"ERROR")</f>
        <v>11813</v>
      </c>
      <c r="J57" s="114">
        <f t="shared" si="5"/>
        <v>0.71106964425449948</v>
      </c>
      <c r="K57" s="111">
        <f>IFERROR(VLOOKUP($B57,MMWR_TRAD_AGG_STATE_COMP[],K$1,0),"ERROR")</f>
        <v>4263</v>
      </c>
      <c r="L57" s="112">
        <f>IFERROR(VLOOKUP($B57,MMWR_TRAD_AGG_STATE_COMP[],L$1,0),"ERROR")</f>
        <v>3893</v>
      </c>
      <c r="M57" s="114">
        <f t="shared" si="6"/>
        <v>0.91320666197513489</v>
      </c>
      <c r="N57" s="111">
        <f>IFERROR(VLOOKUP($B57,MMWR_TRAD_AGG_STATE_COMP[],N$1,0),"ERROR")</f>
        <v>3006</v>
      </c>
      <c r="O57" s="112">
        <f>IFERROR(VLOOKUP($B57,MMWR_TRAD_AGG_STATE_COMP[],O$1,0),"ERROR")</f>
        <v>1829</v>
      </c>
      <c r="P57" s="114">
        <f t="shared" si="7"/>
        <v>0.60844976713240184</v>
      </c>
      <c r="Q57" s="115">
        <f>IFERROR(VLOOKUP($B57,MMWR_TRAD_AGG_STATE_COMP[],Q$1,0),"ERROR")</f>
        <v>97</v>
      </c>
      <c r="R57" s="115">
        <f>IFERROR(VLOOKUP($B57,MMWR_TRAD_AGG_STATE_COMP[],R$1,0),"ERROR")</f>
        <v>371</v>
      </c>
      <c r="S57" s="115">
        <f>IFERROR(VLOOKUP($B57,MMWR_APP_STATE_COMP[],S$1,0),"ERROR")</f>
        <v>10591</v>
      </c>
      <c r="T57" s="28"/>
    </row>
    <row r="58" spans="1:20" s="123" customFormat="1" x14ac:dyDescent="0.2">
      <c r="A58" s="28"/>
      <c r="B58" s="127" t="s">
        <v>432</v>
      </c>
      <c r="C58" s="109">
        <f>IFERROR(VLOOKUP($B58,MMWR_TRAD_AGG_STATE_COMP[],C$1,0),"ERROR")</f>
        <v>20772</v>
      </c>
      <c r="D58" s="110">
        <f>IFERROR(VLOOKUP($B58,MMWR_TRAD_AGG_STATE_COMP[],D$1,0),"ERROR")</f>
        <v>352.96678220680002</v>
      </c>
      <c r="E58" s="111">
        <f>IFERROR(VLOOKUP($B58,MMWR_TRAD_AGG_STATE_COMP[],E$1,0),"ERROR")</f>
        <v>24282</v>
      </c>
      <c r="F58" s="112">
        <f>IFERROR(VLOOKUP($B58,MMWR_TRAD_AGG_STATE_COMP[],F$1,0),"ERROR")</f>
        <v>5957</v>
      </c>
      <c r="G58" s="113">
        <f t="shared" si="4"/>
        <v>0.24532575570381351</v>
      </c>
      <c r="H58" s="111">
        <f>IFERROR(VLOOKUP($B58,MMWR_TRAD_AGG_STATE_COMP[],H$1,0),"ERROR")</f>
        <v>28885</v>
      </c>
      <c r="I58" s="112">
        <f>IFERROR(VLOOKUP($B58,MMWR_TRAD_AGG_STATE_COMP[],I$1,0),"ERROR")</f>
        <v>17666</v>
      </c>
      <c r="J58" s="114">
        <f t="shared" si="5"/>
        <v>0.61159771507702965</v>
      </c>
      <c r="K58" s="111">
        <f>IFERROR(VLOOKUP($B58,MMWR_TRAD_AGG_STATE_COMP[],K$1,0),"ERROR")</f>
        <v>3845</v>
      </c>
      <c r="L58" s="112">
        <f>IFERROR(VLOOKUP($B58,MMWR_TRAD_AGG_STATE_COMP[],L$1,0),"ERROR")</f>
        <v>2833</v>
      </c>
      <c r="M58" s="114">
        <f t="shared" si="6"/>
        <v>0.73680104031209359</v>
      </c>
      <c r="N58" s="111">
        <f>IFERROR(VLOOKUP($B58,MMWR_TRAD_AGG_STATE_COMP[],N$1,0),"ERROR")</f>
        <v>12604</v>
      </c>
      <c r="O58" s="112">
        <f>IFERROR(VLOOKUP($B58,MMWR_TRAD_AGG_STATE_COMP[],O$1,0),"ERROR")</f>
        <v>6879</v>
      </c>
      <c r="P58" s="114">
        <f t="shared" si="7"/>
        <v>0.54577911774039989</v>
      </c>
      <c r="Q58" s="115">
        <f>IFERROR(VLOOKUP($B58,MMWR_TRAD_AGG_STATE_COMP[],Q$1,0),"ERROR")</f>
        <v>1608</v>
      </c>
      <c r="R58" s="115">
        <f>IFERROR(VLOOKUP($B58,MMWR_TRAD_AGG_STATE_COMP[],R$1,0),"ERROR")</f>
        <v>259</v>
      </c>
      <c r="S58" s="115">
        <f>IFERROR(VLOOKUP($B58,MMWR_APP_STATE_COMP[],S$1,0),"ERROR")</f>
        <v>29633</v>
      </c>
      <c r="T58" s="28"/>
    </row>
    <row r="59" spans="1:20" s="123" customFormat="1" x14ac:dyDescent="0.2">
      <c r="A59" s="28"/>
      <c r="B59" s="127" t="s">
        <v>388</v>
      </c>
      <c r="C59" s="109">
        <f>IFERROR(VLOOKUP($B59,MMWR_TRAD_AGG_STATE_COMP[],C$1,0),"ERROR")</f>
        <v>16427</v>
      </c>
      <c r="D59" s="110">
        <f>IFERROR(VLOOKUP($B59,MMWR_TRAD_AGG_STATE_COMP[],D$1,0),"ERROR")</f>
        <v>343.93912461190001</v>
      </c>
      <c r="E59" s="111">
        <f>IFERROR(VLOOKUP($B59,MMWR_TRAD_AGG_STATE_COMP[],E$1,0),"ERROR")</f>
        <v>18561</v>
      </c>
      <c r="F59" s="112">
        <f>IFERROR(VLOOKUP($B59,MMWR_TRAD_AGG_STATE_COMP[],F$1,0),"ERROR")</f>
        <v>3511</v>
      </c>
      <c r="G59" s="113">
        <f t="shared" si="4"/>
        <v>0.18916006680674533</v>
      </c>
      <c r="H59" s="111">
        <f>IFERROR(VLOOKUP($B59,MMWR_TRAD_AGG_STATE_COMP[],H$1,0),"ERROR")</f>
        <v>24377</v>
      </c>
      <c r="I59" s="112">
        <f>IFERROR(VLOOKUP($B59,MMWR_TRAD_AGG_STATE_COMP[],I$1,0),"ERROR")</f>
        <v>15379</v>
      </c>
      <c r="J59" s="114">
        <f t="shared" si="5"/>
        <v>0.63088156869179968</v>
      </c>
      <c r="K59" s="111">
        <f>IFERROR(VLOOKUP($B59,MMWR_TRAD_AGG_STATE_COMP[],K$1,0),"ERROR")</f>
        <v>5508</v>
      </c>
      <c r="L59" s="112">
        <f>IFERROR(VLOOKUP($B59,MMWR_TRAD_AGG_STATE_COMP[],L$1,0),"ERROR")</f>
        <v>4762</v>
      </c>
      <c r="M59" s="114">
        <f t="shared" si="6"/>
        <v>0.864560639070443</v>
      </c>
      <c r="N59" s="111">
        <f>IFERROR(VLOOKUP($B59,MMWR_TRAD_AGG_STATE_COMP[],N$1,0),"ERROR")</f>
        <v>16727</v>
      </c>
      <c r="O59" s="112">
        <f>IFERROR(VLOOKUP($B59,MMWR_TRAD_AGG_STATE_COMP[],O$1,0),"ERROR")</f>
        <v>8352</v>
      </c>
      <c r="P59" s="114">
        <f t="shared" si="7"/>
        <v>0.4993124887905781</v>
      </c>
      <c r="Q59" s="115">
        <f>IFERROR(VLOOKUP($B59,MMWR_TRAD_AGG_STATE_COMP[],Q$1,0),"ERROR")</f>
        <v>761</v>
      </c>
      <c r="R59" s="115">
        <f>IFERROR(VLOOKUP($B59,MMWR_TRAD_AGG_STATE_COMP[],R$1,0),"ERROR")</f>
        <v>39</v>
      </c>
      <c r="S59" s="115">
        <f>IFERROR(VLOOKUP($B59,MMWR_APP_STATE_COMP[],S$1,0),"ERROR")</f>
        <v>17433</v>
      </c>
      <c r="T59" s="28"/>
    </row>
    <row r="60" spans="1:20" s="123" customFormat="1" x14ac:dyDescent="0.2">
      <c r="A60" s="28"/>
      <c r="B60" s="127" t="s">
        <v>400</v>
      </c>
      <c r="C60" s="109">
        <f>IFERROR(VLOOKUP($B60,MMWR_TRAD_AGG_STATE_COMP[],C$1,0),"ERROR")</f>
        <v>7816</v>
      </c>
      <c r="D60" s="110">
        <f>IFERROR(VLOOKUP($B60,MMWR_TRAD_AGG_STATE_COMP[],D$1,0),"ERROR")</f>
        <v>537.20726714429998</v>
      </c>
      <c r="E60" s="111">
        <f>IFERROR(VLOOKUP($B60,MMWR_TRAD_AGG_STATE_COMP[],E$1,0),"ERROR")</f>
        <v>4376</v>
      </c>
      <c r="F60" s="112">
        <f>IFERROR(VLOOKUP($B60,MMWR_TRAD_AGG_STATE_COMP[],F$1,0),"ERROR")</f>
        <v>860</v>
      </c>
      <c r="G60" s="113">
        <f t="shared" si="4"/>
        <v>0.19652650822669104</v>
      </c>
      <c r="H60" s="111">
        <f>IFERROR(VLOOKUP($B60,MMWR_TRAD_AGG_STATE_COMP[],H$1,0),"ERROR")</f>
        <v>10782</v>
      </c>
      <c r="I60" s="112">
        <f>IFERROR(VLOOKUP($B60,MMWR_TRAD_AGG_STATE_COMP[],I$1,0),"ERROR")</f>
        <v>7707</v>
      </c>
      <c r="J60" s="114">
        <f t="shared" si="5"/>
        <v>0.71480244852531993</v>
      </c>
      <c r="K60" s="111">
        <f>IFERROR(VLOOKUP($B60,MMWR_TRAD_AGG_STATE_COMP[],K$1,0),"ERROR")</f>
        <v>2707</v>
      </c>
      <c r="L60" s="112">
        <f>IFERROR(VLOOKUP($B60,MMWR_TRAD_AGG_STATE_COMP[],L$1,0),"ERROR")</f>
        <v>2604</v>
      </c>
      <c r="M60" s="114">
        <f t="shared" si="6"/>
        <v>0.96195049870705573</v>
      </c>
      <c r="N60" s="111">
        <f>IFERROR(VLOOKUP($B60,MMWR_TRAD_AGG_STATE_COMP[],N$1,0),"ERROR")</f>
        <v>860</v>
      </c>
      <c r="O60" s="112">
        <f>IFERROR(VLOOKUP($B60,MMWR_TRAD_AGG_STATE_COMP[],O$1,0),"ERROR")</f>
        <v>453</v>
      </c>
      <c r="P60" s="114">
        <f t="shared" si="7"/>
        <v>0.52674418604651163</v>
      </c>
      <c r="Q60" s="115">
        <f>IFERROR(VLOOKUP($B60,MMWR_TRAD_AGG_STATE_COMP[],Q$1,0),"ERROR")</f>
        <v>109</v>
      </c>
      <c r="R60" s="115">
        <f>IFERROR(VLOOKUP($B60,MMWR_TRAD_AGG_STATE_COMP[],R$1,0),"ERROR")</f>
        <v>158</v>
      </c>
      <c r="S60" s="115">
        <f>IFERROR(VLOOKUP($B60,MMWR_APP_STATE_COMP[],S$1,0),"ERROR")</f>
        <v>3344</v>
      </c>
      <c r="T60" s="28"/>
    </row>
    <row r="61" spans="1:20" s="123" customFormat="1" x14ac:dyDescent="0.2">
      <c r="A61" s="28"/>
      <c r="B61" s="127" t="s">
        <v>434</v>
      </c>
      <c r="C61" s="109">
        <f>IFERROR(VLOOKUP($B61,MMWR_TRAD_AGG_STATE_COMP[],C$1,0),"ERROR")</f>
        <v>2541</v>
      </c>
      <c r="D61" s="110">
        <f>IFERROR(VLOOKUP($B61,MMWR_TRAD_AGG_STATE_COMP[],D$1,0),"ERROR")</f>
        <v>275.74144037780002</v>
      </c>
      <c r="E61" s="111">
        <f>IFERROR(VLOOKUP($B61,MMWR_TRAD_AGG_STATE_COMP[],E$1,0),"ERROR")</f>
        <v>3013</v>
      </c>
      <c r="F61" s="112">
        <f>IFERROR(VLOOKUP($B61,MMWR_TRAD_AGG_STATE_COMP[],F$1,0),"ERROR")</f>
        <v>649</v>
      </c>
      <c r="G61" s="113">
        <f t="shared" si="4"/>
        <v>0.21539993362097576</v>
      </c>
      <c r="H61" s="111">
        <f>IFERROR(VLOOKUP($B61,MMWR_TRAD_AGG_STATE_COMP[],H$1,0),"ERROR")</f>
        <v>4462</v>
      </c>
      <c r="I61" s="112">
        <f>IFERROR(VLOOKUP($B61,MMWR_TRAD_AGG_STATE_COMP[],I$1,0),"ERROR")</f>
        <v>2893</v>
      </c>
      <c r="J61" s="114">
        <f t="shared" si="5"/>
        <v>0.64836396234872251</v>
      </c>
      <c r="K61" s="111">
        <f>IFERROR(VLOOKUP($B61,MMWR_TRAD_AGG_STATE_COMP[],K$1,0),"ERROR")</f>
        <v>728</v>
      </c>
      <c r="L61" s="112">
        <f>IFERROR(VLOOKUP($B61,MMWR_TRAD_AGG_STATE_COMP[],L$1,0),"ERROR")</f>
        <v>646</v>
      </c>
      <c r="M61" s="114">
        <f t="shared" si="6"/>
        <v>0.88736263736263732</v>
      </c>
      <c r="N61" s="111">
        <f>IFERROR(VLOOKUP($B61,MMWR_TRAD_AGG_STATE_COMP[],N$1,0),"ERROR")</f>
        <v>1218</v>
      </c>
      <c r="O61" s="112">
        <f>IFERROR(VLOOKUP($B61,MMWR_TRAD_AGG_STATE_COMP[],O$1,0),"ERROR")</f>
        <v>653</v>
      </c>
      <c r="P61" s="114">
        <f t="shared" si="7"/>
        <v>0.53612479474548436</v>
      </c>
      <c r="Q61" s="115">
        <f>IFERROR(VLOOKUP($B61,MMWR_TRAD_AGG_STATE_COMP[],Q$1,0),"ERROR")</f>
        <v>246</v>
      </c>
      <c r="R61" s="115">
        <f>IFERROR(VLOOKUP($B61,MMWR_TRAD_AGG_STATE_COMP[],R$1,0),"ERROR")</f>
        <v>5</v>
      </c>
      <c r="S61" s="115">
        <f>IFERROR(VLOOKUP($B61,MMWR_APP_STATE_COMP[],S$1,0),"ERROR")</f>
        <v>6288</v>
      </c>
      <c r="T61" s="28"/>
    </row>
    <row r="62" spans="1:20" s="123" customFormat="1" x14ac:dyDescent="0.2">
      <c r="A62" s="28"/>
      <c r="B62" s="127" t="s">
        <v>390</v>
      </c>
      <c r="C62" s="109">
        <f>IFERROR(VLOOKUP($B62,MMWR_TRAD_AGG_STATE_COMP[],C$1,0),"ERROR")</f>
        <v>11340</v>
      </c>
      <c r="D62" s="110">
        <f>IFERROR(VLOOKUP($B62,MMWR_TRAD_AGG_STATE_COMP[],D$1,0),"ERROR")</f>
        <v>344.58112874779999</v>
      </c>
      <c r="E62" s="111">
        <f>IFERROR(VLOOKUP($B62,MMWR_TRAD_AGG_STATE_COMP[],E$1,0),"ERROR")</f>
        <v>9805</v>
      </c>
      <c r="F62" s="112">
        <f>IFERROR(VLOOKUP($B62,MMWR_TRAD_AGG_STATE_COMP[],F$1,0),"ERROR")</f>
        <v>2113</v>
      </c>
      <c r="G62" s="113">
        <f t="shared" si="4"/>
        <v>0.21550229474757776</v>
      </c>
      <c r="H62" s="111">
        <f>IFERROR(VLOOKUP($B62,MMWR_TRAD_AGG_STATE_COMP[],H$1,0),"ERROR")</f>
        <v>16119</v>
      </c>
      <c r="I62" s="112">
        <f>IFERROR(VLOOKUP($B62,MMWR_TRAD_AGG_STATE_COMP[],I$1,0),"ERROR")</f>
        <v>10857</v>
      </c>
      <c r="J62" s="114">
        <f t="shared" si="5"/>
        <v>0.67355294993485948</v>
      </c>
      <c r="K62" s="111">
        <f>IFERROR(VLOOKUP($B62,MMWR_TRAD_AGG_STATE_COMP[],K$1,0),"ERROR")</f>
        <v>2192</v>
      </c>
      <c r="L62" s="112">
        <f>IFERROR(VLOOKUP($B62,MMWR_TRAD_AGG_STATE_COMP[],L$1,0),"ERROR")</f>
        <v>1916</v>
      </c>
      <c r="M62" s="114">
        <f t="shared" si="6"/>
        <v>0.87408759124087587</v>
      </c>
      <c r="N62" s="111">
        <f>IFERROR(VLOOKUP($B62,MMWR_TRAD_AGG_STATE_COMP[],N$1,0),"ERROR")</f>
        <v>2784</v>
      </c>
      <c r="O62" s="112">
        <f>IFERROR(VLOOKUP($B62,MMWR_TRAD_AGG_STATE_COMP[],O$1,0),"ERROR")</f>
        <v>1543</v>
      </c>
      <c r="P62" s="114">
        <f t="shared" si="7"/>
        <v>0.55423850574712641</v>
      </c>
      <c r="Q62" s="115">
        <f>IFERROR(VLOOKUP($B62,MMWR_TRAD_AGG_STATE_COMP[],Q$1,0),"ERROR")</f>
        <v>453</v>
      </c>
      <c r="R62" s="115">
        <f>IFERROR(VLOOKUP($B62,MMWR_TRAD_AGG_STATE_COMP[],R$1,0),"ERROR")</f>
        <v>65</v>
      </c>
      <c r="S62" s="115">
        <f>IFERROR(VLOOKUP($B62,MMWR_APP_STATE_COMP[],S$1,0),"ERROR")</f>
        <v>12530</v>
      </c>
      <c r="T62" s="28"/>
    </row>
    <row r="63" spans="1:20" s="123" customFormat="1" x14ac:dyDescent="0.2">
      <c r="A63" s="28"/>
      <c r="B63" s="127" t="s">
        <v>391</v>
      </c>
      <c r="C63" s="109">
        <f>IFERROR(VLOOKUP($B63,MMWR_TRAD_AGG_STATE_COMP[],C$1,0),"ERROR")</f>
        <v>8069</v>
      </c>
      <c r="D63" s="110">
        <f>IFERROR(VLOOKUP($B63,MMWR_TRAD_AGG_STATE_COMP[],D$1,0),"ERROR")</f>
        <v>270.110422605</v>
      </c>
      <c r="E63" s="111">
        <f>IFERROR(VLOOKUP($B63,MMWR_TRAD_AGG_STATE_COMP[],E$1,0),"ERROR")</f>
        <v>9587</v>
      </c>
      <c r="F63" s="112">
        <f>IFERROR(VLOOKUP($B63,MMWR_TRAD_AGG_STATE_COMP[],F$1,0),"ERROR")</f>
        <v>1996</v>
      </c>
      <c r="G63" s="113">
        <f t="shared" si="4"/>
        <v>0.2081986022739126</v>
      </c>
      <c r="H63" s="111">
        <f>IFERROR(VLOOKUP($B63,MMWR_TRAD_AGG_STATE_COMP[],H$1,0),"ERROR")</f>
        <v>11796</v>
      </c>
      <c r="I63" s="112">
        <f>IFERROR(VLOOKUP($B63,MMWR_TRAD_AGG_STATE_COMP[],I$1,0),"ERROR")</f>
        <v>6870</v>
      </c>
      <c r="J63" s="114">
        <f t="shared" si="5"/>
        <v>0.58240081383519837</v>
      </c>
      <c r="K63" s="111">
        <f>IFERROR(VLOOKUP($B63,MMWR_TRAD_AGG_STATE_COMP[],K$1,0),"ERROR")</f>
        <v>1653</v>
      </c>
      <c r="L63" s="112">
        <f>IFERROR(VLOOKUP($B63,MMWR_TRAD_AGG_STATE_COMP[],L$1,0),"ERROR")</f>
        <v>1416</v>
      </c>
      <c r="M63" s="114">
        <f t="shared" si="6"/>
        <v>0.85662431941923778</v>
      </c>
      <c r="N63" s="111">
        <f>IFERROR(VLOOKUP($B63,MMWR_TRAD_AGG_STATE_COMP[],N$1,0),"ERROR")</f>
        <v>1906</v>
      </c>
      <c r="O63" s="112">
        <f>IFERROR(VLOOKUP($B63,MMWR_TRAD_AGG_STATE_COMP[],O$1,0),"ERROR")</f>
        <v>1149</v>
      </c>
      <c r="P63" s="114">
        <f t="shared" si="7"/>
        <v>0.60283315844700947</v>
      </c>
      <c r="Q63" s="115">
        <f>IFERROR(VLOOKUP($B63,MMWR_TRAD_AGG_STATE_COMP[],Q$1,0),"ERROR")</f>
        <v>132</v>
      </c>
      <c r="R63" s="115">
        <f>IFERROR(VLOOKUP($B63,MMWR_TRAD_AGG_STATE_COMP[],R$1,0),"ERROR")</f>
        <v>229</v>
      </c>
      <c r="S63" s="115">
        <f>IFERROR(VLOOKUP($B63,MMWR_APP_STATE_COMP[],S$1,0),"ERROR")</f>
        <v>6943</v>
      </c>
      <c r="T63" s="28"/>
    </row>
    <row r="64" spans="1:20" s="123" customFormat="1" x14ac:dyDescent="0.2">
      <c r="A64" s="28"/>
      <c r="B64" s="128" t="s">
        <v>8</v>
      </c>
      <c r="C64" s="102">
        <f>IFERROR(VLOOKUP($B64,MMWR_TRAD_AGG_ST_DISTRICT_COMP[],C$1,0),"ERROR")</f>
        <v>4482</v>
      </c>
      <c r="D64" s="103">
        <f>IFERROR(VLOOKUP($B64,MMWR_TRAD_AGG_ST_DISTRICT_COMP[],D$1,0),"ERROR")</f>
        <v>384.47411869699999</v>
      </c>
      <c r="E64" s="102">
        <f>IFERROR(VLOOKUP($B64,MMWR_TRAD_AGG_ST_DISTRICT_COMP[],E$1,0),"ERROR")</f>
        <v>4071</v>
      </c>
      <c r="F64" s="102">
        <f>IFERROR(VLOOKUP($B64,MMWR_TRAD_AGG_ST_DISTRICT_COMP[],F$1,0),"ERROR")</f>
        <v>1594</v>
      </c>
      <c r="G64" s="104">
        <f t="shared" si="4"/>
        <v>0.39154998771800542</v>
      </c>
      <c r="H64" s="102">
        <f>IFERROR(VLOOKUP($B64,MMWR_TRAD_AGG_ST_DISTRICT_COMP[],H$1,0),"ERROR")</f>
        <v>5800</v>
      </c>
      <c r="I64" s="102">
        <f>IFERROR(VLOOKUP($B64,MMWR_TRAD_AGG_ST_DISTRICT_COMP[],I$1,0),"ERROR")</f>
        <v>4037</v>
      </c>
      <c r="J64" s="105">
        <f t="shared" si="5"/>
        <v>0.69603448275862068</v>
      </c>
      <c r="K64" s="102">
        <f>IFERROR(VLOOKUP($B64,MMWR_TRAD_AGG_ST_DISTRICT_COMP[],K$1,0),"ERROR")</f>
        <v>698</v>
      </c>
      <c r="L64" s="102">
        <f>IFERROR(VLOOKUP($B64,MMWR_TRAD_AGG_ST_DISTRICT_COMP[],L$1,0),"ERROR")</f>
        <v>597</v>
      </c>
      <c r="M64" s="105">
        <f t="shared" si="6"/>
        <v>0.85530085959885382</v>
      </c>
      <c r="N64" s="102">
        <f>IFERROR(VLOOKUP($B64,MMWR_TRAD_AGG_ST_DISTRICT_COMP[],N$1,0),"ERROR")</f>
        <v>1325</v>
      </c>
      <c r="O64" s="102">
        <f>IFERROR(VLOOKUP($B64,MMWR_TRAD_AGG_ST_DISTRICT_COMP[],O$1,0),"ERROR")</f>
        <v>819</v>
      </c>
      <c r="P64" s="105">
        <f t="shared" si="7"/>
        <v>0.61811320754716981</v>
      </c>
      <c r="Q64" s="102">
        <f>IFERROR(VLOOKUP($B64,MMWR_TRAD_AGG_ST_DISTRICT_COMP[],Q$1,0),"ERROR")</f>
        <v>388</v>
      </c>
      <c r="R64" s="106">
        <f>IFERROR(VLOOKUP($B64,MMWR_TRAD_AGG_ST_DISTRICT_COMP[],R$1,0),"ERROR")</f>
        <v>139</v>
      </c>
      <c r="S64" s="106">
        <f>IFERROR(VLOOKUP($B64,MMWR_APP_STATE_COMP[],S$1,0),"ERROR")</f>
        <v>397</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494</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231</v>
      </c>
      <c r="D67" s="461"/>
      <c r="E67" s="458" t="s">
        <v>211</v>
      </c>
      <c r="F67" s="459"/>
      <c r="G67" s="460"/>
      <c r="H67" s="458" t="s">
        <v>7</v>
      </c>
      <c r="I67" s="459"/>
      <c r="J67" s="460"/>
      <c r="K67" s="458" t="s">
        <v>33</v>
      </c>
      <c r="L67" s="459"/>
      <c r="M67" s="460"/>
      <c r="N67" s="458" t="s">
        <v>8</v>
      </c>
      <c r="O67" s="459"/>
      <c r="P67" s="460"/>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495</v>
      </c>
      <c r="T68" s="28"/>
    </row>
    <row r="69" spans="1:20" s="123" customFormat="1" x14ac:dyDescent="0.2">
      <c r="A69" s="28"/>
      <c r="B69" s="129" t="s">
        <v>469</v>
      </c>
      <c r="C69" s="119">
        <f>IFERROR(VLOOKUP($B69,MMWR_TRAD_AGG_RO_PEN[],C$1,0),"ERROR")</f>
        <v>16477</v>
      </c>
      <c r="D69" s="120">
        <f>IFERROR(VLOOKUP($B69,MMWR_TRAD_AGG_RO_PEN[],D$1,0),"ERROR")</f>
        <v>93.166049645000001</v>
      </c>
      <c r="E69" s="119">
        <f>IFERROR(VLOOKUP($B69,MMWR_TRAD_AGG_RO_PEN[],E$1,0),"ERROR")</f>
        <v>27180</v>
      </c>
      <c r="F69" s="119">
        <f>IFERROR(VLOOKUP($B69,MMWR_TRAD_AGG_RO_PEN[],F$1,0),"ERROR")</f>
        <v>4069</v>
      </c>
      <c r="G69" s="98">
        <f t="shared" ref="G69:G100" si="8">IFERROR(F69/E69,"0%")</f>
        <v>0.14970566593083148</v>
      </c>
      <c r="H69" s="119">
        <f>IFERROR(VLOOKUP($B69,MMWR_TRAD_AGG_RO_PEN[],H$1,0),"ERROR")</f>
        <v>27751</v>
      </c>
      <c r="I69" s="119">
        <f>IFERROR(VLOOKUP($B69,MMWR_TRAD_AGG_RO_PEN[],I$1,0),"ERROR")</f>
        <v>6501</v>
      </c>
      <c r="J69" s="98">
        <f t="shared" ref="J69:J100" si="9">IFERROR(I69/H69,"0%")</f>
        <v>0.23426182840258009</v>
      </c>
      <c r="K69" s="119">
        <f>IFERROR(VLOOKUP($B69,MMWR_TRAD_AGG_RO_PEN[],K$1,0),"ERROR")</f>
        <v>686</v>
      </c>
      <c r="L69" s="119">
        <f>IFERROR(VLOOKUP($B69,MMWR_TRAD_AGG_RO_PEN[],L$1,0),"ERROR")</f>
        <v>632</v>
      </c>
      <c r="M69" s="98">
        <f t="shared" ref="M69:M100" si="10">IFERROR(L69/K69,"0%")</f>
        <v>0.92128279883381925</v>
      </c>
      <c r="N69" s="119">
        <f>IFERROR(VLOOKUP($B69,MMWR_TRAD_AGG_RO_PEN[],N$1,0),"ERROR")</f>
        <v>1842</v>
      </c>
      <c r="O69" s="119">
        <f>IFERROR(VLOOKUP($B69,MMWR_TRAD_AGG_RO_PEN[],O$1,0),"ERROR")</f>
        <v>630</v>
      </c>
      <c r="P69" s="98">
        <f t="shared" ref="P69:P100" si="11">IFERROR(O69/N69,"0%")</f>
        <v>0.34201954397394135</v>
      </c>
      <c r="Q69" s="119">
        <f>IFERROR(VLOOKUP($B69,MMWR_TRAD_AGG_RO_PEN[],Q$1,0),"ERROR")</f>
        <v>10226</v>
      </c>
      <c r="R69" s="121">
        <f>IFERROR(VLOOKUP($B69,MMWR_TRAD_AGG_RO_PEN[],R$1,0),"ERROR")</f>
        <v>5186</v>
      </c>
      <c r="S69" s="121">
        <f>S70+S86+S99+S109+S119+S127</f>
        <v>5405</v>
      </c>
      <c r="T69" s="28"/>
    </row>
    <row r="70" spans="1:20" s="123" customFormat="1" x14ac:dyDescent="0.2">
      <c r="A70" s="28"/>
      <c r="B70" s="126" t="s">
        <v>376</v>
      </c>
      <c r="C70" s="102">
        <f>IFERROR(VLOOKUP($B70,MMWR_TRAD_AGG_ST_DISTRICT_PEN[],C$1,0),"ERROR")</f>
        <v>6162</v>
      </c>
      <c r="D70" s="103">
        <f>IFERROR(VLOOKUP($B70,MMWR_TRAD_AGG_ST_DISTRICT_PEN[],D$1,0),"ERROR")</f>
        <v>108.7799415774</v>
      </c>
      <c r="E70" s="102">
        <f>IFERROR(VLOOKUP($B70,MMWR_TRAD_AGG_ST_DISTRICT_PEN[],E$1,0),"ERROR")</f>
        <v>7697</v>
      </c>
      <c r="F70" s="102">
        <f>IFERROR(VLOOKUP($B70,MMWR_TRAD_AGG_ST_DISTRICT_PEN[],F$1,0),"ERROR")</f>
        <v>2104</v>
      </c>
      <c r="G70" s="104">
        <f t="shared" si="8"/>
        <v>0.27335325451474601</v>
      </c>
      <c r="H70" s="102">
        <f>IFERROR(VLOOKUP($B70,MMWR_TRAD_AGG_ST_DISTRICT_PEN[],H$1,0),"ERROR")</f>
        <v>9708</v>
      </c>
      <c r="I70" s="102">
        <f>IFERROR(VLOOKUP($B70,MMWR_TRAD_AGG_ST_DISTRICT_PEN[],I$1,0),"ERROR")</f>
        <v>3022</v>
      </c>
      <c r="J70" s="104">
        <f t="shared" si="9"/>
        <v>0.31128965801400904</v>
      </c>
      <c r="K70" s="102">
        <f>IFERROR(VLOOKUP($B70,MMWR_TRAD_AGG_ST_DISTRICT_PEN[],K$1,0),"ERROR")</f>
        <v>387</v>
      </c>
      <c r="L70" s="102">
        <f>IFERROR(VLOOKUP($B70,MMWR_TRAD_AGG_ST_DISTRICT_PEN[],L$1,0),"ERROR")</f>
        <v>373</v>
      </c>
      <c r="M70" s="104">
        <f t="shared" si="10"/>
        <v>0.96382428940568476</v>
      </c>
      <c r="N70" s="102">
        <f>IFERROR(VLOOKUP($B70,MMWR_TRAD_AGG_ST_DISTRICT_PEN[],N$1,0),"ERROR")</f>
        <v>786</v>
      </c>
      <c r="O70" s="102">
        <f>IFERROR(VLOOKUP($B70,MMWR_TRAD_AGG_ST_DISTRICT_PEN[],O$1,0),"ERROR")</f>
        <v>254</v>
      </c>
      <c r="P70" s="104">
        <f t="shared" si="11"/>
        <v>0.32315521628498728</v>
      </c>
      <c r="Q70" s="102">
        <f>IFERROR(VLOOKUP($B70,MMWR_TRAD_AGG_ST_DISTRICT_PEN[],Q$1,0),"ERROR")</f>
        <v>816</v>
      </c>
      <c r="R70" s="106">
        <f>IFERROR(VLOOKUP($B70,MMWR_TRAD_AGG_ST_DISTRICT_PEN[],R$1,0),"ERROR")</f>
        <v>2189</v>
      </c>
      <c r="S70" s="106">
        <f>IFERROR(VLOOKUP($B70,MMWR_APP_STATE_PEN[],S$1,0),"ERROR")</f>
        <v>1516</v>
      </c>
      <c r="T70" s="28"/>
    </row>
    <row r="71" spans="1:20" s="123" customFormat="1" x14ac:dyDescent="0.2">
      <c r="A71" s="28"/>
      <c r="B71" s="127" t="s">
        <v>380</v>
      </c>
      <c r="C71" s="109">
        <f>IFERROR(VLOOKUP($B71,MMWR_TRAD_AGG_STATE_PEN[],C$1,0),"ERROR")</f>
        <v>152</v>
      </c>
      <c r="D71" s="110">
        <f>IFERROR(VLOOKUP($B71,MMWR_TRAD_AGG_STATE_PEN[],D$1,0),"ERROR")</f>
        <v>99.046052631600006</v>
      </c>
      <c r="E71" s="111">
        <f>IFERROR(VLOOKUP($B71,MMWR_TRAD_AGG_STATE_PEN[],E$1,0),"ERROR")</f>
        <v>271</v>
      </c>
      <c r="F71" s="112">
        <f>IFERROR(VLOOKUP($B71,MMWR_TRAD_AGG_STATE_PEN[],F$1,0),"ERROR")</f>
        <v>80</v>
      </c>
      <c r="G71" s="113">
        <f t="shared" si="8"/>
        <v>0.29520295202952029</v>
      </c>
      <c r="H71" s="111">
        <f>IFERROR(VLOOKUP($B71,MMWR_TRAD_AGG_STATE_PEN[],H$1,0),"ERROR")</f>
        <v>236</v>
      </c>
      <c r="I71" s="112">
        <f>IFERROR(VLOOKUP($B71,MMWR_TRAD_AGG_STATE_PEN[],I$1,0),"ERROR")</f>
        <v>65</v>
      </c>
      <c r="J71" s="114">
        <f t="shared" si="9"/>
        <v>0.27542372881355931</v>
      </c>
      <c r="K71" s="111">
        <f>IFERROR(VLOOKUP($B71,MMWR_TRAD_AGG_STATE_PEN[],K$1,0),"ERROR")</f>
        <v>5</v>
      </c>
      <c r="L71" s="112">
        <f>IFERROR(VLOOKUP($B71,MMWR_TRAD_AGG_STATE_PEN[],L$1,0),"ERROR")</f>
        <v>5</v>
      </c>
      <c r="M71" s="114">
        <f t="shared" si="10"/>
        <v>1</v>
      </c>
      <c r="N71" s="111">
        <f>IFERROR(VLOOKUP($B71,MMWR_TRAD_AGG_STATE_PEN[],N$1,0),"ERROR")</f>
        <v>28</v>
      </c>
      <c r="O71" s="112">
        <f>IFERROR(VLOOKUP($B71,MMWR_TRAD_AGG_STATE_PEN[],O$1,0),"ERROR")</f>
        <v>7</v>
      </c>
      <c r="P71" s="114">
        <f t="shared" si="11"/>
        <v>0.25</v>
      </c>
      <c r="Q71" s="115">
        <f>IFERROR(VLOOKUP($B71,MMWR_TRAD_AGG_STATE_PEN[],Q$1,0),"ERROR")</f>
        <v>20</v>
      </c>
      <c r="R71" s="115">
        <f>IFERROR(VLOOKUP($B71,MMWR_TRAD_AGG_STATE_PEN[],R$1,0),"ERROR")</f>
        <v>70</v>
      </c>
      <c r="S71" s="115">
        <f>IFERROR(VLOOKUP($B71,MMWR_APP_STATE_PEN[],S$1,0),"ERROR")</f>
        <v>62</v>
      </c>
      <c r="T71" s="28"/>
    </row>
    <row r="72" spans="1:20" s="123" customFormat="1" x14ac:dyDescent="0.2">
      <c r="A72" s="28"/>
      <c r="B72" s="127" t="s">
        <v>430</v>
      </c>
      <c r="C72" s="109">
        <f>IFERROR(VLOOKUP($B72,MMWR_TRAD_AGG_STATE_PEN[],C$1,0),"ERROR")</f>
        <v>56</v>
      </c>
      <c r="D72" s="110">
        <f>IFERROR(VLOOKUP($B72,MMWR_TRAD_AGG_STATE_PEN[],D$1,0),"ERROR")</f>
        <v>111.2321428571</v>
      </c>
      <c r="E72" s="111">
        <f>IFERROR(VLOOKUP($B72,MMWR_TRAD_AGG_STATE_PEN[],E$1,0),"ERROR")</f>
        <v>72</v>
      </c>
      <c r="F72" s="112">
        <f>IFERROR(VLOOKUP($B72,MMWR_TRAD_AGG_STATE_PEN[],F$1,0),"ERROR")</f>
        <v>22</v>
      </c>
      <c r="G72" s="113">
        <f t="shared" si="8"/>
        <v>0.30555555555555558</v>
      </c>
      <c r="H72" s="111">
        <f>IFERROR(VLOOKUP($B72,MMWR_TRAD_AGG_STATE_PEN[],H$1,0),"ERROR")</f>
        <v>82</v>
      </c>
      <c r="I72" s="112">
        <f>IFERROR(VLOOKUP($B72,MMWR_TRAD_AGG_STATE_PEN[],I$1,0),"ERROR")</f>
        <v>31</v>
      </c>
      <c r="J72" s="114">
        <f t="shared" si="9"/>
        <v>0.37804878048780488</v>
      </c>
      <c r="K72" s="111">
        <f>IFERROR(VLOOKUP($B72,MMWR_TRAD_AGG_STATE_PEN[],K$1,0),"ERROR")</f>
        <v>5</v>
      </c>
      <c r="L72" s="112">
        <f>IFERROR(VLOOKUP($B72,MMWR_TRAD_AGG_STATE_PEN[],L$1,0),"ERROR")</f>
        <v>5</v>
      </c>
      <c r="M72" s="114">
        <f t="shared" si="10"/>
        <v>1</v>
      </c>
      <c r="N72" s="111">
        <f>IFERROR(VLOOKUP($B72,MMWR_TRAD_AGG_STATE_PEN[],N$1,0),"ERROR")</f>
        <v>12</v>
      </c>
      <c r="O72" s="112">
        <f>IFERROR(VLOOKUP($B72,MMWR_TRAD_AGG_STATE_PEN[],O$1,0),"ERROR")</f>
        <v>3</v>
      </c>
      <c r="P72" s="114">
        <f t="shared" si="11"/>
        <v>0.25</v>
      </c>
      <c r="Q72" s="115">
        <f>IFERROR(VLOOKUP($B72,MMWR_TRAD_AGG_STATE_PEN[],Q$1,0),"ERROR")</f>
        <v>6</v>
      </c>
      <c r="R72" s="115">
        <f>IFERROR(VLOOKUP($B72,MMWR_TRAD_AGG_STATE_PEN[],R$1,0),"ERROR")</f>
        <v>25</v>
      </c>
      <c r="S72" s="115">
        <f>IFERROR(VLOOKUP($B72,MMWR_APP_STATE_PEN[],S$1,0),"ERROR")</f>
        <v>17</v>
      </c>
      <c r="T72" s="28"/>
    </row>
    <row r="73" spans="1:20" s="123" customFormat="1" x14ac:dyDescent="0.2">
      <c r="A73" s="28"/>
      <c r="B73" s="127" t="s">
        <v>421</v>
      </c>
      <c r="C73" s="109">
        <f>IFERROR(VLOOKUP($B73,MMWR_TRAD_AGG_STATE_PEN[],C$1,0),"ERROR")</f>
        <v>47</v>
      </c>
      <c r="D73" s="110">
        <f>IFERROR(VLOOKUP($B73,MMWR_TRAD_AGG_STATE_PEN[],D$1,0),"ERROR")</f>
        <v>112.6595744681</v>
      </c>
      <c r="E73" s="111">
        <f>IFERROR(VLOOKUP($B73,MMWR_TRAD_AGG_STATE_PEN[],E$1,0),"ERROR")</f>
        <v>64</v>
      </c>
      <c r="F73" s="112">
        <f>IFERROR(VLOOKUP($B73,MMWR_TRAD_AGG_STATE_PEN[],F$1,0),"ERROR")</f>
        <v>8</v>
      </c>
      <c r="G73" s="113">
        <f t="shared" si="8"/>
        <v>0.125</v>
      </c>
      <c r="H73" s="111">
        <f>IFERROR(VLOOKUP($B73,MMWR_TRAD_AGG_STATE_PEN[],H$1,0),"ERROR")</f>
        <v>64</v>
      </c>
      <c r="I73" s="112">
        <f>IFERROR(VLOOKUP($B73,MMWR_TRAD_AGG_STATE_PEN[],I$1,0),"ERROR")</f>
        <v>21</v>
      </c>
      <c r="J73" s="114">
        <f t="shared" si="9"/>
        <v>0.328125</v>
      </c>
      <c r="K73" s="111">
        <f>IFERROR(VLOOKUP($B73,MMWR_TRAD_AGG_STATE_PEN[],K$1,0),"ERROR")</f>
        <v>4</v>
      </c>
      <c r="L73" s="112">
        <f>IFERROR(VLOOKUP($B73,MMWR_TRAD_AGG_STATE_PEN[],L$1,0),"ERROR")</f>
        <v>4</v>
      </c>
      <c r="M73" s="114">
        <f t="shared" si="10"/>
        <v>1</v>
      </c>
      <c r="N73" s="111">
        <f>IFERROR(VLOOKUP($B73,MMWR_TRAD_AGG_STATE_PEN[],N$1,0),"ERROR")</f>
        <v>3</v>
      </c>
      <c r="O73" s="112">
        <f>IFERROR(VLOOKUP($B73,MMWR_TRAD_AGG_STATE_PEN[],O$1,0),"ERROR")</f>
        <v>1</v>
      </c>
      <c r="P73" s="114">
        <f t="shared" si="11"/>
        <v>0.33333333333333331</v>
      </c>
      <c r="Q73" s="115">
        <f>IFERROR(VLOOKUP($B73,MMWR_TRAD_AGG_STATE_PEN[],Q$1,0),"ERROR")</f>
        <v>7</v>
      </c>
      <c r="R73" s="115">
        <f>IFERROR(VLOOKUP($B73,MMWR_TRAD_AGG_STATE_PEN[],R$1,0),"ERROR")</f>
        <v>13</v>
      </c>
      <c r="S73" s="115">
        <f>IFERROR(VLOOKUP($B73,MMWR_APP_STATE_PEN[],S$1,0),"ERROR")</f>
        <v>15</v>
      </c>
      <c r="T73" s="28"/>
    </row>
    <row r="74" spans="1:20" s="123" customFormat="1" x14ac:dyDescent="0.2">
      <c r="A74" s="28"/>
      <c r="B74" s="127" t="s">
        <v>423</v>
      </c>
      <c r="C74" s="109">
        <f>IFERROR(VLOOKUP($B74,MMWR_TRAD_AGG_STATE_PEN[],C$1,0),"ERROR")</f>
        <v>104</v>
      </c>
      <c r="D74" s="110">
        <f>IFERROR(VLOOKUP($B74,MMWR_TRAD_AGG_STATE_PEN[],D$1,0),"ERROR")</f>
        <v>123.35576923079999</v>
      </c>
      <c r="E74" s="111">
        <f>IFERROR(VLOOKUP($B74,MMWR_TRAD_AGG_STATE_PEN[],E$1,0),"ERROR")</f>
        <v>92</v>
      </c>
      <c r="F74" s="112">
        <f>IFERROR(VLOOKUP($B74,MMWR_TRAD_AGG_STATE_PEN[],F$1,0),"ERROR")</f>
        <v>16</v>
      </c>
      <c r="G74" s="113">
        <f t="shared" si="8"/>
        <v>0.17391304347826086</v>
      </c>
      <c r="H74" s="111">
        <f>IFERROR(VLOOKUP($B74,MMWR_TRAD_AGG_STATE_PEN[],H$1,0),"ERROR")</f>
        <v>172</v>
      </c>
      <c r="I74" s="112">
        <f>IFERROR(VLOOKUP($B74,MMWR_TRAD_AGG_STATE_PEN[],I$1,0),"ERROR")</f>
        <v>65</v>
      </c>
      <c r="J74" s="114">
        <f t="shared" si="9"/>
        <v>0.37790697674418605</v>
      </c>
      <c r="K74" s="111">
        <f>IFERROR(VLOOKUP($B74,MMWR_TRAD_AGG_STATE_PEN[],K$1,0),"ERROR")</f>
        <v>4</v>
      </c>
      <c r="L74" s="112">
        <f>IFERROR(VLOOKUP($B74,MMWR_TRAD_AGG_STATE_PEN[],L$1,0),"ERROR")</f>
        <v>3</v>
      </c>
      <c r="M74" s="114">
        <f t="shared" si="10"/>
        <v>0.75</v>
      </c>
      <c r="N74" s="111">
        <f>IFERROR(VLOOKUP($B74,MMWR_TRAD_AGG_STATE_PEN[],N$1,0),"ERROR")</f>
        <v>17</v>
      </c>
      <c r="O74" s="112">
        <f>IFERROR(VLOOKUP($B74,MMWR_TRAD_AGG_STATE_PEN[],O$1,0),"ERROR")</f>
        <v>4</v>
      </c>
      <c r="P74" s="114">
        <f t="shared" si="11"/>
        <v>0.23529411764705882</v>
      </c>
      <c r="Q74" s="115">
        <f>IFERROR(VLOOKUP($B74,MMWR_TRAD_AGG_STATE_PEN[],Q$1,0),"ERROR")</f>
        <v>15</v>
      </c>
      <c r="R74" s="115">
        <f>IFERROR(VLOOKUP($B74,MMWR_TRAD_AGG_STATE_PEN[],R$1,0),"ERROR")</f>
        <v>25</v>
      </c>
      <c r="S74" s="115">
        <f>IFERROR(VLOOKUP($B74,MMWR_APP_STATE_PEN[],S$1,0),"ERROR")</f>
        <v>23</v>
      </c>
      <c r="T74" s="28"/>
    </row>
    <row r="75" spans="1:20" s="123" customFormat="1" x14ac:dyDescent="0.2">
      <c r="A75" s="28"/>
      <c r="B75" s="127" t="s">
        <v>383</v>
      </c>
      <c r="C75" s="109">
        <f>IFERROR(VLOOKUP($B75,MMWR_TRAD_AGG_STATE_PEN[],C$1,0),"ERROR")</f>
        <v>318</v>
      </c>
      <c r="D75" s="110">
        <f>IFERROR(VLOOKUP($B75,MMWR_TRAD_AGG_STATE_PEN[],D$1,0),"ERROR")</f>
        <v>105.11320754720001</v>
      </c>
      <c r="E75" s="111">
        <f>IFERROR(VLOOKUP($B75,MMWR_TRAD_AGG_STATE_PEN[],E$1,0),"ERROR")</f>
        <v>430</v>
      </c>
      <c r="F75" s="112">
        <f>IFERROR(VLOOKUP($B75,MMWR_TRAD_AGG_STATE_PEN[],F$1,0),"ERROR")</f>
        <v>126</v>
      </c>
      <c r="G75" s="113">
        <f t="shared" si="8"/>
        <v>0.2930232558139535</v>
      </c>
      <c r="H75" s="111">
        <f>IFERROR(VLOOKUP($B75,MMWR_TRAD_AGG_STATE_PEN[],H$1,0),"ERROR")</f>
        <v>494</v>
      </c>
      <c r="I75" s="112">
        <f>IFERROR(VLOOKUP($B75,MMWR_TRAD_AGG_STATE_PEN[],I$1,0),"ERROR")</f>
        <v>165</v>
      </c>
      <c r="J75" s="114">
        <f t="shared" si="9"/>
        <v>0.33400809716599189</v>
      </c>
      <c r="K75" s="111">
        <f>IFERROR(VLOOKUP($B75,MMWR_TRAD_AGG_STATE_PEN[],K$1,0),"ERROR")</f>
        <v>21</v>
      </c>
      <c r="L75" s="112">
        <f>IFERROR(VLOOKUP($B75,MMWR_TRAD_AGG_STATE_PEN[],L$1,0),"ERROR")</f>
        <v>18</v>
      </c>
      <c r="M75" s="114">
        <f t="shared" si="10"/>
        <v>0.8571428571428571</v>
      </c>
      <c r="N75" s="111">
        <f>IFERROR(VLOOKUP($B75,MMWR_TRAD_AGG_STATE_PEN[],N$1,0),"ERROR")</f>
        <v>47</v>
      </c>
      <c r="O75" s="112">
        <f>IFERROR(VLOOKUP($B75,MMWR_TRAD_AGG_STATE_PEN[],O$1,0),"ERROR")</f>
        <v>18</v>
      </c>
      <c r="P75" s="114">
        <f t="shared" si="11"/>
        <v>0.38297872340425532</v>
      </c>
      <c r="Q75" s="115">
        <f>IFERROR(VLOOKUP($B75,MMWR_TRAD_AGG_STATE_PEN[],Q$1,0),"ERROR")</f>
        <v>54</v>
      </c>
      <c r="R75" s="115">
        <f>IFERROR(VLOOKUP($B75,MMWR_TRAD_AGG_STATE_PEN[],R$1,0),"ERROR")</f>
        <v>153</v>
      </c>
      <c r="S75" s="115">
        <f>IFERROR(VLOOKUP($B75,MMWR_APP_STATE_PEN[],S$1,0),"ERROR")</f>
        <v>87</v>
      </c>
      <c r="T75" s="28"/>
    </row>
    <row r="76" spans="1:20" s="123" customFormat="1" x14ac:dyDescent="0.2">
      <c r="A76" s="28"/>
      <c r="B76" s="127" t="s">
        <v>378</v>
      </c>
      <c r="C76" s="109">
        <f>IFERROR(VLOOKUP($B76,MMWR_TRAD_AGG_STATE_PEN[],C$1,0),"ERROR")</f>
        <v>316</v>
      </c>
      <c r="D76" s="110">
        <f>IFERROR(VLOOKUP($B76,MMWR_TRAD_AGG_STATE_PEN[],D$1,0),"ERROR")</f>
        <v>104.2689873418</v>
      </c>
      <c r="E76" s="111">
        <f>IFERROR(VLOOKUP($B76,MMWR_TRAD_AGG_STATE_PEN[],E$1,0),"ERROR")</f>
        <v>467</v>
      </c>
      <c r="F76" s="112">
        <f>IFERROR(VLOOKUP($B76,MMWR_TRAD_AGG_STATE_PEN[],F$1,0),"ERROR")</f>
        <v>103</v>
      </c>
      <c r="G76" s="113">
        <f t="shared" si="8"/>
        <v>0.22055674518201285</v>
      </c>
      <c r="H76" s="111">
        <f>IFERROR(VLOOKUP($B76,MMWR_TRAD_AGG_STATE_PEN[],H$1,0),"ERROR")</f>
        <v>517</v>
      </c>
      <c r="I76" s="112">
        <f>IFERROR(VLOOKUP($B76,MMWR_TRAD_AGG_STATE_PEN[],I$1,0),"ERROR")</f>
        <v>153</v>
      </c>
      <c r="J76" s="114">
        <f t="shared" si="9"/>
        <v>0.29593810444874274</v>
      </c>
      <c r="K76" s="111">
        <f>IFERROR(VLOOKUP($B76,MMWR_TRAD_AGG_STATE_PEN[],K$1,0),"ERROR")</f>
        <v>11</v>
      </c>
      <c r="L76" s="112">
        <f>IFERROR(VLOOKUP($B76,MMWR_TRAD_AGG_STATE_PEN[],L$1,0),"ERROR")</f>
        <v>11</v>
      </c>
      <c r="M76" s="114">
        <f t="shared" si="10"/>
        <v>1</v>
      </c>
      <c r="N76" s="111">
        <f>IFERROR(VLOOKUP($B76,MMWR_TRAD_AGG_STATE_PEN[],N$1,0),"ERROR")</f>
        <v>46</v>
      </c>
      <c r="O76" s="112">
        <f>IFERROR(VLOOKUP($B76,MMWR_TRAD_AGG_STATE_PEN[],O$1,0),"ERROR")</f>
        <v>11</v>
      </c>
      <c r="P76" s="114">
        <f t="shared" si="11"/>
        <v>0.2391304347826087</v>
      </c>
      <c r="Q76" s="115">
        <f>IFERROR(VLOOKUP($B76,MMWR_TRAD_AGG_STATE_PEN[],Q$1,0),"ERROR")</f>
        <v>38</v>
      </c>
      <c r="R76" s="115">
        <f>IFERROR(VLOOKUP($B76,MMWR_TRAD_AGG_STATE_PEN[],R$1,0),"ERROR")</f>
        <v>151</v>
      </c>
      <c r="S76" s="115">
        <f>IFERROR(VLOOKUP($B76,MMWR_APP_STATE_PEN[],S$1,0),"ERROR")</f>
        <v>115</v>
      </c>
      <c r="T76" s="28"/>
    </row>
    <row r="77" spans="1:20" s="123" customFormat="1" x14ac:dyDescent="0.2">
      <c r="A77" s="28"/>
      <c r="B77" s="127" t="s">
        <v>422</v>
      </c>
      <c r="C77" s="109">
        <f>IFERROR(VLOOKUP($B77,MMWR_TRAD_AGG_STATE_PEN[],C$1,0),"ERROR")</f>
        <v>87</v>
      </c>
      <c r="D77" s="110">
        <f>IFERROR(VLOOKUP($B77,MMWR_TRAD_AGG_STATE_PEN[],D$1,0),"ERROR")</f>
        <v>118.03448275860001</v>
      </c>
      <c r="E77" s="111">
        <f>IFERROR(VLOOKUP($B77,MMWR_TRAD_AGG_STATE_PEN[],E$1,0),"ERROR")</f>
        <v>108</v>
      </c>
      <c r="F77" s="112">
        <f>IFERROR(VLOOKUP($B77,MMWR_TRAD_AGG_STATE_PEN[],F$1,0),"ERROR")</f>
        <v>22</v>
      </c>
      <c r="G77" s="113">
        <f t="shared" si="8"/>
        <v>0.20370370370370369</v>
      </c>
      <c r="H77" s="111">
        <f>IFERROR(VLOOKUP($B77,MMWR_TRAD_AGG_STATE_PEN[],H$1,0),"ERROR")</f>
        <v>129</v>
      </c>
      <c r="I77" s="112">
        <f>IFERROR(VLOOKUP($B77,MMWR_TRAD_AGG_STATE_PEN[],I$1,0),"ERROR")</f>
        <v>28</v>
      </c>
      <c r="J77" s="114">
        <f t="shared" si="9"/>
        <v>0.21705426356589147</v>
      </c>
      <c r="K77" s="111">
        <f>IFERROR(VLOOKUP($B77,MMWR_TRAD_AGG_STATE_PEN[],K$1,0),"ERROR")</f>
        <v>2</v>
      </c>
      <c r="L77" s="112">
        <f>IFERROR(VLOOKUP($B77,MMWR_TRAD_AGG_STATE_PEN[],L$1,0),"ERROR")</f>
        <v>2</v>
      </c>
      <c r="M77" s="114">
        <f t="shared" si="10"/>
        <v>1</v>
      </c>
      <c r="N77" s="111">
        <f>IFERROR(VLOOKUP($B77,MMWR_TRAD_AGG_STATE_PEN[],N$1,0),"ERROR")</f>
        <v>12</v>
      </c>
      <c r="O77" s="112">
        <f>IFERROR(VLOOKUP($B77,MMWR_TRAD_AGG_STATE_PEN[],O$1,0),"ERROR")</f>
        <v>2</v>
      </c>
      <c r="P77" s="114">
        <f t="shared" si="11"/>
        <v>0.16666666666666666</v>
      </c>
      <c r="Q77" s="115">
        <f>IFERROR(VLOOKUP($B77,MMWR_TRAD_AGG_STATE_PEN[],Q$1,0),"ERROR")</f>
        <v>8</v>
      </c>
      <c r="R77" s="115">
        <f>IFERROR(VLOOKUP($B77,MMWR_TRAD_AGG_STATE_PEN[],R$1,0),"ERROR")</f>
        <v>32</v>
      </c>
      <c r="S77" s="115">
        <f>IFERROR(VLOOKUP($B77,MMWR_APP_STATE_PEN[],S$1,0),"ERROR")</f>
        <v>19</v>
      </c>
      <c r="T77" s="28"/>
    </row>
    <row r="78" spans="1:20" s="123" customFormat="1" x14ac:dyDescent="0.2">
      <c r="A78" s="28"/>
      <c r="B78" s="127" t="s">
        <v>381</v>
      </c>
      <c r="C78" s="109">
        <f>IFERROR(VLOOKUP($B78,MMWR_TRAD_AGG_STATE_PEN[],C$1,0),"ERROR")</f>
        <v>406</v>
      </c>
      <c r="D78" s="110">
        <f>IFERROR(VLOOKUP($B78,MMWR_TRAD_AGG_STATE_PEN[],D$1,0),"ERROR")</f>
        <v>105.4901477833</v>
      </c>
      <c r="E78" s="111">
        <f>IFERROR(VLOOKUP($B78,MMWR_TRAD_AGG_STATE_PEN[],E$1,0),"ERROR")</f>
        <v>605</v>
      </c>
      <c r="F78" s="112">
        <f>IFERROR(VLOOKUP($B78,MMWR_TRAD_AGG_STATE_PEN[],F$1,0),"ERROR")</f>
        <v>161</v>
      </c>
      <c r="G78" s="113">
        <f t="shared" si="8"/>
        <v>0.26611570247933886</v>
      </c>
      <c r="H78" s="111">
        <f>IFERROR(VLOOKUP($B78,MMWR_TRAD_AGG_STATE_PEN[],H$1,0),"ERROR")</f>
        <v>615</v>
      </c>
      <c r="I78" s="112">
        <f>IFERROR(VLOOKUP($B78,MMWR_TRAD_AGG_STATE_PEN[],I$1,0),"ERROR")</f>
        <v>180</v>
      </c>
      <c r="J78" s="114">
        <f t="shared" si="9"/>
        <v>0.29268292682926828</v>
      </c>
      <c r="K78" s="111">
        <f>IFERROR(VLOOKUP($B78,MMWR_TRAD_AGG_STATE_PEN[],K$1,0),"ERROR")</f>
        <v>13</v>
      </c>
      <c r="L78" s="112">
        <f>IFERROR(VLOOKUP($B78,MMWR_TRAD_AGG_STATE_PEN[],L$1,0),"ERROR")</f>
        <v>13</v>
      </c>
      <c r="M78" s="114">
        <f t="shared" si="10"/>
        <v>1</v>
      </c>
      <c r="N78" s="111">
        <f>IFERROR(VLOOKUP($B78,MMWR_TRAD_AGG_STATE_PEN[],N$1,0),"ERROR")</f>
        <v>65</v>
      </c>
      <c r="O78" s="112">
        <f>IFERROR(VLOOKUP($B78,MMWR_TRAD_AGG_STATE_PEN[],O$1,0),"ERROR")</f>
        <v>19</v>
      </c>
      <c r="P78" s="114">
        <f t="shared" si="11"/>
        <v>0.29230769230769232</v>
      </c>
      <c r="Q78" s="115">
        <f>IFERROR(VLOOKUP($B78,MMWR_TRAD_AGG_STATE_PEN[],Q$1,0),"ERROR")</f>
        <v>70</v>
      </c>
      <c r="R78" s="115">
        <f>IFERROR(VLOOKUP($B78,MMWR_TRAD_AGG_STATE_PEN[],R$1,0),"ERROR")</f>
        <v>198</v>
      </c>
      <c r="S78" s="115">
        <f>IFERROR(VLOOKUP($B78,MMWR_APP_STATE_PEN[],S$1,0),"ERROR")</f>
        <v>178</v>
      </c>
      <c r="T78" s="28"/>
    </row>
    <row r="79" spans="1:20" s="123" customFormat="1" x14ac:dyDescent="0.2">
      <c r="A79" s="28"/>
      <c r="B79" s="127" t="s">
        <v>63</v>
      </c>
      <c r="C79" s="109">
        <f>IFERROR(VLOOKUP($B79,MMWR_TRAD_AGG_STATE_PEN[],C$1,0),"ERROR")</f>
        <v>1079</v>
      </c>
      <c r="D79" s="110">
        <f>IFERROR(VLOOKUP($B79,MMWR_TRAD_AGG_STATE_PEN[],D$1,0),"ERROR")</f>
        <v>110.92863762739999</v>
      </c>
      <c r="E79" s="111">
        <f>IFERROR(VLOOKUP($B79,MMWR_TRAD_AGG_STATE_PEN[],E$1,0),"ERROR")</f>
        <v>1597</v>
      </c>
      <c r="F79" s="112">
        <f>IFERROR(VLOOKUP($B79,MMWR_TRAD_AGG_STATE_PEN[],F$1,0),"ERROR")</f>
        <v>478</v>
      </c>
      <c r="G79" s="113">
        <f t="shared" si="8"/>
        <v>0.29931120851596743</v>
      </c>
      <c r="H79" s="111">
        <f>IFERROR(VLOOKUP($B79,MMWR_TRAD_AGG_STATE_PEN[],H$1,0),"ERROR")</f>
        <v>1757</v>
      </c>
      <c r="I79" s="112">
        <f>IFERROR(VLOOKUP($B79,MMWR_TRAD_AGG_STATE_PEN[],I$1,0),"ERROR")</f>
        <v>584</v>
      </c>
      <c r="J79" s="114">
        <f t="shared" si="9"/>
        <v>0.33238474672737622</v>
      </c>
      <c r="K79" s="111">
        <f>IFERROR(VLOOKUP($B79,MMWR_TRAD_AGG_STATE_PEN[],K$1,0),"ERROR")</f>
        <v>44</v>
      </c>
      <c r="L79" s="112">
        <f>IFERROR(VLOOKUP($B79,MMWR_TRAD_AGG_STATE_PEN[],L$1,0),"ERROR")</f>
        <v>42</v>
      </c>
      <c r="M79" s="114">
        <f t="shared" si="10"/>
        <v>0.95454545454545459</v>
      </c>
      <c r="N79" s="111">
        <f>IFERROR(VLOOKUP($B79,MMWR_TRAD_AGG_STATE_PEN[],N$1,0),"ERROR")</f>
        <v>100</v>
      </c>
      <c r="O79" s="112">
        <f>IFERROR(VLOOKUP($B79,MMWR_TRAD_AGG_STATE_PEN[],O$1,0),"ERROR")</f>
        <v>39</v>
      </c>
      <c r="P79" s="114">
        <f t="shared" si="11"/>
        <v>0.39</v>
      </c>
      <c r="Q79" s="115">
        <f>IFERROR(VLOOKUP($B79,MMWR_TRAD_AGG_STATE_PEN[],Q$1,0),"ERROR")</f>
        <v>113</v>
      </c>
      <c r="R79" s="115">
        <f>IFERROR(VLOOKUP($B79,MMWR_TRAD_AGG_STATE_PEN[],R$1,0),"ERROR")</f>
        <v>338</v>
      </c>
      <c r="S79" s="115">
        <f>IFERROR(VLOOKUP($B79,MMWR_APP_STATE_PEN[],S$1,0),"ERROR")</f>
        <v>251</v>
      </c>
      <c r="T79" s="28"/>
    </row>
    <row r="80" spans="1:20" s="123" customFormat="1" x14ac:dyDescent="0.2">
      <c r="A80" s="28"/>
      <c r="B80" s="127" t="s">
        <v>389</v>
      </c>
      <c r="C80" s="109">
        <f>IFERROR(VLOOKUP($B80,MMWR_TRAD_AGG_STATE_PEN[],C$1,0),"ERROR")</f>
        <v>1178</v>
      </c>
      <c r="D80" s="110">
        <f>IFERROR(VLOOKUP($B80,MMWR_TRAD_AGG_STATE_PEN[],D$1,0),"ERROR")</f>
        <v>113.2393887946</v>
      </c>
      <c r="E80" s="111">
        <f>IFERROR(VLOOKUP($B80,MMWR_TRAD_AGG_STATE_PEN[],E$1,0),"ERROR")</f>
        <v>1069</v>
      </c>
      <c r="F80" s="112">
        <f>IFERROR(VLOOKUP($B80,MMWR_TRAD_AGG_STATE_PEN[],F$1,0),"ERROR")</f>
        <v>288</v>
      </c>
      <c r="G80" s="113">
        <f t="shared" si="8"/>
        <v>0.2694106641721235</v>
      </c>
      <c r="H80" s="111">
        <f>IFERROR(VLOOKUP($B80,MMWR_TRAD_AGG_STATE_PEN[],H$1,0),"ERROR")</f>
        <v>1854</v>
      </c>
      <c r="I80" s="112">
        <f>IFERROR(VLOOKUP($B80,MMWR_TRAD_AGG_STATE_PEN[],I$1,0),"ERROR")</f>
        <v>585</v>
      </c>
      <c r="J80" s="114">
        <f t="shared" si="9"/>
        <v>0.3155339805825243</v>
      </c>
      <c r="K80" s="111">
        <f>IFERROR(VLOOKUP($B80,MMWR_TRAD_AGG_STATE_PEN[],K$1,0),"ERROR")</f>
        <v>64</v>
      </c>
      <c r="L80" s="112">
        <f>IFERROR(VLOOKUP($B80,MMWR_TRAD_AGG_STATE_PEN[],L$1,0),"ERROR")</f>
        <v>62</v>
      </c>
      <c r="M80" s="114">
        <f t="shared" si="10"/>
        <v>0.96875</v>
      </c>
      <c r="N80" s="111">
        <f>IFERROR(VLOOKUP($B80,MMWR_TRAD_AGG_STATE_PEN[],N$1,0),"ERROR")</f>
        <v>159</v>
      </c>
      <c r="O80" s="112">
        <f>IFERROR(VLOOKUP($B80,MMWR_TRAD_AGG_STATE_PEN[],O$1,0),"ERROR")</f>
        <v>57</v>
      </c>
      <c r="P80" s="114">
        <f t="shared" si="11"/>
        <v>0.35849056603773582</v>
      </c>
      <c r="Q80" s="115">
        <f>IFERROR(VLOOKUP($B80,MMWR_TRAD_AGG_STATE_PEN[],Q$1,0),"ERROR")</f>
        <v>212</v>
      </c>
      <c r="R80" s="115">
        <f>IFERROR(VLOOKUP($B80,MMWR_TRAD_AGG_STATE_PEN[],R$1,0),"ERROR")</f>
        <v>373</v>
      </c>
      <c r="S80" s="115">
        <f>IFERROR(VLOOKUP($B80,MMWR_APP_STATE_PEN[],S$1,0),"ERROR")</f>
        <v>224</v>
      </c>
      <c r="T80" s="28"/>
    </row>
    <row r="81" spans="1:20" s="123" customFormat="1" x14ac:dyDescent="0.2">
      <c r="A81" s="28"/>
      <c r="B81" s="127" t="s">
        <v>382</v>
      </c>
      <c r="C81" s="109">
        <f>IFERROR(VLOOKUP($B81,MMWR_TRAD_AGG_STATE_PEN[],C$1,0),"ERROR")</f>
        <v>1409</v>
      </c>
      <c r="D81" s="110">
        <f>IFERROR(VLOOKUP($B81,MMWR_TRAD_AGG_STATE_PEN[],D$1,0),"ERROR")</f>
        <v>105.1738821859</v>
      </c>
      <c r="E81" s="111">
        <f>IFERROR(VLOOKUP($B81,MMWR_TRAD_AGG_STATE_PEN[],E$1,0),"ERROR")</f>
        <v>1891</v>
      </c>
      <c r="F81" s="112">
        <f>IFERROR(VLOOKUP($B81,MMWR_TRAD_AGG_STATE_PEN[],F$1,0),"ERROR")</f>
        <v>551</v>
      </c>
      <c r="G81" s="113">
        <f t="shared" si="8"/>
        <v>0.29138022210470649</v>
      </c>
      <c r="H81" s="111">
        <f>IFERROR(VLOOKUP($B81,MMWR_TRAD_AGG_STATE_PEN[],H$1,0),"ERROR")</f>
        <v>2256</v>
      </c>
      <c r="I81" s="112">
        <f>IFERROR(VLOOKUP($B81,MMWR_TRAD_AGG_STATE_PEN[],I$1,0),"ERROR")</f>
        <v>645</v>
      </c>
      <c r="J81" s="114">
        <f t="shared" si="9"/>
        <v>0.28590425531914893</v>
      </c>
      <c r="K81" s="111">
        <f>IFERROR(VLOOKUP($B81,MMWR_TRAD_AGG_STATE_PEN[],K$1,0),"ERROR")</f>
        <v>45</v>
      </c>
      <c r="L81" s="112">
        <f>IFERROR(VLOOKUP($B81,MMWR_TRAD_AGG_STATE_PEN[],L$1,0),"ERROR")</f>
        <v>43</v>
      </c>
      <c r="M81" s="114">
        <f t="shared" si="10"/>
        <v>0.9555555555555556</v>
      </c>
      <c r="N81" s="111">
        <f>IFERROR(VLOOKUP($B81,MMWR_TRAD_AGG_STATE_PEN[],N$1,0),"ERROR")</f>
        <v>175</v>
      </c>
      <c r="O81" s="112">
        <f>IFERROR(VLOOKUP($B81,MMWR_TRAD_AGG_STATE_PEN[],O$1,0),"ERROR")</f>
        <v>48</v>
      </c>
      <c r="P81" s="114">
        <f t="shared" si="11"/>
        <v>0.2742857142857143</v>
      </c>
      <c r="Q81" s="115">
        <f>IFERROR(VLOOKUP($B81,MMWR_TRAD_AGG_STATE_PEN[],Q$1,0),"ERROR")</f>
        <v>112</v>
      </c>
      <c r="R81" s="115">
        <f>IFERROR(VLOOKUP($B81,MMWR_TRAD_AGG_STATE_PEN[],R$1,0),"ERROR")</f>
        <v>425</v>
      </c>
      <c r="S81" s="115">
        <f>IFERROR(VLOOKUP($B81,MMWR_APP_STATE_PEN[],S$1,0),"ERROR")</f>
        <v>277</v>
      </c>
      <c r="T81" s="28"/>
    </row>
    <row r="82" spans="1:20" s="123" customFormat="1" x14ac:dyDescent="0.2">
      <c r="A82" s="28"/>
      <c r="B82" s="127" t="s">
        <v>379</v>
      </c>
      <c r="C82" s="109">
        <f>IFERROR(VLOOKUP($B82,MMWR_TRAD_AGG_STATE_PEN[],C$1,0),"ERROR")</f>
        <v>62</v>
      </c>
      <c r="D82" s="110">
        <f>IFERROR(VLOOKUP($B82,MMWR_TRAD_AGG_STATE_PEN[],D$1,0),"ERROR")</f>
        <v>92.354838709700005</v>
      </c>
      <c r="E82" s="111">
        <f>IFERROR(VLOOKUP($B82,MMWR_TRAD_AGG_STATE_PEN[],E$1,0),"ERROR")</f>
        <v>125</v>
      </c>
      <c r="F82" s="112">
        <f>IFERROR(VLOOKUP($B82,MMWR_TRAD_AGG_STATE_PEN[],F$1,0),"ERROR")</f>
        <v>25</v>
      </c>
      <c r="G82" s="113">
        <f t="shared" si="8"/>
        <v>0.2</v>
      </c>
      <c r="H82" s="111">
        <f>IFERROR(VLOOKUP($B82,MMWR_TRAD_AGG_STATE_PEN[],H$1,0),"ERROR")</f>
        <v>119</v>
      </c>
      <c r="I82" s="112">
        <f>IFERROR(VLOOKUP($B82,MMWR_TRAD_AGG_STATE_PEN[],I$1,0),"ERROR")</f>
        <v>27</v>
      </c>
      <c r="J82" s="114">
        <f t="shared" si="9"/>
        <v>0.22689075630252101</v>
      </c>
      <c r="K82" s="111">
        <f>IFERROR(VLOOKUP($B82,MMWR_TRAD_AGG_STATE_PEN[],K$1,0),"ERROR")</f>
        <v>5</v>
      </c>
      <c r="L82" s="112">
        <f>IFERROR(VLOOKUP($B82,MMWR_TRAD_AGG_STATE_PEN[],L$1,0),"ERROR")</f>
        <v>5</v>
      </c>
      <c r="M82" s="114">
        <f t="shared" si="10"/>
        <v>1</v>
      </c>
      <c r="N82" s="111">
        <f>IFERROR(VLOOKUP($B82,MMWR_TRAD_AGG_STATE_PEN[],N$1,0),"ERROR")</f>
        <v>5</v>
      </c>
      <c r="O82" s="112">
        <f>IFERROR(VLOOKUP($B82,MMWR_TRAD_AGG_STATE_PEN[],O$1,0),"ERROR")</f>
        <v>1</v>
      </c>
      <c r="P82" s="114">
        <f t="shared" si="11"/>
        <v>0.2</v>
      </c>
      <c r="Q82" s="115">
        <f>IFERROR(VLOOKUP($B82,MMWR_TRAD_AGG_STATE_PEN[],Q$1,0),"ERROR")</f>
        <v>15</v>
      </c>
      <c r="R82" s="115">
        <f>IFERROR(VLOOKUP($B82,MMWR_TRAD_AGG_STATE_PEN[],R$1,0),"ERROR")</f>
        <v>28</v>
      </c>
      <c r="S82" s="115">
        <f>IFERROR(VLOOKUP($B82,MMWR_APP_STATE_PEN[],S$1,0),"ERROR")</f>
        <v>24</v>
      </c>
      <c r="T82" s="28"/>
    </row>
    <row r="83" spans="1:20" s="123" customFormat="1" x14ac:dyDescent="0.2">
      <c r="A83" s="28"/>
      <c r="B83" s="127" t="s">
        <v>424</v>
      </c>
      <c r="C83" s="109">
        <f>IFERROR(VLOOKUP($B83,MMWR_TRAD_AGG_STATE_PEN[],C$1,0),"ERROR")</f>
        <v>29</v>
      </c>
      <c r="D83" s="110">
        <f>IFERROR(VLOOKUP($B83,MMWR_TRAD_AGG_STATE_PEN[],D$1,0),"ERROR")</f>
        <v>96.310344827600005</v>
      </c>
      <c r="E83" s="111">
        <f>IFERROR(VLOOKUP($B83,MMWR_TRAD_AGG_STATE_PEN[],E$1,0),"ERROR")</f>
        <v>27</v>
      </c>
      <c r="F83" s="112">
        <f>IFERROR(VLOOKUP($B83,MMWR_TRAD_AGG_STATE_PEN[],F$1,0),"ERROR")</f>
        <v>7</v>
      </c>
      <c r="G83" s="113">
        <f t="shared" si="8"/>
        <v>0.25925925925925924</v>
      </c>
      <c r="H83" s="111">
        <f>IFERROR(VLOOKUP($B83,MMWR_TRAD_AGG_STATE_PEN[],H$1,0),"ERROR")</f>
        <v>37</v>
      </c>
      <c r="I83" s="112">
        <f>IFERROR(VLOOKUP($B83,MMWR_TRAD_AGG_STATE_PEN[],I$1,0),"ERROR")</f>
        <v>12</v>
      </c>
      <c r="J83" s="114">
        <f t="shared" si="9"/>
        <v>0.32432432432432434</v>
      </c>
      <c r="K83" s="111">
        <f>IFERROR(VLOOKUP($B83,MMWR_TRAD_AGG_STATE_PEN[],K$1,0),"ERROR")</f>
        <v>2</v>
      </c>
      <c r="L83" s="112">
        <f>IFERROR(VLOOKUP($B83,MMWR_TRAD_AGG_STATE_PEN[],L$1,0),"ERROR")</f>
        <v>2</v>
      </c>
      <c r="M83" s="114">
        <f t="shared" si="10"/>
        <v>1</v>
      </c>
      <c r="N83" s="111">
        <f>IFERROR(VLOOKUP($B83,MMWR_TRAD_AGG_STATE_PEN[],N$1,0),"ERROR")</f>
        <v>2</v>
      </c>
      <c r="O83" s="112">
        <f>IFERROR(VLOOKUP($B83,MMWR_TRAD_AGG_STATE_PEN[],O$1,0),"ERROR")</f>
        <v>2</v>
      </c>
      <c r="P83" s="114">
        <f t="shared" si="11"/>
        <v>1</v>
      </c>
      <c r="Q83" s="115">
        <f>IFERROR(VLOOKUP($B83,MMWR_TRAD_AGG_STATE_PEN[],Q$1,0),"ERROR")</f>
        <v>6</v>
      </c>
      <c r="R83" s="115">
        <f>IFERROR(VLOOKUP($B83,MMWR_TRAD_AGG_STATE_PEN[],R$1,0),"ERROR")</f>
        <v>6</v>
      </c>
      <c r="S83" s="115">
        <f>IFERROR(VLOOKUP($B83,MMWR_APP_STATE_PEN[],S$1,0),"ERROR")</f>
        <v>9</v>
      </c>
      <c r="T83" s="28"/>
    </row>
    <row r="84" spans="1:20" s="123" customFormat="1" x14ac:dyDescent="0.2">
      <c r="A84" s="28"/>
      <c r="B84" s="127" t="s">
        <v>385</v>
      </c>
      <c r="C84" s="109">
        <f>IFERROR(VLOOKUP($B84,MMWR_TRAD_AGG_STATE_PEN[],C$1,0),"ERROR")</f>
        <v>693</v>
      </c>
      <c r="D84" s="110">
        <f>IFERROR(VLOOKUP($B84,MMWR_TRAD_AGG_STATE_PEN[],D$1,0),"ERROR")</f>
        <v>109.55555555559999</v>
      </c>
      <c r="E84" s="111">
        <f>IFERROR(VLOOKUP($B84,MMWR_TRAD_AGG_STATE_PEN[],E$1,0),"ERROR")</f>
        <v>669</v>
      </c>
      <c r="F84" s="112">
        <f>IFERROR(VLOOKUP($B84,MMWR_TRAD_AGG_STATE_PEN[],F$1,0),"ERROR")</f>
        <v>166</v>
      </c>
      <c r="G84" s="113">
        <f t="shared" si="8"/>
        <v>0.24813153961136025</v>
      </c>
      <c r="H84" s="111">
        <f>IFERROR(VLOOKUP($B84,MMWR_TRAD_AGG_STATE_PEN[],H$1,0),"ERROR")</f>
        <v>1048</v>
      </c>
      <c r="I84" s="112">
        <f>IFERROR(VLOOKUP($B84,MMWR_TRAD_AGG_STATE_PEN[],I$1,0),"ERROR")</f>
        <v>351</v>
      </c>
      <c r="J84" s="114">
        <f t="shared" si="9"/>
        <v>0.33492366412213742</v>
      </c>
      <c r="K84" s="111">
        <f>IFERROR(VLOOKUP($B84,MMWR_TRAD_AGG_STATE_PEN[],K$1,0),"ERROR")</f>
        <v>154</v>
      </c>
      <c r="L84" s="112">
        <f>IFERROR(VLOOKUP($B84,MMWR_TRAD_AGG_STATE_PEN[],L$1,0),"ERROR")</f>
        <v>151</v>
      </c>
      <c r="M84" s="114">
        <f t="shared" si="10"/>
        <v>0.98051948051948057</v>
      </c>
      <c r="N84" s="111">
        <f>IFERROR(VLOOKUP($B84,MMWR_TRAD_AGG_STATE_PEN[],N$1,0),"ERROR")</f>
        <v>83</v>
      </c>
      <c r="O84" s="112">
        <f>IFERROR(VLOOKUP($B84,MMWR_TRAD_AGG_STATE_PEN[],O$1,0),"ERROR")</f>
        <v>32</v>
      </c>
      <c r="P84" s="114">
        <f t="shared" si="11"/>
        <v>0.38554216867469882</v>
      </c>
      <c r="Q84" s="115">
        <f>IFERROR(VLOOKUP($B84,MMWR_TRAD_AGG_STATE_PEN[],Q$1,0),"ERROR")</f>
        <v>106</v>
      </c>
      <c r="R84" s="115">
        <f>IFERROR(VLOOKUP($B84,MMWR_TRAD_AGG_STATE_PEN[],R$1,0),"ERROR")</f>
        <v>283</v>
      </c>
      <c r="S84" s="115">
        <f>IFERROR(VLOOKUP($B84,MMWR_APP_STATE_PEN[],S$1,0),"ERROR")</f>
        <v>170</v>
      </c>
      <c r="T84" s="28"/>
    </row>
    <row r="85" spans="1:20" s="123" customFormat="1" x14ac:dyDescent="0.2">
      <c r="A85" s="28"/>
      <c r="B85" s="127" t="s">
        <v>386</v>
      </c>
      <c r="C85" s="109">
        <f>IFERROR(VLOOKUP($B85,MMWR_TRAD_AGG_STATE_PEN[],C$1,0),"ERROR")</f>
        <v>226</v>
      </c>
      <c r="D85" s="110">
        <f>IFERROR(VLOOKUP($B85,MMWR_TRAD_AGG_STATE_PEN[],D$1,0),"ERROR")</f>
        <v>113.7256637168</v>
      </c>
      <c r="E85" s="111">
        <f>IFERROR(VLOOKUP($B85,MMWR_TRAD_AGG_STATE_PEN[],E$1,0),"ERROR")</f>
        <v>210</v>
      </c>
      <c r="F85" s="112">
        <f>IFERROR(VLOOKUP($B85,MMWR_TRAD_AGG_STATE_PEN[],F$1,0),"ERROR")</f>
        <v>51</v>
      </c>
      <c r="G85" s="113">
        <f t="shared" si="8"/>
        <v>0.24285714285714285</v>
      </c>
      <c r="H85" s="111">
        <f>IFERROR(VLOOKUP($B85,MMWR_TRAD_AGG_STATE_PEN[],H$1,0),"ERROR")</f>
        <v>328</v>
      </c>
      <c r="I85" s="112">
        <f>IFERROR(VLOOKUP($B85,MMWR_TRAD_AGG_STATE_PEN[],I$1,0),"ERROR")</f>
        <v>110</v>
      </c>
      <c r="J85" s="114">
        <f t="shared" si="9"/>
        <v>0.33536585365853661</v>
      </c>
      <c r="K85" s="111">
        <f>IFERROR(VLOOKUP($B85,MMWR_TRAD_AGG_STATE_PEN[],K$1,0),"ERROR")</f>
        <v>8</v>
      </c>
      <c r="L85" s="112">
        <f>IFERROR(VLOOKUP($B85,MMWR_TRAD_AGG_STATE_PEN[],L$1,0),"ERROR")</f>
        <v>7</v>
      </c>
      <c r="M85" s="114">
        <f t="shared" si="10"/>
        <v>0.875</v>
      </c>
      <c r="N85" s="111">
        <f>IFERROR(VLOOKUP($B85,MMWR_TRAD_AGG_STATE_PEN[],N$1,0),"ERROR")</f>
        <v>32</v>
      </c>
      <c r="O85" s="112">
        <f>IFERROR(VLOOKUP($B85,MMWR_TRAD_AGG_STATE_PEN[],O$1,0),"ERROR")</f>
        <v>10</v>
      </c>
      <c r="P85" s="114">
        <f t="shared" si="11"/>
        <v>0.3125</v>
      </c>
      <c r="Q85" s="115">
        <f>IFERROR(VLOOKUP($B85,MMWR_TRAD_AGG_STATE_PEN[],Q$1,0),"ERROR")</f>
        <v>34</v>
      </c>
      <c r="R85" s="115">
        <f>IFERROR(VLOOKUP($B85,MMWR_TRAD_AGG_STATE_PEN[],R$1,0),"ERROR")</f>
        <v>69</v>
      </c>
      <c r="S85" s="115">
        <f>IFERROR(VLOOKUP($B85,MMWR_APP_STATE_PEN[],S$1,0),"ERROR")</f>
        <v>45</v>
      </c>
      <c r="T85" s="28"/>
    </row>
    <row r="86" spans="1:20" s="123" customFormat="1" x14ac:dyDescent="0.2">
      <c r="A86" s="28"/>
      <c r="B86" s="126" t="s">
        <v>397</v>
      </c>
      <c r="C86" s="102">
        <f>IFERROR(VLOOKUP($B86,MMWR_TRAD_AGG_ST_DISTRICT_PEN[],C$1,0),"ERROR")</f>
        <v>2014</v>
      </c>
      <c r="D86" s="103">
        <f>IFERROR(VLOOKUP($B86,MMWR_TRAD_AGG_ST_DISTRICT_PEN[],D$1,0),"ERROR")</f>
        <v>60.9558093347</v>
      </c>
      <c r="E86" s="102">
        <f>IFERROR(VLOOKUP($B86,MMWR_TRAD_AGG_ST_DISTRICT_PEN[],E$1,0),"ERROR")</f>
        <v>5573</v>
      </c>
      <c r="F86" s="102">
        <f>IFERROR(VLOOKUP($B86,MMWR_TRAD_AGG_ST_DISTRICT_PEN[],F$1,0),"ERROR")</f>
        <v>309</v>
      </c>
      <c r="G86" s="104">
        <f t="shared" si="8"/>
        <v>5.5445899874394404E-2</v>
      </c>
      <c r="H86" s="102">
        <f>IFERROR(VLOOKUP($B86,MMWR_TRAD_AGG_ST_DISTRICT_PEN[],H$1,0),"ERROR")</f>
        <v>3767</v>
      </c>
      <c r="I86" s="102">
        <f>IFERROR(VLOOKUP($B86,MMWR_TRAD_AGG_ST_DISTRICT_PEN[],I$1,0),"ERROR")</f>
        <v>304</v>
      </c>
      <c r="J86" s="104">
        <f t="shared" si="9"/>
        <v>8.0700822936023361E-2</v>
      </c>
      <c r="K86" s="102">
        <f>IFERROR(VLOOKUP($B86,MMWR_TRAD_AGG_ST_DISTRICT_PEN[],K$1,0),"ERROR")</f>
        <v>29</v>
      </c>
      <c r="L86" s="102">
        <f>IFERROR(VLOOKUP($B86,MMWR_TRAD_AGG_ST_DISTRICT_PEN[],L$1,0),"ERROR")</f>
        <v>17</v>
      </c>
      <c r="M86" s="104">
        <f t="shared" si="10"/>
        <v>0.58620689655172409</v>
      </c>
      <c r="N86" s="102">
        <f>IFERROR(VLOOKUP($B86,MMWR_TRAD_AGG_ST_DISTRICT_PEN[],N$1,0),"ERROR")</f>
        <v>210</v>
      </c>
      <c r="O86" s="102">
        <f>IFERROR(VLOOKUP($B86,MMWR_TRAD_AGG_ST_DISTRICT_PEN[],O$1,0),"ERROR")</f>
        <v>61</v>
      </c>
      <c r="P86" s="104">
        <f t="shared" si="11"/>
        <v>0.2904761904761905</v>
      </c>
      <c r="Q86" s="102">
        <f>IFERROR(VLOOKUP($B86,MMWR_TRAD_AGG_ST_DISTRICT_PEN[],Q$1,0),"ERROR")</f>
        <v>3341</v>
      </c>
      <c r="R86" s="106">
        <f>IFERROR(VLOOKUP($B86,MMWR_TRAD_AGG_ST_DISTRICT_PEN[],R$1,0),"ERROR")</f>
        <v>448</v>
      </c>
      <c r="S86" s="106">
        <f>IFERROR(VLOOKUP($B86,MMWR_APP_STATE_PEN[],S$1,0),"ERROR")</f>
        <v>1130</v>
      </c>
      <c r="T86" s="28"/>
    </row>
    <row r="87" spans="1:20" s="123" customFormat="1" x14ac:dyDescent="0.2">
      <c r="A87" s="28"/>
      <c r="B87" s="127" t="s">
        <v>401</v>
      </c>
      <c r="C87" s="109">
        <f>IFERROR(VLOOKUP($B87,MMWR_TRAD_AGG_STATE_PEN[],C$1,0),"ERROR")</f>
        <v>292</v>
      </c>
      <c r="D87" s="110">
        <f>IFERROR(VLOOKUP($B87,MMWR_TRAD_AGG_STATE_PEN[],D$1,0),"ERROR")</f>
        <v>66.893835616399997</v>
      </c>
      <c r="E87" s="111">
        <f>IFERROR(VLOOKUP($B87,MMWR_TRAD_AGG_STATE_PEN[],E$1,0),"ERROR")</f>
        <v>830</v>
      </c>
      <c r="F87" s="112">
        <f>IFERROR(VLOOKUP($B87,MMWR_TRAD_AGG_STATE_PEN[],F$1,0),"ERROR")</f>
        <v>52</v>
      </c>
      <c r="G87" s="113">
        <f t="shared" si="8"/>
        <v>6.2650602409638559E-2</v>
      </c>
      <c r="H87" s="111">
        <f>IFERROR(VLOOKUP($B87,MMWR_TRAD_AGG_STATE_PEN[],H$1,0),"ERROR")</f>
        <v>513</v>
      </c>
      <c r="I87" s="112">
        <f>IFERROR(VLOOKUP($B87,MMWR_TRAD_AGG_STATE_PEN[],I$1,0),"ERROR")</f>
        <v>46</v>
      </c>
      <c r="J87" s="114">
        <f t="shared" si="9"/>
        <v>8.9668615984405453E-2</v>
      </c>
      <c r="K87" s="111">
        <f>IFERROR(VLOOKUP($B87,MMWR_TRAD_AGG_STATE_PEN[],K$1,0),"ERROR")</f>
        <v>3</v>
      </c>
      <c r="L87" s="112">
        <f>IFERROR(VLOOKUP($B87,MMWR_TRAD_AGG_STATE_PEN[],L$1,0),"ERROR")</f>
        <v>1</v>
      </c>
      <c r="M87" s="114">
        <f t="shared" si="10"/>
        <v>0.33333333333333331</v>
      </c>
      <c r="N87" s="111">
        <f>IFERROR(VLOOKUP($B87,MMWR_TRAD_AGG_STATE_PEN[],N$1,0),"ERROR")</f>
        <v>34</v>
      </c>
      <c r="O87" s="112">
        <f>IFERROR(VLOOKUP($B87,MMWR_TRAD_AGG_STATE_PEN[],O$1,0),"ERROR")</f>
        <v>12</v>
      </c>
      <c r="P87" s="114">
        <f t="shared" si="11"/>
        <v>0.35294117647058826</v>
      </c>
      <c r="Q87" s="115">
        <f>IFERROR(VLOOKUP($B87,MMWR_TRAD_AGG_STATE_PEN[],Q$1,0),"ERROR")</f>
        <v>473</v>
      </c>
      <c r="R87" s="115">
        <f>IFERROR(VLOOKUP($B87,MMWR_TRAD_AGG_STATE_PEN[],R$1,0),"ERROR")</f>
        <v>57</v>
      </c>
      <c r="S87" s="115">
        <f>IFERROR(VLOOKUP($B87,MMWR_APP_STATE_PEN[],S$1,0),"ERROR")</f>
        <v>275</v>
      </c>
      <c r="T87" s="28"/>
    </row>
    <row r="88" spans="1:20" s="123" customFormat="1" x14ac:dyDescent="0.2">
      <c r="A88" s="28"/>
      <c r="B88" s="127" t="s">
        <v>399</v>
      </c>
      <c r="C88" s="109">
        <f>IFERROR(VLOOKUP($B88,MMWR_TRAD_AGG_STATE_PEN[],C$1,0),"ERROR")</f>
        <v>205</v>
      </c>
      <c r="D88" s="110">
        <f>IFERROR(VLOOKUP($B88,MMWR_TRAD_AGG_STATE_PEN[],D$1,0),"ERROR")</f>
        <v>61.507317073199999</v>
      </c>
      <c r="E88" s="111">
        <f>IFERROR(VLOOKUP($B88,MMWR_TRAD_AGG_STATE_PEN[],E$1,0),"ERROR")</f>
        <v>592</v>
      </c>
      <c r="F88" s="112">
        <f>IFERROR(VLOOKUP($B88,MMWR_TRAD_AGG_STATE_PEN[],F$1,0),"ERROR")</f>
        <v>45</v>
      </c>
      <c r="G88" s="113">
        <f t="shared" si="8"/>
        <v>7.6013513513513514E-2</v>
      </c>
      <c r="H88" s="111">
        <f>IFERROR(VLOOKUP($B88,MMWR_TRAD_AGG_STATE_PEN[],H$1,0),"ERROR")</f>
        <v>407</v>
      </c>
      <c r="I88" s="112">
        <f>IFERROR(VLOOKUP($B88,MMWR_TRAD_AGG_STATE_PEN[],I$1,0),"ERROR")</f>
        <v>42</v>
      </c>
      <c r="J88" s="114">
        <f t="shared" si="9"/>
        <v>0.10319410319410319</v>
      </c>
      <c r="K88" s="111">
        <f>IFERROR(VLOOKUP($B88,MMWR_TRAD_AGG_STATE_PEN[],K$1,0),"ERROR")</f>
        <v>2</v>
      </c>
      <c r="L88" s="112">
        <f>IFERROR(VLOOKUP($B88,MMWR_TRAD_AGG_STATE_PEN[],L$1,0),"ERROR")</f>
        <v>2</v>
      </c>
      <c r="M88" s="114">
        <f t="shared" si="10"/>
        <v>1</v>
      </c>
      <c r="N88" s="111">
        <f>IFERROR(VLOOKUP($B88,MMWR_TRAD_AGG_STATE_PEN[],N$1,0),"ERROR")</f>
        <v>20</v>
      </c>
      <c r="O88" s="112">
        <f>IFERROR(VLOOKUP($B88,MMWR_TRAD_AGG_STATE_PEN[],O$1,0),"ERROR")</f>
        <v>10</v>
      </c>
      <c r="P88" s="114">
        <f t="shared" si="11"/>
        <v>0.5</v>
      </c>
      <c r="Q88" s="115">
        <f>IFERROR(VLOOKUP($B88,MMWR_TRAD_AGG_STATE_PEN[],Q$1,0),"ERROR")</f>
        <v>285</v>
      </c>
      <c r="R88" s="115">
        <f>IFERROR(VLOOKUP($B88,MMWR_TRAD_AGG_STATE_PEN[],R$1,0),"ERROR")</f>
        <v>48</v>
      </c>
      <c r="S88" s="115">
        <f>IFERROR(VLOOKUP($B88,MMWR_APP_STATE_PEN[],S$1,0),"ERROR")</f>
        <v>112</v>
      </c>
      <c r="T88" s="28"/>
    </row>
    <row r="89" spans="1:20" s="123" customFormat="1" x14ac:dyDescent="0.2">
      <c r="A89" s="28"/>
      <c r="B89" s="127" t="s">
        <v>406</v>
      </c>
      <c r="C89" s="109">
        <f>IFERROR(VLOOKUP($B89,MMWR_TRAD_AGG_STATE_PEN[],C$1,0),"ERROR")</f>
        <v>80</v>
      </c>
      <c r="D89" s="110">
        <f>IFERROR(VLOOKUP($B89,MMWR_TRAD_AGG_STATE_PEN[],D$1,0),"ERROR")</f>
        <v>38.524999999999999</v>
      </c>
      <c r="E89" s="111">
        <f>IFERROR(VLOOKUP($B89,MMWR_TRAD_AGG_STATE_PEN[],E$1,0),"ERROR")</f>
        <v>295</v>
      </c>
      <c r="F89" s="112">
        <f>IFERROR(VLOOKUP($B89,MMWR_TRAD_AGG_STATE_PEN[],F$1,0),"ERROR")</f>
        <v>7</v>
      </c>
      <c r="G89" s="113">
        <f t="shared" si="8"/>
        <v>2.3728813559322035E-2</v>
      </c>
      <c r="H89" s="111">
        <f>IFERROR(VLOOKUP($B89,MMWR_TRAD_AGG_STATE_PEN[],H$1,0),"ERROR")</f>
        <v>138</v>
      </c>
      <c r="I89" s="112">
        <f>IFERROR(VLOOKUP($B89,MMWR_TRAD_AGG_STATE_PEN[],I$1,0),"ERROR")</f>
        <v>4</v>
      </c>
      <c r="J89" s="114">
        <f t="shared" si="9"/>
        <v>2.8985507246376812E-2</v>
      </c>
      <c r="K89" s="111">
        <f>IFERROR(VLOOKUP($B89,MMWR_TRAD_AGG_STATE_PEN[],K$1,0),"ERROR")</f>
        <v>0</v>
      </c>
      <c r="L89" s="112">
        <f>IFERROR(VLOOKUP($B89,MMWR_TRAD_AGG_STATE_PEN[],L$1,0),"ERROR")</f>
        <v>0</v>
      </c>
      <c r="M89" s="114" t="str">
        <f t="shared" si="10"/>
        <v>0%</v>
      </c>
      <c r="N89" s="111">
        <f>IFERROR(VLOOKUP($B89,MMWR_TRAD_AGG_STATE_PEN[],N$1,0),"ERROR")</f>
        <v>4</v>
      </c>
      <c r="O89" s="112">
        <f>IFERROR(VLOOKUP($B89,MMWR_TRAD_AGG_STATE_PEN[],O$1,0),"ERROR")</f>
        <v>0</v>
      </c>
      <c r="P89" s="114">
        <f t="shared" si="11"/>
        <v>0</v>
      </c>
      <c r="Q89" s="115">
        <f>IFERROR(VLOOKUP($B89,MMWR_TRAD_AGG_STATE_PEN[],Q$1,0),"ERROR")</f>
        <v>168</v>
      </c>
      <c r="R89" s="115">
        <f>IFERROR(VLOOKUP($B89,MMWR_TRAD_AGG_STATE_PEN[],R$1,0),"ERROR")</f>
        <v>28</v>
      </c>
      <c r="S89" s="115">
        <f>IFERROR(VLOOKUP($B89,MMWR_APP_STATE_PEN[],S$1,0),"ERROR")</f>
        <v>20</v>
      </c>
      <c r="T89" s="28"/>
    </row>
    <row r="90" spans="1:20" s="123" customFormat="1" x14ac:dyDescent="0.2">
      <c r="A90" s="28"/>
      <c r="B90" s="127" t="s">
        <v>429</v>
      </c>
      <c r="C90" s="109">
        <f>IFERROR(VLOOKUP($B90,MMWR_TRAD_AGG_STATE_PEN[],C$1,0),"ERROR")</f>
        <v>61</v>
      </c>
      <c r="D90" s="110">
        <f>IFERROR(VLOOKUP($B90,MMWR_TRAD_AGG_STATE_PEN[],D$1,0),"ERROR")</f>
        <v>49.393442622999999</v>
      </c>
      <c r="E90" s="111">
        <f>IFERROR(VLOOKUP($B90,MMWR_TRAD_AGG_STATE_PEN[],E$1,0),"ERROR")</f>
        <v>254</v>
      </c>
      <c r="F90" s="112">
        <f>IFERROR(VLOOKUP($B90,MMWR_TRAD_AGG_STATE_PEN[],F$1,0),"ERROR")</f>
        <v>10</v>
      </c>
      <c r="G90" s="113">
        <f t="shared" si="8"/>
        <v>3.937007874015748E-2</v>
      </c>
      <c r="H90" s="111">
        <f>IFERROR(VLOOKUP($B90,MMWR_TRAD_AGG_STATE_PEN[],H$1,0),"ERROR")</f>
        <v>121</v>
      </c>
      <c r="I90" s="112">
        <f>IFERROR(VLOOKUP($B90,MMWR_TRAD_AGG_STATE_PEN[],I$1,0),"ERROR")</f>
        <v>6</v>
      </c>
      <c r="J90" s="114">
        <f t="shared" si="9"/>
        <v>4.9586776859504134E-2</v>
      </c>
      <c r="K90" s="111">
        <f>IFERROR(VLOOKUP($B90,MMWR_TRAD_AGG_STATE_PEN[],K$1,0),"ERROR")</f>
        <v>1</v>
      </c>
      <c r="L90" s="112">
        <f>IFERROR(VLOOKUP($B90,MMWR_TRAD_AGG_STATE_PEN[],L$1,0),"ERROR")</f>
        <v>1</v>
      </c>
      <c r="M90" s="114">
        <f t="shared" si="10"/>
        <v>1</v>
      </c>
      <c r="N90" s="111">
        <f>IFERROR(VLOOKUP($B90,MMWR_TRAD_AGG_STATE_PEN[],N$1,0),"ERROR")</f>
        <v>7</v>
      </c>
      <c r="O90" s="112">
        <f>IFERROR(VLOOKUP($B90,MMWR_TRAD_AGG_STATE_PEN[],O$1,0),"ERROR")</f>
        <v>3</v>
      </c>
      <c r="P90" s="114">
        <f t="shared" si="11"/>
        <v>0.42857142857142855</v>
      </c>
      <c r="Q90" s="115">
        <f>IFERROR(VLOOKUP($B90,MMWR_TRAD_AGG_STATE_PEN[],Q$1,0),"ERROR")</f>
        <v>108</v>
      </c>
      <c r="R90" s="115">
        <f>IFERROR(VLOOKUP($B90,MMWR_TRAD_AGG_STATE_PEN[],R$1,0),"ERROR")</f>
        <v>31</v>
      </c>
      <c r="S90" s="115">
        <f>IFERROR(VLOOKUP($B90,MMWR_APP_STATE_PEN[],S$1,0),"ERROR")</f>
        <v>17</v>
      </c>
      <c r="T90" s="28"/>
    </row>
    <row r="91" spans="1:20" s="123" customFormat="1" x14ac:dyDescent="0.2">
      <c r="A91" s="28"/>
      <c r="B91" s="127" t="s">
        <v>402</v>
      </c>
      <c r="C91" s="109">
        <f>IFERROR(VLOOKUP($B91,MMWR_TRAD_AGG_STATE_PEN[],C$1,0),"ERROR")</f>
        <v>355</v>
      </c>
      <c r="D91" s="110">
        <f>IFERROR(VLOOKUP($B91,MMWR_TRAD_AGG_STATE_PEN[],D$1,0),"ERROR")</f>
        <v>64.599999999999994</v>
      </c>
      <c r="E91" s="111">
        <f>IFERROR(VLOOKUP($B91,MMWR_TRAD_AGG_STATE_PEN[],E$1,0),"ERROR")</f>
        <v>1032</v>
      </c>
      <c r="F91" s="112">
        <f>IFERROR(VLOOKUP($B91,MMWR_TRAD_AGG_STATE_PEN[],F$1,0),"ERROR")</f>
        <v>64</v>
      </c>
      <c r="G91" s="113">
        <f t="shared" si="8"/>
        <v>6.2015503875968991E-2</v>
      </c>
      <c r="H91" s="111">
        <f>IFERROR(VLOOKUP($B91,MMWR_TRAD_AGG_STATE_PEN[],H$1,0),"ERROR")</f>
        <v>668</v>
      </c>
      <c r="I91" s="112">
        <f>IFERROR(VLOOKUP($B91,MMWR_TRAD_AGG_STATE_PEN[],I$1,0),"ERROR")</f>
        <v>43</v>
      </c>
      <c r="J91" s="114">
        <f t="shared" si="9"/>
        <v>6.4371257485029934E-2</v>
      </c>
      <c r="K91" s="111">
        <f>IFERROR(VLOOKUP($B91,MMWR_TRAD_AGG_STATE_PEN[],K$1,0),"ERROR")</f>
        <v>3</v>
      </c>
      <c r="L91" s="112">
        <f>IFERROR(VLOOKUP($B91,MMWR_TRAD_AGG_STATE_PEN[],L$1,0),"ERROR")</f>
        <v>3</v>
      </c>
      <c r="M91" s="114">
        <f t="shared" si="10"/>
        <v>1</v>
      </c>
      <c r="N91" s="111">
        <f>IFERROR(VLOOKUP($B91,MMWR_TRAD_AGG_STATE_PEN[],N$1,0),"ERROR")</f>
        <v>48</v>
      </c>
      <c r="O91" s="112">
        <f>IFERROR(VLOOKUP($B91,MMWR_TRAD_AGG_STATE_PEN[],O$1,0),"ERROR")</f>
        <v>10</v>
      </c>
      <c r="P91" s="114">
        <f t="shared" si="11"/>
        <v>0.20833333333333334</v>
      </c>
      <c r="Q91" s="115">
        <f>IFERROR(VLOOKUP($B91,MMWR_TRAD_AGG_STATE_PEN[],Q$1,0),"ERROR")</f>
        <v>506</v>
      </c>
      <c r="R91" s="115">
        <f>IFERROR(VLOOKUP($B91,MMWR_TRAD_AGG_STATE_PEN[],R$1,0),"ERROR")</f>
        <v>69</v>
      </c>
      <c r="S91" s="115">
        <f>IFERROR(VLOOKUP($B91,MMWR_APP_STATE_PEN[],S$1,0),"ERROR")</f>
        <v>198</v>
      </c>
      <c r="T91" s="28"/>
    </row>
    <row r="92" spans="1:20" s="123" customFormat="1" x14ac:dyDescent="0.2">
      <c r="A92" s="28"/>
      <c r="B92" s="127" t="s">
        <v>408</v>
      </c>
      <c r="C92" s="109">
        <f>IFERROR(VLOOKUP($B92,MMWR_TRAD_AGG_STATE_PEN[],C$1,0),"ERROR")</f>
        <v>88</v>
      </c>
      <c r="D92" s="110">
        <f>IFERROR(VLOOKUP($B92,MMWR_TRAD_AGG_STATE_PEN[],D$1,0),"ERROR")</f>
        <v>40.7954545455</v>
      </c>
      <c r="E92" s="111">
        <f>IFERROR(VLOOKUP($B92,MMWR_TRAD_AGG_STATE_PEN[],E$1,0),"ERROR")</f>
        <v>322</v>
      </c>
      <c r="F92" s="112">
        <f>IFERROR(VLOOKUP($B92,MMWR_TRAD_AGG_STATE_PEN[],F$1,0),"ERROR")</f>
        <v>9</v>
      </c>
      <c r="G92" s="113">
        <f t="shared" si="8"/>
        <v>2.7950310559006212E-2</v>
      </c>
      <c r="H92" s="111">
        <f>IFERROR(VLOOKUP($B92,MMWR_TRAD_AGG_STATE_PEN[],H$1,0),"ERROR")</f>
        <v>143</v>
      </c>
      <c r="I92" s="112">
        <f>IFERROR(VLOOKUP($B92,MMWR_TRAD_AGG_STATE_PEN[],I$1,0),"ERROR")</f>
        <v>4</v>
      </c>
      <c r="J92" s="114">
        <f t="shared" si="9"/>
        <v>2.7972027972027972E-2</v>
      </c>
      <c r="K92" s="111">
        <f>IFERROR(VLOOKUP($B92,MMWR_TRAD_AGG_STATE_PEN[],K$1,0),"ERROR")</f>
        <v>1</v>
      </c>
      <c r="L92" s="112">
        <f>IFERROR(VLOOKUP($B92,MMWR_TRAD_AGG_STATE_PEN[],L$1,0),"ERROR")</f>
        <v>1</v>
      </c>
      <c r="M92" s="114">
        <f t="shared" si="10"/>
        <v>1</v>
      </c>
      <c r="N92" s="111">
        <f>IFERROR(VLOOKUP($B92,MMWR_TRAD_AGG_STATE_PEN[],N$1,0),"ERROR")</f>
        <v>3</v>
      </c>
      <c r="O92" s="112">
        <f>IFERROR(VLOOKUP($B92,MMWR_TRAD_AGG_STATE_PEN[],O$1,0),"ERROR")</f>
        <v>1</v>
      </c>
      <c r="P92" s="114">
        <f t="shared" si="11"/>
        <v>0.33333333333333331</v>
      </c>
      <c r="Q92" s="115">
        <f>IFERROR(VLOOKUP($B92,MMWR_TRAD_AGG_STATE_PEN[],Q$1,0),"ERROR")</f>
        <v>377</v>
      </c>
      <c r="R92" s="115">
        <f>IFERROR(VLOOKUP($B92,MMWR_TRAD_AGG_STATE_PEN[],R$1,0),"ERROR")</f>
        <v>34</v>
      </c>
      <c r="S92" s="115">
        <f>IFERROR(VLOOKUP($B92,MMWR_APP_STATE_PEN[],S$1,0),"ERROR")</f>
        <v>20</v>
      </c>
      <c r="T92" s="28"/>
    </row>
    <row r="93" spans="1:20" s="123" customFormat="1" x14ac:dyDescent="0.2">
      <c r="A93" s="28"/>
      <c r="B93" s="127" t="s">
        <v>404</v>
      </c>
      <c r="C93" s="109">
        <f>IFERROR(VLOOKUP($B93,MMWR_TRAD_AGG_STATE_PEN[],C$1,0),"ERROR")</f>
        <v>276</v>
      </c>
      <c r="D93" s="110">
        <f>IFERROR(VLOOKUP($B93,MMWR_TRAD_AGG_STATE_PEN[],D$1,0),"ERROR")</f>
        <v>64.728260869600007</v>
      </c>
      <c r="E93" s="111">
        <f>IFERROR(VLOOKUP($B93,MMWR_TRAD_AGG_STATE_PEN[],E$1,0),"ERROR")</f>
        <v>598</v>
      </c>
      <c r="F93" s="112">
        <f>IFERROR(VLOOKUP($B93,MMWR_TRAD_AGG_STATE_PEN[],F$1,0),"ERROR")</f>
        <v>34</v>
      </c>
      <c r="G93" s="113">
        <f t="shared" si="8"/>
        <v>5.6856187290969896E-2</v>
      </c>
      <c r="H93" s="111">
        <f>IFERROR(VLOOKUP($B93,MMWR_TRAD_AGG_STATE_PEN[],H$1,0),"ERROR")</f>
        <v>537</v>
      </c>
      <c r="I93" s="112">
        <f>IFERROR(VLOOKUP($B93,MMWR_TRAD_AGG_STATE_PEN[],I$1,0),"ERROR")</f>
        <v>46</v>
      </c>
      <c r="J93" s="114">
        <f t="shared" si="9"/>
        <v>8.5661080074487903E-2</v>
      </c>
      <c r="K93" s="111">
        <f>IFERROR(VLOOKUP($B93,MMWR_TRAD_AGG_STATE_PEN[],K$1,0),"ERROR")</f>
        <v>1</v>
      </c>
      <c r="L93" s="112">
        <f>IFERROR(VLOOKUP($B93,MMWR_TRAD_AGG_STATE_PEN[],L$1,0),"ERROR")</f>
        <v>1</v>
      </c>
      <c r="M93" s="114">
        <f t="shared" si="10"/>
        <v>1</v>
      </c>
      <c r="N93" s="111">
        <f>IFERROR(VLOOKUP($B93,MMWR_TRAD_AGG_STATE_PEN[],N$1,0),"ERROR")</f>
        <v>28</v>
      </c>
      <c r="O93" s="112">
        <f>IFERROR(VLOOKUP($B93,MMWR_TRAD_AGG_STATE_PEN[],O$1,0),"ERROR")</f>
        <v>9</v>
      </c>
      <c r="P93" s="114">
        <f t="shared" si="11"/>
        <v>0.32142857142857145</v>
      </c>
      <c r="Q93" s="115">
        <f>IFERROR(VLOOKUP($B93,MMWR_TRAD_AGG_STATE_PEN[],Q$1,0),"ERROR")</f>
        <v>395</v>
      </c>
      <c r="R93" s="115">
        <f>IFERROR(VLOOKUP($B93,MMWR_TRAD_AGG_STATE_PEN[],R$1,0),"ERROR")</f>
        <v>56</v>
      </c>
      <c r="S93" s="115">
        <f>IFERROR(VLOOKUP($B93,MMWR_APP_STATE_PEN[],S$1,0),"ERROR")</f>
        <v>166</v>
      </c>
      <c r="T93" s="28"/>
    </row>
    <row r="94" spans="1:20" s="123" customFormat="1" x14ac:dyDescent="0.2">
      <c r="A94" s="28"/>
      <c r="B94" s="127" t="s">
        <v>407</v>
      </c>
      <c r="C94" s="109">
        <f>IFERROR(VLOOKUP($B94,MMWR_TRAD_AGG_STATE_PEN[],C$1,0),"ERROR")</f>
        <v>26</v>
      </c>
      <c r="D94" s="110">
        <f>IFERROR(VLOOKUP($B94,MMWR_TRAD_AGG_STATE_PEN[],D$1,0),"ERROR")</f>
        <v>28.692307692300002</v>
      </c>
      <c r="E94" s="111">
        <f>IFERROR(VLOOKUP($B94,MMWR_TRAD_AGG_STATE_PEN[],E$1,0),"ERROR")</f>
        <v>76</v>
      </c>
      <c r="F94" s="112">
        <f>IFERROR(VLOOKUP($B94,MMWR_TRAD_AGG_STATE_PEN[],F$1,0),"ERROR")</f>
        <v>3</v>
      </c>
      <c r="G94" s="113">
        <f t="shared" si="8"/>
        <v>3.9473684210526314E-2</v>
      </c>
      <c r="H94" s="111">
        <f>IFERROR(VLOOKUP($B94,MMWR_TRAD_AGG_STATE_PEN[],H$1,0),"ERROR")</f>
        <v>52</v>
      </c>
      <c r="I94" s="112">
        <f>IFERROR(VLOOKUP($B94,MMWR_TRAD_AGG_STATE_PEN[],I$1,0),"ERROR")</f>
        <v>1</v>
      </c>
      <c r="J94" s="114">
        <f t="shared" si="9"/>
        <v>1.9230769230769232E-2</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1</v>
      </c>
      <c r="P94" s="114">
        <f t="shared" si="11"/>
        <v>1</v>
      </c>
      <c r="Q94" s="115">
        <f>IFERROR(VLOOKUP($B94,MMWR_TRAD_AGG_STATE_PEN[],Q$1,0),"ERROR")</f>
        <v>143</v>
      </c>
      <c r="R94" s="115">
        <f>IFERROR(VLOOKUP($B94,MMWR_TRAD_AGG_STATE_PEN[],R$1,0),"ERROR")</f>
        <v>9</v>
      </c>
      <c r="S94" s="115">
        <f>IFERROR(VLOOKUP($B94,MMWR_APP_STATE_PEN[],S$1,0),"ERROR")</f>
        <v>19</v>
      </c>
      <c r="T94" s="28"/>
    </row>
    <row r="95" spans="1:20" s="123" customFormat="1" x14ac:dyDescent="0.2">
      <c r="A95" s="28"/>
      <c r="B95" s="127" t="s">
        <v>426</v>
      </c>
      <c r="C95" s="109">
        <f>IFERROR(VLOOKUP($B95,MMWR_TRAD_AGG_STATE_PEN[],C$1,0),"ERROR")</f>
        <v>20</v>
      </c>
      <c r="D95" s="110">
        <f>IFERROR(VLOOKUP($B95,MMWR_TRAD_AGG_STATE_PEN[],D$1,0),"ERROR")</f>
        <v>30.7</v>
      </c>
      <c r="E95" s="111">
        <f>IFERROR(VLOOKUP($B95,MMWR_TRAD_AGG_STATE_PEN[],E$1,0),"ERROR")</f>
        <v>41</v>
      </c>
      <c r="F95" s="112">
        <f>IFERROR(VLOOKUP($B95,MMWR_TRAD_AGG_STATE_PEN[],F$1,0),"ERROR")</f>
        <v>0</v>
      </c>
      <c r="G95" s="113">
        <f t="shared" si="8"/>
        <v>0</v>
      </c>
      <c r="H95" s="111">
        <f>IFERROR(VLOOKUP($B95,MMWR_TRAD_AGG_STATE_PEN[],H$1,0),"ERROR")</f>
        <v>29</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48</v>
      </c>
      <c r="R95" s="115">
        <f>IFERROR(VLOOKUP($B95,MMWR_TRAD_AGG_STATE_PEN[],R$1,0),"ERROR")</f>
        <v>8</v>
      </c>
      <c r="S95" s="115">
        <f>IFERROR(VLOOKUP($B95,MMWR_APP_STATE_PEN[],S$1,0),"ERROR")</f>
        <v>2</v>
      </c>
      <c r="T95" s="28"/>
    </row>
    <row r="96" spans="1:20" s="123" customFormat="1" x14ac:dyDescent="0.2">
      <c r="A96" s="28"/>
      <c r="B96" s="127" t="s">
        <v>398</v>
      </c>
      <c r="C96" s="109">
        <f>IFERROR(VLOOKUP($B96,MMWR_TRAD_AGG_STATE_PEN[],C$1,0),"ERROR")</f>
        <v>415</v>
      </c>
      <c r="D96" s="110">
        <f>IFERROR(VLOOKUP($B96,MMWR_TRAD_AGG_STATE_PEN[],D$1,0),"ERROR")</f>
        <v>69.775903614499995</v>
      </c>
      <c r="E96" s="111">
        <f>IFERROR(VLOOKUP($B96,MMWR_TRAD_AGG_STATE_PEN[],E$1,0),"ERROR")</f>
        <v>1115</v>
      </c>
      <c r="F96" s="112">
        <f>IFERROR(VLOOKUP($B96,MMWR_TRAD_AGG_STATE_PEN[],F$1,0),"ERROR")</f>
        <v>69</v>
      </c>
      <c r="G96" s="113">
        <f t="shared" si="8"/>
        <v>6.1883408071748879E-2</v>
      </c>
      <c r="H96" s="111">
        <f>IFERROR(VLOOKUP($B96,MMWR_TRAD_AGG_STATE_PEN[],H$1,0),"ERROR")</f>
        <v>787</v>
      </c>
      <c r="I96" s="112">
        <f>IFERROR(VLOOKUP($B96,MMWR_TRAD_AGG_STATE_PEN[],I$1,0),"ERROR")</f>
        <v>94</v>
      </c>
      <c r="J96" s="114">
        <f t="shared" si="9"/>
        <v>0.11944091486658195</v>
      </c>
      <c r="K96" s="111">
        <f>IFERROR(VLOOKUP($B96,MMWR_TRAD_AGG_STATE_PEN[],K$1,0),"ERROR")</f>
        <v>18</v>
      </c>
      <c r="L96" s="112">
        <f>IFERROR(VLOOKUP($B96,MMWR_TRAD_AGG_STATE_PEN[],L$1,0),"ERROR")</f>
        <v>8</v>
      </c>
      <c r="M96" s="114">
        <f t="shared" si="10"/>
        <v>0.44444444444444442</v>
      </c>
      <c r="N96" s="111">
        <f>IFERROR(VLOOKUP($B96,MMWR_TRAD_AGG_STATE_PEN[],N$1,0),"ERROR")</f>
        <v>47</v>
      </c>
      <c r="O96" s="112">
        <f>IFERROR(VLOOKUP($B96,MMWR_TRAD_AGG_STATE_PEN[],O$1,0),"ERROR")</f>
        <v>12</v>
      </c>
      <c r="P96" s="114">
        <f t="shared" si="11"/>
        <v>0.25531914893617019</v>
      </c>
      <c r="Q96" s="115">
        <f>IFERROR(VLOOKUP($B96,MMWR_TRAD_AGG_STATE_PEN[],Q$1,0),"ERROR")</f>
        <v>499</v>
      </c>
      <c r="R96" s="115">
        <f>IFERROR(VLOOKUP($B96,MMWR_TRAD_AGG_STATE_PEN[],R$1,0),"ERROR")</f>
        <v>74</v>
      </c>
      <c r="S96" s="115">
        <f>IFERROR(VLOOKUP($B96,MMWR_APP_STATE_PEN[],S$1,0),"ERROR")</f>
        <v>206</v>
      </c>
      <c r="T96" s="28"/>
    </row>
    <row r="97" spans="1:20" s="123" customFormat="1" x14ac:dyDescent="0.2">
      <c r="A97" s="28"/>
      <c r="B97" s="127" t="s">
        <v>427</v>
      </c>
      <c r="C97" s="109">
        <f>IFERROR(VLOOKUP($B97,MMWR_TRAD_AGG_STATE_PEN[],C$1,0),"ERROR")</f>
        <v>12</v>
      </c>
      <c r="D97" s="110">
        <f>IFERROR(VLOOKUP($B97,MMWR_TRAD_AGG_STATE_PEN[],D$1,0),"ERROR")</f>
        <v>33.083333333299997</v>
      </c>
      <c r="E97" s="111">
        <f>IFERROR(VLOOKUP($B97,MMWR_TRAD_AGG_STATE_PEN[],E$1,0),"ERROR")</f>
        <v>53</v>
      </c>
      <c r="F97" s="112">
        <f>IFERROR(VLOOKUP($B97,MMWR_TRAD_AGG_STATE_PEN[],F$1,0),"ERROR")</f>
        <v>5</v>
      </c>
      <c r="G97" s="113">
        <f t="shared" si="8"/>
        <v>9.4339622641509441E-2</v>
      </c>
      <c r="H97" s="111">
        <f>IFERROR(VLOOKUP($B97,MMWR_TRAD_AGG_STATE_PEN[],H$1,0),"ERROR")</f>
        <v>27</v>
      </c>
      <c r="I97" s="112">
        <f>IFERROR(VLOOKUP($B97,MMWR_TRAD_AGG_STATE_PEN[],I$1,0),"ERROR")</f>
        <v>1</v>
      </c>
      <c r="J97" s="114">
        <f t="shared" si="9"/>
        <v>3.7037037037037035E-2</v>
      </c>
      <c r="K97" s="111">
        <f>IFERROR(VLOOKUP($B97,MMWR_TRAD_AGG_STATE_PEN[],K$1,0),"ERROR")</f>
        <v>0</v>
      </c>
      <c r="L97" s="112">
        <f>IFERROR(VLOOKUP($B97,MMWR_TRAD_AGG_STATE_PEN[],L$1,0),"ERROR")</f>
        <v>0</v>
      </c>
      <c r="M97" s="114" t="str">
        <f t="shared" si="10"/>
        <v>0%</v>
      </c>
      <c r="N97" s="111">
        <f>IFERROR(VLOOKUP($B97,MMWR_TRAD_AGG_STATE_PEN[],N$1,0),"ERROR")</f>
        <v>0</v>
      </c>
      <c r="O97" s="112">
        <f>IFERROR(VLOOKUP($B97,MMWR_TRAD_AGG_STATE_PEN[],O$1,0),"ERROR")</f>
        <v>0</v>
      </c>
      <c r="P97" s="114" t="str">
        <f t="shared" si="11"/>
        <v>0%</v>
      </c>
      <c r="Q97" s="115">
        <f>IFERROR(VLOOKUP($B97,MMWR_TRAD_AGG_STATE_PEN[],Q$1,0),"ERROR")</f>
        <v>85</v>
      </c>
      <c r="R97" s="115">
        <f>IFERROR(VLOOKUP($B97,MMWR_TRAD_AGG_STATE_PEN[],R$1,0),"ERROR")</f>
        <v>7</v>
      </c>
      <c r="S97" s="115">
        <f>IFERROR(VLOOKUP($B97,MMWR_APP_STATE_PEN[],S$1,0),"ERROR")</f>
        <v>6</v>
      </c>
      <c r="T97" s="28"/>
    </row>
    <row r="98" spans="1:20" s="123" customFormat="1" x14ac:dyDescent="0.2">
      <c r="A98" s="28"/>
      <c r="B98" s="127" t="s">
        <v>403</v>
      </c>
      <c r="C98" s="109">
        <f>IFERROR(VLOOKUP($B98,MMWR_TRAD_AGG_STATE_PEN[],C$1,0),"ERROR")</f>
        <v>184</v>
      </c>
      <c r="D98" s="110">
        <f>IFERROR(VLOOKUP($B98,MMWR_TRAD_AGG_STATE_PEN[],D$1,0),"ERROR")</f>
        <v>51.2282608696</v>
      </c>
      <c r="E98" s="111">
        <f>IFERROR(VLOOKUP($B98,MMWR_TRAD_AGG_STATE_PEN[],E$1,0),"ERROR")</f>
        <v>365</v>
      </c>
      <c r="F98" s="112">
        <f>IFERROR(VLOOKUP($B98,MMWR_TRAD_AGG_STATE_PEN[],F$1,0),"ERROR")</f>
        <v>11</v>
      </c>
      <c r="G98" s="113">
        <f t="shared" si="8"/>
        <v>3.0136986301369864E-2</v>
      </c>
      <c r="H98" s="111">
        <f>IFERROR(VLOOKUP($B98,MMWR_TRAD_AGG_STATE_PEN[],H$1,0),"ERROR")</f>
        <v>345</v>
      </c>
      <c r="I98" s="112">
        <f>IFERROR(VLOOKUP($B98,MMWR_TRAD_AGG_STATE_PEN[],I$1,0),"ERROR")</f>
        <v>17</v>
      </c>
      <c r="J98" s="114">
        <f t="shared" si="9"/>
        <v>4.9275362318840582E-2</v>
      </c>
      <c r="K98" s="111">
        <f>IFERROR(VLOOKUP($B98,MMWR_TRAD_AGG_STATE_PEN[],K$1,0),"ERROR")</f>
        <v>0</v>
      </c>
      <c r="L98" s="112">
        <f>IFERROR(VLOOKUP($B98,MMWR_TRAD_AGG_STATE_PEN[],L$1,0),"ERROR")</f>
        <v>0</v>
      </c>
      <c r="M98" s="114" t="str">
        <f t="shared" si="10"/>
        <v>0%</v>
      </c>
      <c r="N98" s="111">
        <f>IFERROR(VLOOKUP($B98,MMWR_TRAD_AGG_STATE_PEN[],N$1,0),"ERROR")</f>
        <v>18</v>
      </c>
      <c r="O98" s="112">
        <f>IFERROR(VLOOKUP($B98,MMWR_TRAD_AGG_STATE_PEN[],O$1,0),"ERROR")</f>
        <v>3</v>
      </c>
      <c r="P98" s="114">
        <f t="shared" si="11"/>
        <v>0.16666666666666666</v>
      </c>
      <c r="Q98" s="115">
        <f>IFERROR(VLOOKUP($B98,MMWR_TRAD_AGG_STATE_PEN[],Q$1,0),"ERROR")</f>
        <v>254</v>
      </c>
      <c r="R98" s="115">
        <f>IFERROR(VLOOKUP($B98,MMWR_TRAD_AGG_STATE_PEN[],R$1,0),"ERROR")</f>
        <v>27</v>
      </c>
      <c r="S98" s="115">
        <f>IFERROR(VLOOKUP($B98,MMWR_APP_STATE_PEN[],S$1,0),"ERROR")</f>
        <v>89</v>
      </c>
      <c r="T98" s="28"/>
    </row>
    <row r="99" spans="1:20" s="123" customFormat="1" x14ac:dyDescent="0.2">
      <c r="A99" s="28"/>
      <c r="B99" s="126" t="s">
        <v>392</v>
      </c>
      <c r="C99" s="102">
        <f>IFERROR(VLOOKUP($B99,MMWR_TRAD_AGG_ST_DISTRICT_PEN[],C$1,0),"ERROR")</f>
        <v>1201</v>
      </c>
      <c r="D99" s="103">
        <f>IFERROR(VLOOKUP($B99,MMWR_TRAD_AGG_ST_DISTRICT_PEN[],D$1,0),"ERROR")</f>
        <v>53.833472106599999</v>
      </c>
      <c r="E99" s="102">
        <f>IFERROR(VLOOKUP($B99,MMWR_TRAD_AGG_ST_DISTRICT_PEN[],E$1,0),"ERROR")</f>
        <v>2983</v>
      </c>
      <c r="F99" s="102">
        <f>IFERROR(VLOOKUP($B99,MMWR_TRAD_AGG_ST_DISTRICT_PEN[],F$1,0),"ERROR")</f>
        <v>86</v>
      </c>
      <c r="G99" s="104">
        <f t="shared" si="8"/>
        <v>2.8830036875628563E-2</v>
      </c>
      <c r="H99" s="102">
        <f>IFERROR(VLOOKUP($B99,MMWR_TRAD_AGG_ST_DISTRICT_PEN[],H$1,0),"ERROR")</f>
        <v>2294</v>
      </c>
      <c r="I99" s="102">
        <f>IFERROR(VLOOKUP($B99,MMWR_TRAD_AGG_ST_DISTRICT_PEN[],I$1,0),"ERROR")</f>
        <v>196</v>
      </c>
      <c r="J99" s="104">
        <f t="shared" si="9"/>
        <v>8.5440278988666088E-2</v>
      </c>
      <c r="K99" s="102">
        <f>IFERROR(VLOOKUP($B99,MMWR_TRAD_AGG_ST_DISTRICT_PEN[],K$1,0),"ERROR")</f>
        <v>25</v>
      </c>
      <c r="L99" s="102">
        <f>IFERROR(VLOOKUP($B99,MMWR_TRAD_AGG_ST_DISTRICT_PEN[],L$1,0),"ERROR")</f>
        <v>23</v>
      </c>
      <c r="M99" s="104">
        <f t="shared" si="10"/>
        <v>0.92</v>
      </c>
      <c r="N99" s="102">
        <f>IFERROR(VLOOKUP($B99,MMWR_TRAD_AGG_ST_DISTRICT_PEN[],N$1,0),"ERROR")</f>
        <v>122</v>
      </c>
      <c r="O99" s="102">
        <f>IFERROR(VLOOKUP($B99,MMWR_TRAD_AGG_ST_DISTRICT_PEN[],O$1,0),"ERROR")</f>
        <v>57</v>
      </c>
      <c r="P99" s="104">
        <f t="shared" si="11"/>
        <v>0.46721311475409838</v>
      </c>
      <c r="Q99" s="102">
        <f>IFERROR(VLOOKUP($B99,MMWR_TRAD_AGG_ST_DISTRICT_PEN[],Q$1,0),"ERROR")</f>
        <v>2374</v>
      </c>
      <c r="R99" s="106">
        <f>IFERROR(VLOOKUP($B99,MMWR_TRAD_AGG_ST_DISTRICT_PEN[],R$1,0),"ERROR")</f>
        <v>440</v>
      </c>
      <c r="S99" s="106">
        <f>IFERROR(VLOOKUP($B99,MMWR_APP_STATE_PEN[],S$1,0),"ERROR")</f>
        <v>732</v>
      </c>
      <c r="T99" s="28"/>
    </row>
    <row r="100" spans="1:20" s="123" customFormat="1" x14ac:dyDescent="0.2">
      <c r="A100" s="28"/>
      <c r="B100" s="127" t="s">
        <v>418</v>
      </c>
      <c r="C100" s="109">
        <f>IFERROR(VLOOKUP($B100,MMWR_TRAD_AGG_STATE_PEN[],C$1,0),"ERROR")</f>
        <v>150</v>
      </c>
      <c r="D100" s="110">
        <f>IFERROR(VLOOKUP($B100,MMWR_TRAD_AGG_STATE_PEN[],D$1,0),"ERROR")</f>
        <v>79.226666666699998</v>
      </c>
      <c r="E100" s="111">
        <f>IFERROR(VLOOKUP($B100,MMWR_TRAD_AGG_STATE_PEN[],E$1,0),"ERROR")</f>
        <v>212</v>
      </c>
      <c r="F100" s="112">
        <f>IFERROR(VLOOKUP($B100,MMWR_TRAD_AGG_STATE_PEN[],F$1,0),"ERROR")</f>
        <v>9</v>
      </c>
      <c r="G100" s="113">
        <f t="shared" si="8"/>
        <v>4.2452830188679243E-2</v>
      </c>
      <c r="H100" s="111">
        <f>IFERROR(VLOOKUP($B100,MMWR_TRAD_AGG_STATE_PEN[],H$1,0),"ERROR")</f>
        <v>254</v>
      </c>
      <c r="I100" s="112">
        <f>IFERROR(VLOOKUP($B100,MMWR_TRAD_AGG_STATE_PEN[],I$1,0),"ERROR")</f>
        <v>31</v>
      </c>
      <c r="J100" s="114">
        <f t="shared" si="9"/>
        <v>0.12204724409448819</v>
      </c>
      <c r="K100" s="111">
        <f>IFERROR(VLOOKUP($B100,MMWR_TRAD_AGG_STATE_PEN[],K$1,0),"ERROR")</f>
        <v>4</v>
      </c>
      <c r="L100" s="112">
        <f>IFERROR(VLOOKUP($B100,MMWR_TRAD_AGG_STATE_PEN[],L$1,0),"ERROR")</f>
        <v>4</v>
      </c>
      <c r="M100" s="114">
        <f t="shared" si="10"/>
        <v>1</v>
      </c>
      <c r="N100" s="111">
        <f>IFERROR(VLOOKUP($B100,MMWR_TRAD_AGG_STATE_PEN[],N$1,0),"ERROR")</f>
        <v>14</v>
      </c>
      <c r="O100" s="112">
        <f>IFERROR(VLOOKUP($B100,MMWR_TRAD_AGG_STATE_PEN[],O$1,0),"ERROR")</f>
        <v>4</v>
      </c>
      <c r="P100" s="114">
        <f t="shared" si="11"/>
        <v>0.2857142857142857</v>
      </c>
      <c r="Q100" s="115">
        <f>IFERROR(VLOOKUP($B100,MMWR_TRAD_AGG_STATE_PEN[],Q$1,0),"ERROR")</f>
        <v>222</v>
      </c>
      <c r="R100" s="115">
        <f>IFERROR(VLOOKUP($B100,MMWR_TRAD_AGG_STATE_PEN[],R$1,0),"ERROR")</f>
        <v>23</v>
      </c>
      <c r="S100" s="115">
        <f>IFERROR(VLOOKUP($B100,MMWR_APP_STATE_PEN[],S$1,0),"ERROR")</f>
        <v>119</v>
      </c>
      <c r="T100" s="28"/>
    </row>
    <row r="101" spans="1:20" s="123" customFormat="1" x14ac:dyDescent="0.2">
      <c r="A101" s="28"/>
      <c r="B101" s="127" t="s">
        <v>410</v>
      </c>
      <c r="C101" s="109">
        <f>IFERROR(VLOOKUP($B101,MMWR_TRAD_AGG_STATE_PEN[],C$1,0),"ERROR")</f>
        <v>66</v>
      </c>
      <c r="D101" s="110">
        <f>IFERROR(VLOOKUP($B101,MMWR_TRAD_AGG_STATE_PEN[],D$1,0),"ERROR")</f>
        <v>41.015151515200003</v>
      </c>
      <c r="E101" s="111">
        <f>IFERROR(VLOOKUP($B101,MMWR_TRAD_AGG_STATE_PEN[],E$1,0),"ERROR")</f>
        <v>215</v>
      </c>
      <c r="F101" s="112">
        <f>IFERROR(VLOOKUP($B101,MMWR_TRAD_AGG_STATE_PEN[],F$1,0),"ERROR")</f>
        <v>5</v>
      </c>
      <c r="G101" s="113">
        <f t="shared" ref="G101:G127" si="12">IFERROR(F101/E101,"0%")</f>
        <v>2.3255813953488372E-2</v>
      </c>
      <c r="H101" s="111">
        <f>IFERROR(VLOOKUP($B101,MMWR_TRAD_AGG_STATE_PEN[],H$1,0),"ERROR")</f>
        <v>146</v>
      </c>
      <c r="I101" s="112">
        <f>IFERROR(VLOOKUP($B101,MMWR_TRAD_AGG_STATE_PEN[],I$1,0),"ERROR")</f>
        <v>8</v>
      </c>
      <c r="J101" s="114">
        <f t="shared" ref="J101:J127" si="13">IFERROR(I101/H101,"0%")</f>
        <v>5.4794520547945202E-2</v>
      </c>
      <c r="K101" s="111">
        <f>IFERROR(VLOOKUP($B101,MMWR_TRAD_AGG_STATE_PEN[],K$1,0),"ERROR")</f>
        <v>3</v>
      </c>
      <c r="L101" s="112">
        <f>IFERROR(VLOOKUP($B101,MMWR_TRAD_AGG_STATE_PEN[],L$1,0),"ERROR")</f>
        <v>3</v>
      </c>
      <c r="M101" s="114">
        <f t="shared" ref="M101:M127" si="14">IFERROR(L101/K101,"0%")</f>
        <v>1</v>
      </c>
      <c r="N101" s="111">
        <f>IFERROR(VLOOKUP($B101,MMWR_TRAD_AGG_STATE_PEN[],N$1,0),"ERROR")</f>
        <v>13</v>
      </c>
      <c r="O101" s="112">
        <f>IFERROR(VLOOKUP($B101,MMWR_TRAD_AGG_STATE_PEN[],O$1,0),"ERROR")</f>
        <v>9</v>
      </c>
      <c r="P101" s="114">
        <f t="shared" ref="P101:P127" si="15">IFERROR(O101/N101,"0%")</f>
        <v>0.69230769230769229</v>
      </c>
      <c r="Q101" s="115">
        <f>IFERROR(VLOOKUP($B101,MMWR_TRAD_AGG_STATE_PEN[],Q$1,0),"ERROR")</f>
        <v>214</v>
      </c>
      <c r="R101" s="115">
        <f>IFERROR(VLOOKUP($B101,MMWR_TRAD_AGG_STATE_PEN[],R$1,0),"ERROR")</f>
        <v>33</v>
      </c>
      <c r="S101" s="115">
        <f>IFERROR(VLOOKUP($B101,MMWR_APP_STATE_PEN[],S$1,0),"ERROR")</f>
        <v>37</v>
      </c>
      <c r="T101" s="28"/>
    </row>
    <row r="102" spans="1:20" s="123" customFormat="1" x14ac:dyDescent="0.2">
      <c r="A102" s="28"/>
      <c r="B102" s="127" t="s">
        <v>394</v>
      </c>
      <c r="C102" s="109">
        <f>IFERROR(VLOOKUP($B102,MMWR_TRAD_AGG_STATE_PEN[],C$1,0),"ERROR")</f>
        <v>257</v>
      </c>
      <c r="D102" s="110">
        <f>IFERROR(VLOOKUP($B102,MMWR_TRAD_AGG_STATE_PEN[],D$1,0),"ERROR")</f>
        <v>53.980544747099998</v>
      </c>
      <c r="E102" s="111">
        <f>IFERROR(VLOOKUP($B102,MMWR_TRAD_AGG_STATE_PEN[],E$1,0),"ERROR")</f>
        <v>391</v>
      </c>
      <c r="F102" s="112">
        <f>IFERROR(VLOOKUP($B102,MMWR_TRAD_AGG_STATE_PEN[],F$1,0),"ERROR")</f>
        <v>21</v>
      </c>
      <c r="G102" s="113">
        <f t="shared" si="12"/>
        <v>5.3708439897698211E-2</v>
      </c>
      <c r="H102" s="111">
        <f>IFERROR(VLOOKUP($B102,MMWR_TRAD_AGG_STATE_PEN[],H$1,0),"ERROR")</f>
        <v>432</v>
      </c>
      <c r="I102" s="112">
        <f>IFERROR(VLOOKUP($B102,MMWR_TRAD_AGG_STATE_PEN[],I$1,0),"ERROR")</f>
        <v>33</v>
      </c>
      <c r="J102" s="114">
        <f t="shared" si="13"/>
        <v>7.6388888888888895E-2</v>
      </c>
      <c r="K102" s="111">
        <f>IFERROR(VLOOKUP($B102,MMWR_TRAD_AGG_STATE_PEN[],K$1,0),"ERROR")</f>
        <v>3</v>
      </c>
      <c r="L102" s="112">
        <f>IFERROR(VLOOKUP($B102,MMWR_TRAD_AGG_STATE_PEN[],L$1,0),"ERROR")</f>
        <v>3</v>
      </c>
      <c r="M102" s="114">
        <f t="shared" si="14"/>
        <v>1</v>
      </c>
      <c r="N102" s="111">
        <f>IFERROR(VLOOKUP($B102,MMWR_TRAD_AGG_STATE_PEN[],N$1,0),"ERROR")</f>
        <v>14</v>
      </c>
      <c r="O102" s="112">
        <f>IFERROR(VLOOKUP($B102,MMWR_TRAD_AGG_STATE_PEN[],O$1,0),"ERROR")</f>
        <v>1</v>
      </c>
      <c r="P102" s="114">
        <f t="shared" si="15"/>
        <v>7.1428571428571425E-2</v>
      </c>
      <c r="Q102" s="115">
        <f>IFERROR(VLOOKUP($B102,MMWR_TRAD_AGG_STATE_PEN[],Q$1,0),"ERROR")</f>
        <v>206</v>
      </c>
      <c r="R102" s="115">
        <f>IFERROR(VLOOKUP($B102,MMWR_TRAD_AGG_STATE_PEN[],R$1,0),"ERROR")</f>
        <v>32</v>
      </c>
      <c r="S102" s="115">
        <f>IFERROR(VLOOKUP($B102,MMWR_APP_STATE_PEN[],S$1,0),"ERROR")</f>
        <v>136</v>
      </c>
      <c r="T102" s="28"/>
    </row>
    <row r="103" spans="1:20" s="123" customFormat="1" x14ac:dyDescent="0.2">
      <c r="A103" s="28"/>
      <c r="B103" s="127" t="s">
        <v>396</v>
      </c>
      <c r="C103" s="109">
        <f>IFERROR(VLOOKUP($B103,MMWR_TRAD_AGG_STATE_PEN[],C$1,0),"ERROR")</f>
        <v>161</v>
      </c>
      <c r="D103" s="110">
        <f>IFERROR(VLOOKUP($B103,MMWR_TRAD_AGG_STATE_PEN[],D$1,0),"ERROR")</f>
        <v>79.534161490700001</v>
      </c>
      <c r="E103" s="111">
        <f>IFERROR(VLOOKUP($B103,MMWR_TRAD_AGG_STATE_PEN[],E$1,0),"ERROR")</f>
        <v>250</v>
      </c>
      <c r="F103" s="112">
        <f>IFERROR(VLOOKUP($B103,MMWR_TRAD_AGG_STATE_PEN[],F$1,0),"ERROR")</f>
        <v>10</v>
      </c>
      <c r="G103" s="113">
        <f t="shared" si="12"/>
        <v>0.04</v>
      </c>
      <c r="H103" s="111">
        <f>IFERROR(VLOOKUP($B103,MMWR_TRAD_AGG_STATE_PEN[],H$1,0),"ERROR")</f>
        <v>275</v>
      </c>
      <c r="I103" s="112">
        <f>IFERROR(VLOOKUP($B103,MMWR_TRAD_AGG_STATE_PEN[],I$1,0),"ERROR")</f>
        <v>39</v>
      </c>
      <c r="J103" s="114">
        <f t="shared" si="13"/>
        <v>0.14181818181818182</v>
      </c>
      <c r="K103" s="111">
        <f>IFERROR(VLOOKUP($B103,MMWR_TRAD_AGG_STATE_PEN[],K$1,0),"ERROR")</f>
        <v>4</v>
      </c>
      <c r="L103" s="112">
        <f>IFERROR(VLOOKUP($B103,MMWR_TRAD_AGG_STATE_PEN[],L$1,0),"ERROR")</f>
        <v>4</v>
      </c>
      <c r="M103" s="114">
        <f t="shared" si="14"/>
        <v>1</v>
      </c>
      <c r="N103" s="111">
        <f>IFERROR(VLOOKUP($B103,MMWR_TRAD_AGG_STATE_PEN[],N$1,0),"ERROR")</f>
        <v>16</v>
      </c>
      <c r="O103" s="112">
        <f>IFERROR(VLOOKUP($B103,MMWR_TRAD_AGG_STATE_PEN[],O$1,0),"ERROR")</f>
        <v>3</v>
      </c>
      <c r="P103" s="114">
        <f t="shared" si="15"/>
        <v>0.1875</v>
      </c>
      <c r="Q103" s="115">
        <f>IFERROR(VLOOKUP($B103,MMWR_TRAD_AGG_STATE_PEN[],Q$1,0),"ERROR")</f>
        <v>289</v>
      </c>
      <c r="R103" s="115">
        <f>IFERROR(VLOOKUP($B103,MMWR_TRAD_AGG_STATE_PEN[],R$1,0),"ERROR")</f>
        <v>27</v>
      </c>
      <c r="S103" s="115">
        <f>IFERROR(VLOOKUP($B103,MMWR_APP_STATE_PEN[],S$1,0),"ERROR")</f>
        <v>112</v>
      </c>
      <c r="T103" s="28"/>
    </row>
    <row r="104" spans="1:20" s="123" customFormat="1" x14ac:dyDescent="0.2">
      <c r="A104" s="28"/>
      <c r="B104" s="127" t="s">
        <v>425</v>
      </c>
      <c r="C104" s="109">
        <f>IFERROR(VLOOKUP($B104,MMWR_TRAD_AGG_STATE_PEN[],C$1,0),"ERROR")</f>
        <v>14</v>
      </c>
      <c r="D104" s="110">
        <f>IFERROR(VLOOKUP($B104,MMWR_TRAD_AGG_STATE_PEN[],D$1,0),"ERROR")</f>
        <v>118.92857142859999</v>
      </c>
      <c r="E104" s="111">
        <f>IFERROR(VLOOKUP($B104,MMWR_TRAD_AGG_STATE_PEN[],E$1,0),"ERROR")</f>
        <v>81</v>
      </c>
      <c r="F104" s="112">
        <f>IFERROR(VLOOKUP($B104,MMWR_TRAD_AGG_STATE_PEN[],F$1,0),"ERROR")</f>
        <v>0</v>
      </c>
      <c r="G104" s="113">
        <f t="shared" si="12"/>
        <v>0</v>
      </c>
      <c r="H104" s="111">
        <f>IFERROR(VLOOKUP($B104,MMWR_TRAD_AGG_STATE_PEN[],H$1,0),"ERROR")</f>
        <v>33</v>
      </c>
      <c r="I104" s="112">
        <f>IFERROR(VLOOKUP($B104,MMWR_TRAD_AGG_STATE_PEN[],I$1,0),"ERROR")</f>
        <v>3</v>
      </c>
      <c r="J104" s="114">
        <f t="shared" si="13"/>
        <v>9.0909090909090912E-2</v>
      </c>
      <c r="K104" s="111">
        <f>IFERROR(VLOOKUP($B104,MMWR_TRAD_AGG_STATE_PEN[],K$1,0),"ERROR")</f>
        <v>0</v>
      </c>
      <c r="L104" s="112">
        <f>IFERROR(VLOOKUP($B104,MMWR_TRAD_AGG_STATE_PEN[],L$1,0),"ERROR")</f>
        <v>0</v>
      </c>
      <c r="M104" s="114" t="str">
        <f t="shared" si="14"/>
        <v>0%</v>
      </c>
      <c r="N104" s="111">
        <f>IFERROR(VLOOKUP($B104,MMWR_TRAD_AGG_STATE_PEN[],N$1,0),"ERROR")</f>
        <v>3</v>
      </c>
      <c r="O104" s="112">
        <f>IFERROR(VLOOKUP($B104,MMWR_TRAD_AGG_STATE_PEN[],O$1,0),"ERROR")</f>
        <v>1</v>
      </c>
      <c r="P104" s="114">
        <f t="shared" si="15"/>
        <v>0.33333333333333331</v>
      </c>
      <c r="Q104" s="115">
        <f>IFERROR(VLOOKUP($B104,MMWR_TRAD_AGG_STATE_PEN[],Q$1,0),"ERROR")</f>
        <v>57</v>
      </c>
      <c r="R104" s="115">
        <f>IFERROR(VLOOKUP($B104,MMWR_TRAD_AGG_STATE_PEN[],R$1,0),"ERROR")</f>
        <v>12</v>
      </c>
      <c r="S104" s="115">
        <f>IFERROR(VLOOKUP($B104,MMWR_APP_STATE_PEN[],S$1,0),"ERROR")</f>
        <v>6</v>
      </c>
      <c r="T104" s="28"/>
    </row>
    <row r="105" spans="1:20" s="123" customFormat="1" x14ac:dyDescent="0.2">
      <c r="A105" s="28"/>
      <c r="B105" s="127" t="s">
        <v>419</v>
      </c>
      <c r="C105" s="109">
        <f>IFERROR(VLOOKUP($B105,MMWR_TRAD_AGG_STATE_PEN[],C$1,0),"ERROR")</f>
        <v>89</v>
      </c>
      <c r="D105" s="110">
        <f>IFERROR(VLOOKUP($B105,MMWR_TRAD_AGG_STATE_PEN[],D$1,0),"ERROR")</f>
        <v>32.011235955099998</v>
      </c>
      <c r="E105" s="111">
        <f>IFERROR(VLOOKUP($B105,MMWR_TRAD_AGG_STATE_PEN[],E$1,0),"ERROR")</f>
        <v>257</v>
      </c>
      <c r="F105" s="112">
        <f>IFERROR(VLOOKUP($B105,MMWR_TRAD_AGG_STATE_PEN[],F$1,0),"ERROR")</f>
        <v>2</v>
      </c>
      <c r="G105" s="113">
        <f t="shared" si="12"/>
        <v>7.7821011673151752E-3</v>
      </c>
      <c r="H105" s="111">
        <f>IFERROR(VLOOKUP($B105,MMWR_TRAD_AGG_STATE_PEN[],H$1,0),"ERROR")</f>
        <v>162</v>
      </c>
      <c r="I105" s="112">
        <f>IFERROR(VLOOKUP($B105,MMWR_TRAD_AGG_STATE_PEN[],I$1,0),"ERROR")</f>
        <v>5</v>
      </c>
      <c r="J105" s="114">
        <f t="shared" si="13"/>
        <v>3.0864197530864196E-2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7</v>
      </c>
      <c r="P105" s="114">
        <f t="shared" si="15"/>
        <v>0.58333333333333337</v>
      </c>
      <c r="Q105" s="115">
        <f>IFERROR(VLOOKUP($B105,MMWR_TRAD_AGG_STATE_PEN[],Q$1,0),"ERROR")</f>
        <v>369</v>
      </c>
      <c r="R105" s="115">
        <f>IFERROR(VLOOKUP($B105,MMWR_TRAD_AGG_STATE_PEN[],R$1,0),"ERROR")</f>
        <v>59</v>
      </c>
      <c r="S105" s="115">
        <f>IFERROR(VLOOKUP($B105,MMWR_APP_STATE_PEN[],S$1,0),"ERROR")</f>
        <v>81</v>
      </c>
      <c r="T105" s="28"/>
    </row>
    <row r="106" spans="1:20" s="123" customFormat="1" x14ac:dyDescent="0.2">
      <c r="A106" s="28"/>
      <c r="B106" s="127" t="s">
        <v>417</v>
      </c>
      <c r="C106" s="109">
        <f>IFERROR(VLOOKUP($B106,MMWR_TRAD_AGG_STATE_PEN[],C$1,0),"ERROR")</f>
        <v>425</v>
      </c>
      <c r="D106" s="110">
        <f>IFERROR(VLOOKUP($B106,MMWR_TRAD_AGG_STATE_PEN[],D$1,0),"ERROR")</f>
        <v>38.774117647099999</v>
      </c>
      <c r="E106" s="111">
        <f>IFERROR(VLOOKUP($B106,MMWR_TRAD_AGG_STATE_PEN[],E$1,0),"ERROR")</f>
        <v>1384</v>
      </c>
      <c r="F106" s="112">
        <f>IFERROR(VLOOKUP($B106,MMWR_TRAD_AGG_STATE_PEN[],F$1,0),"ERROR")</f>
        <v>36</v>
      </c>
      <c r="G106" s="113">
        <f t="shared" si="12"/>
        <v>2.6011560693641619E-2</v>
      </c>
      <c r="H106" s="111">
        <f>IFERROR(VLOOKUP($B106,MMWR_TRAD_AGG_STATE_PEN[],H$1,0),"ERROR")</f>
        <v>911</v>
      </c>
      <c r="I106" s="112">
        <f>IFERROR(VLOOKUP($B106,MMWR_TRAD_AGG_STATE_PEN[],I$1,0),"ERROR")</f>
        <v>71</v>
      </c>
      <c r="J106" s="114">
        <f t="shared" si="13"/>
        <v>7.7936333699231614E-2</v>
      </c>
      <c r="K106" s="111">
        <f>IFERROR(VLOOKUP($B106,MMWR_TRAD_AGG_STATE_PEN[],K$1,0),"ERROR")</f>
        <v>9</v>
      </c>
      <c r="L106" s="112">
        <f>IFERROR(VLOOKUP($B106,MMWR_TRAD_AGG_STATE_PEN[],L$1,0),"ERROR")</f>
        <v>7</v>
      </c>
      <c r="M106" s="114">
        <f t="shared" si="14"/>
        <v>0.77777777777777779</v>
      </c>
      <c r="N106" s="111">
        <f>IFERROR(VLOOKUP($B106,MMWR_TRAD_AGG_STATE_PEN[],N$1,0),"ERROR")</f>
        <v>46</v>
      </c>
      <c r="O106" s="112">
        <f>IFERROR(VLOOKUP($B106,MMWR_TRAD_AGG_STATE_PEN[],O$1,0),"ERROR")</f>
        <v>30</v>
      </c>
      <c r="P106" s="114">
        <f t="shared" si="15"/>
        <v>0.65217391304347827</v>
      </c>
      <c r="Q106" s="115">
        <f>IFERROR(VLOOKUP($B106,MMWR_TRAD_AGG_STATE_PEN[],Q$1,0),"ERROR")</f>
        <v>894</v>
      </c>
      <c r="R106" s="115">
        <f>IFERROR(VLOOKUP($B106,MMWR_TRAD_AGG_STATE_PEN[],R$1,0),"ERROR")</f>
        <v>230</v>
      </c>
      <c r="S106" s="115">
        <f>IFERROR(VLOOKUP($B106,MMWR_APP_STATE_PEN[],S$1,0),"ERROR")</f>
        <v>227</v>
      </c>
      <c r="T106" s="28"/>
    </row>
    <row r="107" spans="1:20" s="123" customFormat="1" x14ac:dyDescent="0.2">
      <c r="A107" s="28"/>
      <c r="B107" s="127" t="s">
        <v>413</v>
      </c>
      <c r="C107" s="109">
        <f>IFERROR(VLOOKUP($B107,MMWR_TRAD_AGG_STATE_PEN[],C$1,0),"ERROR")</f>
        <v>30</v>
      </c>
      <c r="D107" s="110">
        <f>IFERROR(VLOOKUP($B107,MMWR_TRAD_AGG_STATE_PEN[],D$1,0),"ERROR")</f>
        <v>69.366666666699999</v>
      </c>
      <c r="E107" s="111">
        <f>IFERROR(VLOOKUP($B107,MMWR_TRAD_AGG_STATE_PEN[],E$1,0),"ERROR")</f>
        <v>162</v>
      </c>
      <c r="F107" s="112">
        <f>IFERROR(VLOOKUP($B107,MMWR_TRAD_AGG_STATE_PEN[],F$1,0),"ERROR")</f>
        <v>2</v>
      </c>
      <c r="G107" s="113">
        <f t="shared" si="12"/>
        <v>1.2345679012345678E-2</v>
      </c>
      <c r="H107" s="111">
        <f>IFERROR(VLOOKUP($B107,MMWR_TRAD_AGG_STATE_PEN[],H$1,0),"ERROR")</f>
        <v>63</v>
      </c>
      <c r="I107" s="112">
        <f>IFERROR(VLOOKUP($B107,MMWR_TRAD_AGG_STATE_PEN[],I$1,0),"ERROR")</f>
        <v>4</v>
      </c>
      <c r="J107" s="114">
        <f t="shared" si="13"/>
        <v>6.3492063492063489E-2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2</v>
      </c>
      <c r="P107" s="114">
        <f t="shared" si="15"/>
        <v>0.5</v>
      </c>
      <c r="Q107" s="115">
        <f>IFERROR(VLOOKUP($B107,MMWR_TRAD_AGG_STATE_PEN[],Q$1,0),"ERROR")</f>
        <v>81</v>
      </c>
      <c r="R107" s="115">
        <f>IFERROR(VLOOKUP($B107,MMWR_TRAD_AGG_STATE_PEN[],R$1,0),"ERROR")</f>
        <v>20</v>
      </c>
      <c r="S107" s="115">
        <f>IFERROR(VLOOKUP($B107,MMWR_APP_STATE_PEN[],S$1,0),"ERROR")</f>
        <v>12</v>
      </c>
      <c r="T107" s="28"/>
    </row>
    <row r="108" spans="1:20" s="123" customFormat="1" x14ac:dyDescent="0.2">
      <c r="A108" s="28"/>
      <c r="B108" s="127" t="s">
        <v>428</v>
      </c>
      <c r="C108" s="109">
        <f>IFERROR(VLOOKUP($B108,MMWR_TRAD_AGG_STATE_PEN[],C$1,0),"ERROR")</f>
        <v>9</v>
      </c>
      <c r="D108" s="110">
        <f>IFERROR(VLOOKUP($B108,MMWR_TRAD_AGG_STATE_PEN[],D$1,0),"ERROR")</f>
        <v>34.555555555600002</v>
      </c>
      <c r="E108" s="111">
        <f>IFERROR(VLOOKUP($B108,MMWR_TRAD_AGG_STATE_PEN[],E$1,0),"ERROR")</f>
        <v>31</v>
      </c>
      <c r="F108" s="112">
        <f>IFERROR(VLOOKUP($B108,MMWR_TRAD_AGG_STATE_PEN[],F$1,0),"ERROR")</f>
        <v>1</v>
      </c>
      <c r="G108" s="113">
        <f t="shared" si="12"/>
        <v>3.2258064516129031E-2</v>
      </c>
      <c r="H108" s="111">
        <f>IFERROR(VLOOKUP($B108,MMWR_TRAD_AGG_STATE_PEN[],H$1,0),"ERROR")</f>
        <v>18</v>
      </c>
      <c r="I108" s="112">
        <f>IFERROR(VLOOKUP($B108,MMWR_TRAD_AGG_STATE_PEN[],I$1,0),"ERROR")</f>
        <v>2</v>
      </c>
      <c r="J108" s="114">
        <f t="shared" si="13"/>
        <v>0.1111111111111111</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42</v>
      </c>
      <c r="R108" s="115">
        <f>IFERROR(VLOOKUP($B108,MMWR_TRAD_AGG_STATE_PEN[],R$1,0),"ERROR")</f>
        <v>4</v>
      </c>
      <c r="S108" s="115">
        <f>IFERROR(VLOOKUP($B108,MMWR_APP_STATE_PEN[],S$1,0),"ERROR")</f>
        <v>2</v>
      </c>
      <c r="T108" s="28"/>
    </row>
    <row r="109" spans="1:20" s="123" customFormat="1" x14ac:dyDescent="0.2">
      <c r="A109" s="28"/>
      <c r="B109" s="126" t="s">
        <v>411</v>
      </c>
      <c r="C109" s="102">
        <f>IFERROR(VLOOKUP($B109,MMWR_TRAD_AGG_ST_DISTRICT_PEN[],C$1,0),"ERROR")</f>
        <v>990</v>
      </c>
      <c r="D109" s="103">
        <f>IFERROR(VLOOKUP($B109,MMWR_TRAD_AGG_ST_DISTRICT_PEN[],D$1,0),"ERROR")</f>
        <v>44.869696969700001</v>
      </c>
      <c r="E109" s="102">
        <f>IFERROR(VLOOKUP($B109,MMWR_TRAD_AGG_ST_DISTRICT_PEN[],E$1,0),"ERROR")</f>
        <v>3817</v>
      </c>
      <c r="F109" s="102">
        <f>IFERROR(VLOOKUP($B109,MMWR_TRAD_AGG_ST_DISTRICT_PEN[],F$1,0),"ERROR")</f>
        <v>119</v>
      </c>
      <c r="G109" s="104">
        <f t="shared" si="12"/>
        <v>3.117631647891014E-2</v>
      </c>
      <c r="H109" s="102">
        <f>IFERROR(VLOOKUP($B109,MMWR_TRAD_AGG_ST_DISTRICT_PEN[],H$1,0),"ERROR")</f>
        <v>1794</v>
      </c>
      <c r="I109" s="102">
        <f>IFERROR(VLOOKUP($B109,MMWR_TRAD_AGG_ST_DISTRICT_PEN[],I$1,0),"ERROR")</f>
        <v>114</v>
      </c>
      <c r="J109" s="104">
        <f t="shared" si="13"/>
        <v>6.354515050167224E-2</v>
      </c>
      <c r="K109" s="102">
        <f>IFERROR(VLOOKUP($B109,MMWR_TRAD_AGG_ST_DISTRICT_PEN[],K$1,0),"ERROR")</f>
        <v>18</v>
      </c>
      <c r="L109" s="102">
        <f>IFERROR(VLOOKUP($B109,MMWR_TRAD_AGG_ST_DISTRICT_PEN[],L$1,0),"ERROR")</f>
        <v>16</v>
      </c>
      <c r="M109" s="104">
        <f t="shared" si="14"/>
        <v>0.88888888888888884</v>
      </c>
      <c r="N109" s="102">
        <f>IFERROR(VLOOKUP($B109,MMWR_TRAD_AGG_ST_DISTRICT_PEN[],N$1,0),"ERROR")</f>
        <v>106</v>
      </c>
      <c r="O109" s="102">
        <f>IFERROR(VLOOKUP($B109,MMWR_TRAD_AGG_ST_DISTRICT_PEN[],O$1,0),"ERROR")</f>
        <v>49</v>
      </c>
      <c r="P109" s="104">
        <f t="shared" si="15"/>
        <v>0.46226415094339623</v>
      </c>
      <c r="Q109" s="102">
        <f>IFERROR(VLOOKUP($B109,MMWR_TRAD_AGG_ST_DISTRICT_PEN[],Q$1,0),"ERROR")</f>
        <v>2055</v>
      </c>
      <c r="R109" s="106">
        <f>IFERROR(VLOOKUP($B109,MMWR_TRAD_AGG_ST_DISTRICT_PEN[],R$1,0),"ERROR")</f>
        <v>462</v>
      </c>
      <c r="S109" s="106">
        <f>IFERROR(VLOOKUP($B109,MMWR_APP_STATE_PEN[],S$1,0),"ERROR")</f>
        <v>410</v>
      </c>
      <c r="T109" s="28"/>
    </row>
    <row r="110" spans="1:20" s="123" customFormat="1" x14ac:dyDescent="0.2">
      <c r="A110" s="28"/>
      <c r="B110" s="127" t="s">
        <v>431</v>
      </c>
      <c r="C110" s="109">
        <f>IFERROR(VLOOKUP($B110,MMWR_TRAD_AGG_STATE_PEN[],C$1,0),"ERROR")</f>
        <v>10</v>
      </c>
      <c r="D110" s="110">
        <f>IFERROR(VLOOKUP($B110,MMWR_TRAD_AGG_STATE_PEN[],D$1,0),"ERROR")</f>
        <v>32.299999999999997</v>
      </c>
      <c r="E110" s="111">
        <f>IFERROR(VLOOKUP($B110,MMWR_TRAD_AGG_STATE_PEN[],E$1,0),"ERROR")</f>
        <v>9</v>
      </c>
      <c r="F110" s="112">
        <f>IFERROR(VLOOKUP($B110,MMWR_TRAD_AGG_STATE_PEN[],F$1,0),"ERROR")</f>
        <v>0</v>
      </c>
      <c r="G110" s="113">
        <f t="shared" si="12"/>
        <v>0</v>
      </c>
      <c r="H110" s="111">
        <f>IFERROR(VLOOKUP($B110,MMWR_TRAD_AGG_STATE_PEN[],H$1,0),"ERROR")</f>
        <v>16</v>
      </c>
      <c r="I110" s="112">
        <f>IFERROR(VLOOKUP($B110,MMWR_TRAD_AGG_STATE_PEN[],I$1,0),"ERROR")</f>
        <v>2</v>
      </c>
      <c r="J110" s="114">
        <f t="shared" si="13"/>
        <v>0.125</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20</v>
      </c>
      <c r="R110" s="115">
        <f>IFERROR(VLOOKUP($B110,MMWR_TRAD_AGG_STATE_PEN[],R$1,0),"ERROR")</f>
        <v>3</v>
      </c>
      <c r="S110" s="115">
        <f>IFERROR(VLOOKUP($B110,MMWR_APP_STATE_PEN[],S$1,0),"ERROR")</f>
        <v>4</v>
      </c>
      <c r="T110" s="28"/>
    </row>
    <row r="111" spans="1:20" s="123" customFormat="1" x14ac:dyDescent="0.2">
      <c r="A111" s="28"/>
      <c r="B111" s="127" t="s">
        <v>433</v>
      </c>
      <c r="C111" s="109">
        <f>IFERROR(VLOOKUP($B111,MMWR_TRAD_AGG_STATE_PEN[],C$1,0),"ERROR")</f>
        <v>117</v>
      </c>
      <c r="D111" s="110">
        <f>IFERROR(VLOOKUP($B111,MMWR_TRAD_AGG_STATE_PEN[],D$1,0),"ERROR")</f>
        <v>42.487179487200002</v>
      </c>
      <c r="E111" s="111">
        <f>IFERROR(VLOOKUP($B111,MMWR_TRAD_AGG_STATE_PEN[],E$1,0),"ERROR")</f>
        <v>479</v>
      </c>
      <c r="F111" s="112">
        <f>IFERROR(VLOOKUP($B111,MMWR_TRAD_AGG_STATE_PEN[],F$1,0),"ERROR")</f>
        <v>16</v>
      </c>
      <c r="G111" s="113">
        <f t="shared" si="12"/>
        <v>3.3402922755741124E-2</v>
      </c>
      <c r="H111" s="111">
        <f>IFERROR(VLOOKUP($B111,MMWR_TRAD_AGG_STATE_PEN[],H$1,0),"ERROR")</f>
        <v>198</v>
      </c>
      <c r="I111" s="112">
        <f>IFERROR(VLOOKUP($B111,MMWR_TRAD_AGG_STATE_PEN[],I$1,0),"ERROR")</f>
        <v>14</v>
      </c>
      <c r="J111" s="114">
        <f t="shared" si="13"/>
        <v>7.0707070707070704E-2</v>
      </c>
      <c r="K111" s="111">
        <f>IFERROR(VLOOKUP($B111,MMWR_TRAD_AGG_STATE_PEN[],K$1,0),"ERROR")</f>
        <v>3</v>
      </c>
      <c r="L111" s="112">
        <f>IFERROR(VLOOKUP($B111,MMWR_TRAD_AGG_STATE_PEN[],L$1,0),"ERROR")</f>
        <v>3</v>
      </c>
      <c r="M111" s="114">
        <f t="shared" si="14"/>
        <v>1</v>
      </c>
      <c r="N111" s="111">
        <f>IFERROR(VLOOKUP($B111,MMWR_TRAD_AGG_STATE_PEN[],N$1,0),"ERROR")</f>
        <v>15</v>
      </c>
      <c r="O111" s="112">
        <f>IFERROR(VLOOKUP($B111,MMWR_TRAD_AGG_STATE_PEN[],O$1,0),"ERROR")</f>
        <v>7</v>
      </c>
      <c r="P111" s="114">
        <f t="shared" si="15"/>
        <v>0.46666666666666667</v>
      </c>
      <c r="Q111" s="115">
        <f>IFERROR(VLOOKUP($B111,MMWR_TRAD_AGG_STATE_PEN[],Q$1,0),"ERROR")</f>
        <v>258</v>
      </c>
      <c r="R111" s="115">
        <f>IFERROR(VLOOKUP($B111,MMWR_TRAD_AGG_STATE_PEN[],R$1,0),"ERROR")</f>
        <v>56</v>
      </c>
      <c r="S111" s="115">
        <f>IFERROR(VLOOKUP($B111,MMWR_APP_STATE_PEN[],S$1,0),"ERROR")</f>
        <v>45</v>
      </c>
      <c r="T111" s="28"/>
    </row>
    <row r="112" spans="1:20" s="123" customFormat="1" x14ac:dyDescent="0.2">
      <c r="A112" s="28"/>
      <c r="B112" s="127" t="s">
        <v>414</v>
      </c>
      <c r="C112" s="109">
        <f>IFERROR(VLOOKUP($B112,MMWR_TRAD_AGG_STATE_PEN[],C$1,0),"ERROR")</f>
        <v>529</v>
      </c>
      <c r="D112" s="110">
        <f>IFERROR(VLOOKUP($B112,MMWR_TRAD_AGG_STATE_PEN[],D$1,0),"ERROR")</f>
        <v>44.293005671099998</v>
      </c>
      <c r="E112" s="111">
        <f>IFERROR(VLOOKUP($B112,MMWR_TRAD_AGG_STATE_PEN[],E$1,0),"ERROR")</f>
        <v>2152</v>
      </c>
      <c r="F112" s="112">
        <f>IFERROR(VLOOKUP($B112,MMWR_TRAD_AGG_STATE_PEN[],F$1,0),"ERROR")</f>
        <v>60</v>
      </c>
      <c r="G112" s="113">
        <f t="shared" si="12"/>
        <v>2.7881040892193308E-2</v>
      </c>
      <c r="H112" s="111">
        <f>IFERROR(VLOOKUP($B112,MMWR_TRAD_AGG_STATE_PEN[],H$1,0),"ERROR")</f>
        <v>922</v>
      </c>
      <c r="I112" s="112">
        <f>IFERROR(VLOOKUP($B112,MMWR_TRAD_AGG_STATE_PEN[],I$1,0),"ERROR")</f>
        <v>48</v>
      </c>
      <c r="J112" s="114">
        <f t="shared" si="13"/>
        <v>5.2060737527114966E-2</v>
      </c>
      <c r="K112" s="111">
        <f>IFERROR(VLOOKUP($B112,MMWR_TRAD_AGG_STATE_PEN[],K$1,0),"ERROR")</f>
        <v>11</v>
      </c>
      <c r="L112" s="112">
        <f>IFERROR(VLOOKUP($B112,MMWR_TRAD_AGG_STATE_PEN[],L$1,0),"ERROR")</f>
        <v>9</v>
      </c>
      <c r="M112" s="114">
        <f t="shared" si="14"/>
        <v>0.81818181818181823</v>
      </c>
      <c r="N112" s="111">
        <f>IFERROR(VLOOKUP($B112,MMWR_TRAD_AGG_STATE_PEN[],N$1,0),"ERROR")</f>
        <v>61</v>
      </c>
      <c r="O112" s="112">
        <f>IFERROR(VLOOKUP($B112,MMWR_TRAD_AGG_STATE_PEN[],O$1,0),"ERROR")</f>
        <v>31</v>
      </c>
      <c r="P112" s="114">
        <f t="shared" si="15"/>
        <v>0.50819672131147542</v>
      </c>
      <c r="Q112" s="115">
        <f>IFERROR(VLOOKUP($B112,MMWR_TRAD_AGG_STATE_PEN[],Q$1,0),"ERROR")</f>
        <v>913</v>
      </c>
      <c r="R112" s="115">
        <f>IFERROR(VLOOKUP($B112,MMWR_TRAD_AGG_STATE_PEN[],R$1,0),"ERROR")</f>
        <v>263</v>
      </c>
      <c r="S112" s="115">
        <f>IFERROR(VLOOKUP($B112,MMWR_APP_STATE_PEN[],S$1,0),"ERROR")</f>
        <v>214</v>
      </c>
      <c r="T112" s="28"/>
    </row>
    <row r="113" spans="1:20" s="123" customFormat="1" x14ac:dyDescent="0.2">
      <c r="A113" s="28"/>
      <c r="B113" s="127" t="s">
        <v>435</v>
      </c>
      <c r="C113" s="109">
        <f>IFERROR(VLOOKUP($B113,MMWR_TRAD_AGG_STATE_PEN[],C$1,0),"ERROR")</f>
        <v>10</v>
      </c>
      <c r="D113" s="110">
        <f>IFERROR(VLOOKUP($B113,MMWR_TRAD_AGG_STATE_PEN[],D$1,0),"ERROR")</f>
        <v>62.3</v>
      </c>
      <c r="E113" s="111">
        <f>IFERROR(VLOOKUP($B113,MMWR_TRAD_AGG_STATE_PEN[],E$1,0),"ERROR")</f>
        <v>41</v>
      </c>
      <c r="F113" s="112">
        <f>IFERROR(VLOOKUP($B113,MMWR_TRAD_AGG_STATE_PEN[],F$1,0),"ERROR")</f>
        <v>2</v>
      </c>
      <c r="G113" s="113">
        <f t="shared" si="12"/>
        <v>4.878048780487805E-2</v>
      </c>
      <c r="H113" s="111">
        <f>IFERROR(VLOOKUP($B113,MMWR_TRAD_AGG_STATE_PEN[],H$1,0),"ERROR")</f>
        <v>20</v>
      </c>
      <c r="I113" s="112">
        <f>IFERROR(VLOOKUP($B113,MMWR_TRAD_AGG_STATE_PEN[],I$1,0),"ERROR")</f>
        <v>1</v>
      </c>
      <c r="J113" s="114">
        <f t="shared" si="13"/>
        <v>0.05</v>
      </c>
      <c r="K113" s="111">
        <f>IFERROR(VLOOKUP($B113,MMWR_TRAD_AGG_STATE_PEN[],K$1,0),"ERROR")</f>
        <v>2</v>
      </c>
      <c r="L113" s="112">
        <f>IFERROR(VLOOKUP($B113,MMWR_TRAD_AGG_STATE_PEN[],L$1,0),"ERROR")</f>
        <v>2</v>
      </c>
      <c r="M113" s="114">
        <f t="shared" si="14"/>
        <v>1</v>
      </c>
      <c r="N113" s="111">
        <f>IFERROR(VLOOKUP($B113,MMWR_TRAD_AGG_STATE_PEN[],N$1,0),"ERROR")</f>
        <v>1</v>
      </c>
      <c r="O113" s="112">
        <f>IFERROR(VLOOKUP($B113,MMWR_TRAD_AGG_STATE_PEN[],O$1,0),"ERROR")</f>
        <v>0</v>
      </c>
      <c r="P113" s="114">
        <f t="shared" si="15"/>
        <v>0</v>
      </c>
      <c r="Q113" s="115">
        <f>IFERROR(VLOOKUP($B113,MMWR_TRAD_AGG_STATE_PEN[],Q$1,0),"ERROR")</f>
        <v>38</v>
      </c>
      <c r="R113" s="115">
        <f>IFERROR(VLOOKUP($B113,MMWR_TRAD_AGG_STATE_PEN[],R$1,0),"ERROR")</f>
        <v>4</v>
      </c>
      <c r="S113" s="115">
        <f>IFERROR(VLOOKUP($B113,MMWR_APP_STATE_PEN[],S$1,0),"ERROR")</f>
        <v>6</v>
      </c>
      <c r="T113" s="28"/>
    </row>
    <row r="114" spans="1:20" s="123" customFormat="1" x14ac:dyDescent="0.2">
      <c r="A114" s="28"/>
      <c r="B114" s="127" t="s">
        <v>415</v>
      </c>
      <c r="C114" s="109">
        <f>IFERROR(VLOOKUP($B114,MMWR_TRAD_AGG_STATE_PEN[],C$1,0),"ERROR")</f>
        <v>35</v>
      </c>
      <c r="D114" s="110">
        <f>IFERROR(VLOOKUP($B114,MMWR_TRAD_AGG_STATE_PEN[],D$1,0),"ERROR")</f>
        <v>40.314285714299999</v>
      </c>
      <c r="E114" s="111">
        <f>IFERROR(VLOOKUP($B114,MMWR_TRAD_AGG_STATE_PEN[],E$1,0),"ERROR")</f>
        <v>83</v>
      </c>
      <c r="F114" s="112">
        <f>IFERROR(VLOOKUP($B114,MMWR_TRAD_AGG_STATE_PEN[],F$1,0),"ERROR")</f>
        <v>2</v>
      </c>
      <c r="G114" s="113">
        <f t="shared" si="12"/>
        <v>2.4096385542168676E-2</v>
      </c>
      <c r="H114" s="111">
        <f>IFERROR(VLOOKUP($B114,MMWR_TRAD_AGG_STATE_PEN[],H$1,0),"ERROR")</f>
        <v>58</v>
      </c>
      <c r="I114" s="112">
        <f>IFERROR(VLOOKUP($B114,MMWR_TRAD_AGG_STATE_PEN[],I$1,0),"ERROR")</f>
        <v>2</v>
      </c>
      <c r="J114" s="114">
        <f t="shared" si="13"/>
        <v>3.4482758620689655E-2</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0</v>
      </c>
      <c r="P114" s="114">
        <f t="shared" si="15"/>
        <v>0</v>
      </c>
      <c r="Q114" s="115">
        <f>IFERROR(VLOOKUP($B114,MMWR_TRAD_AGG_STATE_PEN[],Q$1,0),"ERROR")</f>
        <v>80</v>
      </c>
      <c r="R114" s="115">
        <f>IFERROR(VLOOKUP($B114,MMWR_TRAD_AGG_STATE_PEN[],R$1,0),"ERROR")</f>
        <v>7</v>
      </c>
      <c r="S114" s="115">
        <f>IFERROR(VLOOKUP($B114,MMWR_APP_STATE_PEN[],S$1,0),"ERROR")</f>
        <v>6</v>
      </c>
      <c r="T114" s="28"/>
    </row>
    <row r="115" spans="1:20" s="123" customFormat="1" x14ac:dyDescent="0.2">
      <c r="A115" s="28"/>
      <c r="B115" s="127" t="s">
        <v>420</v>
      </c>
      <c r="C115" s="109">
        <f>IFERROR(VLOOKUP($B115,MMWR_TRAD_AGG_STATE_PEN[],C$1,0),"ERROR")</f>
        <v>68</v>
      </c>
      <c r="D115" s="110">
        <f>IFERROR(VLOOKUP($B115,MMWR_TRAD_AGG_STATE_PEN[],D$1,0),"ERROR")</f>
        <v>51.764705882400001</v>
      </c>
      <c r="E115" s="111">
        <f>IFERROR(VLOOKUP($B115,MMWR_TRAD_AGG_STATE_PEN[],E$1,0),"ERROR")</f>
        <v>184</v>
      </c>
      <c r="F115" s="112">
        <f>IFERROR(VLOOKUP($B115,MMWR_TRAD_AGG_STATE_PEN[],F$1,0),"ERROR")</f>
        <v>9</v>
      </c>
      <c r="G115" s="113">
        <f t="shared" si="12"/>
        <v>4.8913043478260872E-2</v>
      </c>
      <c r="H115" s="111">
        <f>IFERROR(VLOOKUP($B115,MMWR_TRAD_AGG_STATE_PEN[],H$1,0),"ERROR")</f>
        <v>110</v>
      </c>
      <c r="I115" s="112">
        <f>IFERROR(VLOOKUP($B115,MMWR_TRAD_AGG_STATE_PEN[],I$1,0),"ERROR")</f>
        <v>11</v>
      </c>
      <c r="J115" s="114">
        <f t="shared" si="13"/>
        <v>0.1</v>
      </c>
      <c r="K115" s="111">
        <f>IFERROR(VLOOKUP($B115,MMWR_TRAD_AGG_STATE_PEN[],K$1,0),"ERROR")</f>
        <v>0</v>
      </c>
      <c r="L115" s="112">
        <f>IFERROR(VLOOKUP($B115,MMWR_TRAD_AGG_STATE_PEN[],L$1,0),"ERROR")</f>
        <v>0</v>
      </c>
      <c r="M115" s="114" t="str">
        <f t="shared" si="14"/>
        <v>0%</v>
      </c>
      <c r="N115" s="111">
        <f>IFERROR(VLOOKUP($B115,MMWR_TRAD_AGG_STATE_PEN[],N$1,0),"ERROR")</f>
        <v>5</v>
      </c>
      <c r="O115" s="112">
        <f>IFERROR(VLOOKUP($B115,MMWR_TRAD_AGG_STATE_PEN[],O$1,0),"ERROR")</f>
        <v>4</v>
      </c>
      <c r="P115" s="114">
        <f t="shared" si="15"/>
        <v>0.8</v>
      </c>
      <c r="Q115" s="115">
        <f>IFERROR(VLOOKUP($B115,MMWR_TRAD_AGG_STATE_PEN[],Q$1,0),"ERROR")</f>
        <v>104</v>
      </c>
      <c r="R115" s="115">
        <f>IFERROR(VLOOKUP($B115,MMWR_TRAD_AGG_STATE_PEN[],R$1,0),"ERROR")</f>
        <v>22</v>
      </c>
      <c r="S115" s="115">
        <f>IFERROR(VLOOKUP($B115,MMWR_APP_STATE_PEN[],S$1,0),"ERROR")</f>
        <v>26</v>
      </c>
      <c r="T115" s="28"/>
    </row>
    <row r="116" spans="1:20" s="123" customFormat="1" x14ac:dyDescent="0.2">
      <c r="A116" s="28"/>
      <c r="B116" s="127" t="s">
        <v>412</v>
      </c>
      <c r="C116" s="109">
        <f>IFERROR(VLOOKUP($B116,MMWR_TRAD_AGG_STATE_PEN[],C$1,0),"ERROR")</f>
        <v>37</v>
      </c>
      <c r="D116" s="110">
        <f>IFERROR(VLOOKUP($B116,MMWR_TRAD_AGG_STATE_PEN[],D$1,0),"ERROR")</f>
        <v>71.702702702699995</v>
      </c>
      <c r="E116" s="111">
        <f>IFERROR(VLOOKUP($B116,MMWR_TRAD_AGG_STATE_PEN[],E$1,0),"ERROR")</f>
        <v>128</v>
      </c>
      <c r="F116" s="112">
        <f>IFERROR(VLOOKUP($B116,MMWR_TRAD_AGG_STATE_PEN[],F$1,0),"ERROR")</f>
        <v>0</v>
      </c>
      <c r="G116" s="113">
        <f t="shared" si="12"/>
        <v>0</v>
      </c>
      <c r="H116" s="111">
        <f>IFERROR(VLOOKUP($B116,MMWR_TRAD_AGG_STATE_PEN[],H$1,0),"ERROR")</f>
        <v>65</v>
      </c>
      <c r="I116" s="112">
        <f>IFERROR(VLOOKUP($B116,MMWR_TRAD_AGG_STATE_PEN[],I$1,0),"ERROR")</f>
        <v>5</v>
      </c>
      <c r="J116" s="114">
        <f t="shared" si="13"/>
        <v>7.6923076923076927E-2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0</v>
      </c>
      <c r="P116" s="114">
        <f t="shared" si="15"/>
        <v>0</v>
      </c>
      <c r="Q116" s="115">
        <f>IFERROR(VLOOKUP($B116,MMWR_TRAD_AGG_STATE_PEN[],Q$1,0),"ERROR")</f>
        <v>156</v>
      </c>
      <c r="R116" s="115">
        <f>IFERROR(VLOOKUP($B116,MMWR_TRAD_AGG_STATE_PEN[],R$1,0),"ERROR")</f>
        <v>19</v>
      </c>
      <c r="S116" s="115">
        <f>IFERROR(VLOOKUP($B116,MMWR_APP_STATE_PEN[],S$1,0),"ERROR")</f>
        <v>16</v>
      </c>
      <c r="T116" s="28"/>
    </row>
    <row r="117" spans="1:20" s="123" customFormat="1" x14ac:dyDescent="0.2">
      <c r="A117" s="28"/>
      <c r="B117" s="127" t="s">
        <v>416</v>
      </c>
      <c r="C117" s="109">
        <f>IFERROR(VLOOKUP($B117,MMWR_TRAD_AGG_STATE_PEN[],C$1,0),"ERROR")</f>
        <v>76</v>
      </c>
      <c r="D117" s="110">
        <f>IFERROR(VLOOKUP($B117,MMWR_TRAD_AGG_STATE_PEN[],D$1,0),"ERROR")</f>
        <v>33.986842105299999</v>
      </c>
      <c r="E117" s="111">
        <f>IFERROR(VLOOKUP($B117,MMWR_TRAD_AGG_STATE_PEN[],E$1,0),"ERROR")</f>
        <v>290</v>
      </c>
      <c r="F117" s="112">
        <f>IFERROR(VLOOKUP($B117,MMWR_TRAD_AGG_STATE_PEN[],F$1,0),"ERROR")</f>
        <v>12</v>
      </c>
      <c r="G117" s="113">
        <f t="shared" si="12"/>
        <v>4.1379310344827586E-2</v>
      </c>
      <c r="H117" s="111">
        <f>IFERROR(VLOOKUP($B117,MMWR_TRAD_AGG_STATE_PEN[],H$1,0),"ERROR")</f>
        <v>139</v>
      </c>
      <c r="I117" s="112">
        <f>IFERROR(VLOOKUP($B117,MMWR_TRAD_AGG_STATE_PEN[],I$1,0),"ERROR")</f>
        <v>6</v>
      </c>
      <c r="J117" s="114">
        <f t="shared" si="13"/>
        <v>4.3165467625899283E-2</v>
      </c>
      <c r="K117" s="111">
        <f>IFERROR(VLOOKUP($B117,MMWR_TRAD_AGG_STATE_PEN[],K$1,0),"ERROR")</f>
        <v>1</v>
      </c>
      <c r="L117" s="112">
        <f>IFERROR(VLOOKUP($B117,MMWR_TRAD_AGG_STATE_PEN[],L$1,0),"ERROR")</f>
        <v>1</v>
      </c>
      <c r="M117" s="114">
        <f t="shared" si="14"/>
        <v>1</v>
      </c>
      <c r="N117" s="111">
        <f>IFERROR(VLOOKUP($B117,MMWR_TRAD_AGG_STATE_PEN[],N$1,0),"ERROR")</f>
        <v>8</v>
      </c>
      <c r="O117" s="112">
        <f>IFERROR(VLOOKUP($B117,MMWR_TRAD_AGG_STATE_PEN[],O$1,0),"ERROR")</f>
        <v>6</v>
      </c>
      <c r="P117" s="114">
        <f t="shared" si="15"/>
        <v>0.75</v>
      </c>
      <c r="Q117" s="115">
        <f>IFERROR(VLOOKUP($B117,MMWR_TRAD_AGG_STATE_PEN[],Q$1,0),"ERROR")</f>
        <v>224</v>
      </c>
      <c r="R117" s="115">
        <f>IFERROR(VLOOKUP($B117,MMWR_TRAD_AGG_STATE_PEN[],R$1,0),"ERROR")</f>
        <v>38</v>
      </c>
      <c r="S117" s="115">
        <f>IFERROR(VLOOKUP($B117,MMWR_APP_STATE_PEN[],S$1,0),"ERROR")</f>
        <v>36</v>
      </c>
      <c r="T117" s="28"/>
    </row>
    <row r="118" spans="1:20" s="123" customFormat="1" x14ac:dyDescent="0.2">
      <c r="A118" s="28"/>
      <c r="B118" s="127" t="s">
        <v>83</v>
      </c>
      <c r="C118" s="109">
        <f>IFERROR(VLOOKUP($B118,MMWR_TRAD_AGG_STATE_PEN[],C$1,0),"ERROR")</f>
        <v>108</v>
      </c>
      <c r="D118" s="110">
        <f>IFERROR(VLOOKUP($B118,MMWR_TRAD_AGG_STATE_PEN[],D$1,0),"ERROR")</f>
        <v>45.425925925900003</v>
      </c>
      <c r="E118" s="111">
        <f>IFERROR(VLOOKUP($B118,MMWR_TRAD_AGG_STATE_PEN[],E$1,0),"ERROR")</f>
        <v>451</v>
      </c>
      <c r="F118" s="112">
        <f>IFERROR(VLOOKUP($B118,MMWR_TRAD_AGG_STATE_PEN[],F$1,0),"ERROR")</f>
        <v>18</v>
      </c>
      <c r="G118" s="113">
        <f t="shared" si="12"/>
        <v>3.9911308203991129E-2</v>
      </c>
      <c r="H118" s="111">
        <f>IFERROR(VLOOKUP($B118,MMWR_TRAD_AGG_STATE_PEN[],H$1,0),"ERROR")</f>
        <v>266</v>
      </c>
      <c r="I118" s="112">
        <f>IFERROR(VLOOKUP($B118,MMWR_TRAD_AGG_STATE_PEN[],I$1,0),"ERROR")</f>
        <v>25</v>
      </c>
      <c r="J118" s="114">
        <f t="shared" si="13"/>
        <v>9.3984962406015032E-2</v>
      </c>
      <c r="K118" s="111">
        <f>IFERROR(VLOOKUP($B118,MMWR_TRAD_AGG_STATE_PEN[],K$1,0),"ERROR")</f>
        <v>0</v>
      </c>
      <c r="L118" s="112">
        <f>IFERROR(VLOOKUP($B118,MMWR_TRAD_AGG_STATE_PEN[],L$1,0),"ERROR")</f>
        <v>0</v>
      </c>
      <c r="M118" s="114" t="str">
        <f t="shared" si="14"/>
        <v>0%</v>
      </c>
      <c r="N118" s="111">
        <f>IFERROR(VLOOKUP($B118,MMWR_TRAD_AGG_STATE_PEN[],N$1,0),"ERROR")</f>
        <v>9</v>
      </c>
      <c r="O118" s="112">
        <f>IFERROR(VLOOKUP($B118,MMWR_TRAD_AGG_STATE_PEN[],O$1,0),"ERROR")</f>
        <v>1</v>
      </c>
      <c r="P118" s="114">
        <f t="shared" si="15"/>
        <v>0.1111111111111111</v>
      </c>
      <c r="Q118" s="115">
        <f>IFERROR(VLOOKUP($B118,MMWR_TRAD_AGG_STATE_PEN[],Q$1,0),"ERROR")</f>
        <v>262</v>
      </c>
      <c r="R118" s="115">
        <f>IFERROR(VLOOKUP($B118,MMWR_TRAD_AGG_STATE_PEN[],R$1,0),"ERROR")</f>
        <v>50</v>
      </c>
      <c r="S118" s="115">
        <f>IFERROR(VLOOKUP($B118,MMWR_APP_STATE_PEN[],S$1,0),"ERROR")</f>
        <v>57</v>
      </c>
      <c r="T118" s="28"/>
    </row>
    <row r="119" spans="1:20" s="123" customFormat="1" x14ac:dyDescent="0.2">
      <c r="A119" s="28"/>
      <c r="B119" s="126" t="s">
        <v>387</v>
      </c>
      <c r="C119" s="102">
        <f>IFERROR(VLOOKUP($B119,MMWR_TRAD_AGG_ST_DISTRICT_PEN[],C$1,0),"ERROR")</f>
        <v>5957</v>
      </c>
      <c r="D119" s="103">
        <f>IFERROR(VLOOKUP($B119,MMWR_TRAD_AGG_ST_DISTRICT_PEN[],D$1,0),"ERROR")</f>
        <v>103.468524425</v>
      </c>
      <c r="E119" s="102">
        <f>IFERROR(VLOOKUP($B119,MMWR_TRAD_AGG_ST_DISTRICT_PEN[],E$1,0),"ERROR")</f>
        <v>6932</v>
      </c>
      <c r="F119" s="102">
        <f>IFERROR(VLOOKUP($B119,MMWR_TRAD_AGG_ST_DISTRICT_PEN[],F$1,0),"ERROR")</f>
        <v>1378</v>
      </c>
      <c r="G119" s="104">
        <f t="shared" si="12"/>
        <v>0.19878822850548183</v>
      </c>
      <c r="H119" s="102">
        <f>IFERROR(VLOOKUP($B119,MMWR_TRAD_AGG_ST_DISTRICT_PEN[],H$1,0),"ERROR")</f>
        <v>9864</v>
      </c>
      <c r="I119" s="102">
        <f>IFERROR(VLOOKUP($B119,MMWR_TRAD_AGG_ST_DISTRICT_PEN[],I$1,0),"ERROR")</f>
        <v>2711</v>
      </c>
      <c r="J119" s="104">
        <f t="shared" si="13"/>
        <v>0.27483779399837793</v>
      </c>
      <c r="K119" s="102">
        <f>IFERROR(VLOOKUP($B119,MMWR_TRAD_AGG_ST_DISTRICT_PEN[],K$1,0),"ERROR")</f>
        <v>211</v>
      </c>
      <c r="L119" s="102">
        <f>IFERROR(VLOOKUP($B119,MMWR_TRAD_AGG_ST_DISTRICT_PEN[],L$1,0),"ERROR")</f>
        <v>189</v>
      </c>
      <c r="M119" s="104">
        <f t="shared" si="14"/>
        <v>0.89573459715639814</v>
      </c>
      <c r="N119" s="102">
        <f>IFERROR(VLOOKUP($B119,MMWR_TRAD_AGG_ST_DISTRICT_PEN[],N$1,0),"ERROR")</f>
        <v>600</v>
      </c>
      <c r="O119" s="102">
        <f>IFERROR(VLOOKUP($B119,MMWR_TRAD_AGG_ST_DISTRICT_PEN[],O$1,0),"ERROR")</f>
        <v>199</v>
      </c>
      <c r="P119" s="104">
        <f t="shared" si="15"/>
        <v>0.33166666666666667</v>
      </c>
      <c r="Q119" s="102">
        <f>IFERROR(VLOOKUP($B119,MMWR_TRAD_AGG_ST_DISTRICT_PEN[],Q$1,0),"ERROR")</f>
        <v>1577</v>
      </c>
      <c r="R119" s="106">
        <f>IFERROR(VLOOKUP($B119,MMWR_TRAD_AGG_ST_DISTRICT_PEN[],R$1,0),"ERROR")</f>
        <v>1631</v>
      </c>
      <c r="S119" s="106">
        <f>IFERROR(VLOOKUP($B119,MMWR_APP_STATE_PEN[],S$1,0),"ERROR")</f>
        <v>1613</v>
      </c>
      <c r="T119" s="28"/>
    </row>
    <row r="120" spans="1:20" s="123" customFormat="1" x14ac:dyDescent="0.2">
      <c r="A120" s="28"/>
      <c r="B120" s="127" t="s">
        <v>395</v>
      </c>
      <c r="C120" s="109">
        <f>IFERROR(VLOOKUP($B120,MMWR_TRAD_AGG_STATE_PEN[],C$1,0),"ERROR")</f>
        <v>392</v>
      </c>
      <c r="D120" s="110">
        <f>IFERROR(VLOOKUP($B120,MMWR_TRAD_AGG_STATE_PEN[],D$1,0),"ERROR")</f>
        <v>72.897959183699996</v>
      </c>
      <c r="E120" s="111">
        <f>IFERROR(VLOOKUP($B120,MMWR_TRAD_AGG_STATE_PEN[],E$1,0),"ERROR")</f>
        <v>791</v>
      </c>
      <c r="F120" s="112">
        <f>IFERROR(VLOOKUP($B120,MMWR_TRAD_AGG_STATE_PEN[],F$1,0),"ERROR")</f>
        <v>34</v>
      </c>
      <c r="G120" s="113">
        <f t="shared" si="12"/>
        <v>4.2983565107458911E-2</v>
      </c>
      <c r="H120" s="111">
        <f>IFERROR(VLOOKUP($B120,MMWR_TRAD_AGG_STATE_PEN[],H$1,0),"ERROR")</f>
        <v>780</v>
      </c>
      <c r="I120" s="112">
        <f>IFERROR(VLOOKUP($B120,MMWR_TRAD_AGG_STATE_PEN[],I$1,0),"ERROR")</f>
        <v>64</v>
      </c>
      <c r="J120" s="114">
        <f t="shared" si="13"/>
        <v>8.2051282051282051E-2</v>
      </c>
      <c r="K120" s="111">
        <f>IFERROR(VLOOKUP($B120,MMWR_TRAD_AGG_STATE_PEN[],K$1,0),"ERROR")</f>
        <v>6</v>
      </c>
      <c r="L120" s="112">
        <f>IFERROR(VLOOKUP($B120,MMWR_TRAD_AGG_STATE_PEN[],L$1,0),"ERROR")</f>
        <v>5</v>
      </c>
      <c r="M120" s="114">
        <f t="shared" si="14"/>
        <v>0.83333333333333337</v>
      </c>
      <c r="N120" s="111">
        <f>IFERROR(VLOOKUP($B120,MMWR_TRAD_AGG_STATE_PEN[],N$1,0),"ERROR")</f>
        <v>51</v>
      </c>
      <c r="O120" s="112">
        <f>IFERROR(VLOOKUP($B120,MMWR_TRAD_AGG_STATE_PEN[],O$1,0),"ERROR")</f>
        <v>9</v>
      </c>
      <c r="P120" s="114">
        <f t="shared" si="15"/>
        <v>0.17647058823529413</v>
      </c>
      <c r="Q120" s="115">
        <f>IFERROR(VLOOKUP($B120,MMWR_TRAD_AGG_STATE_PEN[],Q$1,0),"ERROR")</f>
        <v>332</v>
      </c>
      <c r="R120" s="115">
        <f>IFERROR(VLOOKUP($B120,MMWR_TRAD_AGG_STATE_PEN[],R$1,0),"ERROR")</f>
        <v>52</v>
      </c>
      <c r="S120" s="115">
        <f>IFERROR(VLOOKUP($B120,MMWR_APP_STATE_PEN[],S$1,0),"ERROR")</f>
        <v>178</v>
      </c>
      <c r="T120" s="28"/>
    </row>
    <row r="121" spans="1:20" s="123" customFormat="1" x14ac:dyDescent="0.2">
      <c r="A121" s="28"/>
      <c r="B121" s="127" t="s">
        <v>432</v>
      </c>
      <c r="C121" s="109">
        <f>IFERROR(VLOOKUP($B121,MMWR_TRAD_AGG_STATE_PEN[],C$1,0),"ERROR")</f>
        <v>2215</v>
      </c>
      <c r="D121" s="110">
        <f>IFERROR(VLOOKUP($B121,MMWR_TRAD_AGG_STATE_PEN[],D$1,0),"ERROR")</f>
        <v>106.4361173815</v>
      </c>
      <c r="E121" s="111">
        <f>IFERROR(VLOOKUP($B121,MMWR_TRAD_AGG_STATE_PEN[],E$1,0),"ERROR")</f>
        <v>2668</v>
      </c>
      <c r="F121" s="112">
        <f>IFERROR(VLOOKUP($B121,MMWR_TRAD_AGG_STATE_PEN[],F$1,0),"ERROR")</f>
        <v>665</v>
      </c>
      <c r="G121" s="113">
        <f t="shared" si="12"/>
        <v>0.24925037481259371</v>
      </c>
      <c r="H121" s="111">
        <f>IFERROR(VLOOKUP($B121,MMWR_TRAD_AGG_STATE_PEN[],H$1,0),"ERROR")</f>
        <v>3471</v>
      </c>
      <c r="I121" s="112">
        <f>IFERROR(VLOOKUP($B121,MMWR_TRAD_AGG_STATE_PEN[],I$1,0),"ERROR")</f>
        <v>1045</v>
      </c>
      <c r="J121" s="114">
        <f t="shared" si="13"/>
        <v>0.3010659752232786</v>
      </c>
      <c r="K121" s="111">
        <f>IFERROR(VLOOKUP($B121,MMWR_TRAD_AGG_STATE_PEN[],K$1,0),"ERROR")</f>
        <v>96</v>
      </c>
      <c r="L121" s="112">
        <f>IFERROR(VLOOKUP($B121,MMWR_TRAD_AGG_STATE_PEN[],L$1,0),"ERROR")</f>
        <v>90</v>
      </c>
      <c r="M121" s="114">
        <f t="shared" si="14"/>
        <v>0.9375</v>
      </c>
      <c r="N121" s="111">
        <f>IFERROR(VLOOKUP($B121,MMWR_TRAD_AGG_STATE_PEN[],N$1,0),"ERROR")</f>
        <v>211</v>
      </c>
      <c r="O121" s="112">
        <f>IFERROR(VLOOKUP($B121,MMWR_TRAD_AGG_STATE_PEN[],O$1,0),"ERROR")</f>
        <v>81</v>
      </c>
      <c r="P121" s="114">
        <f t="shared" si="15"/>
        <v>0.38388625592417064</v>
      </c>
      <c r="Q121" s="115">
        <f>IFERROR(VLOOKUP($B121,MMWR_TRAD_AGG_STATE_PEN[],Q$1,0),"ERROR")</f>
        <v>296</v>
      </c>
      <c r="R121" s="115">
        <f>IFERROR(VLOOKUP($B121,MMWR_TRAD_AGG_STATE_PEN[],R$1,0),"ERROR")</f>
        <v>692</v>
      </c>
      <c r="S121" s="115">
        <f>IFERROR(VLOOKUP($B121,MMWR_APP_STATE_PEN[],S$1,0),"ERROR")</f>
        <v>515</v>
      </c>
      <c r="T121" s="28"/>
    </row>
    <row r="122" spans="1:20" s="123" customFormat="1" x14ac:dyDescent="0.2">
      <c r="A122" s="28"/>
      <c r="B122" s="127" t="s">
        <v>388</v>
      </c>
      <c r="C122" s="109">
        <f>IFERROR(VLOOKUP($B122,MMWR_TRAD_AGG_STATE_PEN[],C$1,0),"ERROR")</f>
        <v>1128</v>
      </c>
      <c r="D122" s="110">
        <f>IFERROR(VLOOKUP($B122,MMWR_TRAD_AGG_STATE_PEN[],D$1,0),"ERROR")</f>
        <v>113.2003546099</v>
      </c>
      <c r="E122" s="111">
        <f>IFERROR(VLOOKUP($B122,MMWR_TRAD_AGG_STATE_PEN[],E$1,0),"ERROR")</f>
        <v>1208</v>
      </c>
      <c r="F122" s="112">
        <f>IFERROR(VLOOKUP($B122,MMWR_TRAD_AGG_STATE_PEN[],F$1,0),"ERROR")</f>
        <v>309</v>
      </c>
      <c r="G122" s="113">
        <f t="shared" si="12"/>
        <v>0.25579470198675497</v>
      </c>
      <c r="H122" s="111">
        <f>IFERROR(VLOOKUP($B122,MMWR_TRAD_AGG_STATE_PEN[],H$1,0),"ERROR")</f>
        <v>1762</v>
      </c>
      <c r="I122" s="112">
        <f>IFERROR(VLOOKUP($B122,MMWR_TRAD_AGG_STATE_PEN[],I$1,0),"ERROR")</f>
        <v>554</v>
      </c>
      <c r="J122" s="114">
        <f t="shared" si="13"/>
        <v>0.31441543700340524</v>
      </c>
      <c r="K122" s="111">
        <f>IFERROR(VLOOKUP($B122,MMWR_TRAD_AGG_STATE_PEN[],K$1,0),"ERROR")</f>
        <v>55</v>
      </c>
      <c r="L122" s="112">
        <f>IFERROR(VLOOKUP($B122,MMWR_TRAD_AGG_STATE_PEN[],L$1,0),"ERROR")</f>
        <v>52</v>
      </c>
      <c r="M122" s="114">
        <f t="shared" si="14"/>
        <v>0.94545454545454544</v>
      </c>
      <c r="N122" s="111">
        <f>IFERROR(VLOOKUP($B122,MMWR_TRAD_AGG_STATE_PEN[],N$1,0),"ERROR")</f>
        <v>140</v>
      </c>
      <c r="O122" s="112">
        <f>IFERROR(VLOOKUP($B122,MMWR_TRAD_AGG_STATE_PEN[],O$1,0),"ERROR")</f>
        <v>42</v>
      </c>
      <c r="P122" s="114">
        <f t="shared" si="15"/>
        <v>0.3</v>
      </c>
      <c r="Q122" s="115">
        <f>IFERROR(VLOOKUP($B122,MMWR_TRAD_AGG_STATE_PEN[],Q$1,0),"ERROR")</f>
        <v>136</v>
      </c>
      <c r="R122" s="115">
        <f>IFERROR(VLOOKUP($B122,MMWR_TRAD_AGG_STATE_PEN[],R$1,0),"ERROR")</f>
        <v>423</v>
      </c>
      <c r="S122" s="115">
        <f>IFERROR(VLOOKUP($B122,MMWR_APP_STATE_PEN[],S$1,0),"ERROR")</f>
        <v>328</v>
      </c>
      <c r="T122" s="28"/>
    </row>
    <row r="123" spans="1:20" s="123" customFormat="1" x14ac:dyDescent="0.2">
      <c r="A123" s="28"/>
      <c r="B123" s="127" t="s">
        <v>400</v>
      </c>
      <c r="C123" s="109">
        <f>IFERROR(VLOOKUP($B123,MMWR_TRAD_AGG_STATE_PEN[],C$1,0),"ERROR")</f>
        <v>153</v>
      </c>
      <c r="D123" s="110">
        <f>IFERROR(VLOOKUP($B123,MMWR_TRAD_AGG_STATE_PEN[],D$1,0),"ERROR")</f>
        <v>73.751633986900003</v>
      </c>
      <c r="E123" s="111">
        <f>IFERROR(VLOOKUP($B123,MMWR_TRAD_AGG_STATE_PEN[],E$1,0),"ERROR")</f>
        <v>384</v>
      </c>
      <c r="F123" s="112">
        <f>IFERROR(VLOOKUP($B123,MMWR_TRAD_AGG_STATE_PEN[],F$1,0),"ERROR")</f>
        <v>25</v>
      </c>
      <c r="G123" s="113">
        <f t="shared" si="12"/>
        <v>6.5104166666666671E-2</v>
      </c>
      <c r="H123" s="111">
        <f>IFERROR(VLOOKUP($B123,MMWR_TRAD_AGG_STATE_PEN[],H$1,0),"ERROR")</f>
        <v>311</v>
      </c>
      <c r="I123" s="112">
        <f>IFERROR(VLOOKUP($B123,MMWR_TRAD_AGG_STATE_PEN[],I$1,0),"ERROR")</f>
        <v>51</v>
      </c>
      <c r="J123" s="114">
        <f t="shared" si="13"/>
        <v>0.16398713826366559</v>
      </c>
      <c r="K123" s="111">
        <f>IFERROR(VLOOKUP($B123,MMWR_TRAD_AGG_STATE_PEN[],K$1,0),"ERROR")</f>
        <v>4</v>
      </c>
      <c r="L123" s="112">
        <f>IFERROR(VLOOKUP($B123,MMWR_TRAD_AGG_STATE_PEN[],L$1,0),"ERROR")</f>
        <v>3</v>
      </c>
      <c r="M123" s="114">
        <f t="shared" si="14"/>
        <v>0.75</v>
      </c>
      <c r="N123" s="111">
        <f>IFERROR(VLOOKUP($B123,MMWR_TRAD_AGG_STATE_PEN[],N$1,0),"ERROR")</f>
        <v>39</v>
      </c>
      <c r="O123" s="112">
        <f>IFERROR(VLOOKUP($B123,MMWR_TRAD_AGG_STATE_PEN[],O$1,0),"ERROR")</f>
        <v>4</v>
      </c>
      <c r="P123" s="114">
        <f t="shared" si="15"/>
        <v>0.10256410256410256</v>
      </c>
      <c r="Q123" s="115">
        <f>IFERROR(VLOOKUP($B123,MMWR_TRAD_AGG_STATE_PEN[],Q$1,0),"ERROR")</f>
        <v>274</v>
      </c>
      <c r="R123" s="115">
        <f>IFERROR(VLOOKUP($B123,MMWR_TRAD_AGG_STATE_PEN[],R$1,0),"ERROR")</f>
        <v>40</v>
      </c>
      <c r="S123" s="115">
        <f>IFERROR(VLOOKUP($B123,MMWR_APP_STATE_PEN[],S$1,0),"ERROR")</f>
        <v>105</v>
      </c>
      <c r="T123" s="28"/>
    </row>
    <row r="124" spans="1:20" s="123" customFormat="1" x14ac:dyDescent="0.2">
      <c r="A124" s="28"/>
      <c r="B124" s="127" t="s">
        <v>434</v>
      </c>
      <c r="C124" s="109">
        <f>IFERROR(VLOOKUP($B124,MMWR_TRAD_AGG_STATE_PEN[],C$1,0),"ERROR")</f>
        <v>980</v>
      </c>
      <c r="D124" s="110">
        <f>IFERROR(VLOOKUP($B124,MMWR_TRAD_AGG_STATE_PEN[],D$1,0),"ERROR")</f>
        <v>117.68979591839999</v>
      </c>
      <c r="E124" s="111">
        <f>IFERROR(VLOOKUP($B124,MMWR_TRAD_AGG_STATE_PEN[],E$1,0),"ERROR")</f>
        <v>449</v>
      </c>
      <c r="F124" s="112">
        <f>IFERROR(VLOOKUP($B124,MMWR_TRAD_AGG_STATE_PEN[],F$1,0),"ERROR")</f>
        <v>129</v>
      </c>
      <c r="G124" s="113">
        <f t="shared" si="12"/>
        <v>0.28730512249443207</v>
      </c>
      <c r="H124" s="111">
        <f>IFERROR(VLOOKUP($B124,MMWR_TRAD_AGG_STATE_PEN[],H$1,0),"ERROR")</f>
        <v>1743</v>
      </c>
      <c r="I124" s="112">
        <f>IFERROR(VLOOKUP($B124,MMWR_TRAD_AGG_STATE_PEN[],I$1,0),"ERROR")</f>
        <v>589</v>
      </c>
      <c r="J124" s="114">
        <f t="shared" si="13"/>
        <v>0.3379231210556512</v>
      </c>
      <c r="K124" s="111">
        <f>IFERROR(VLOOKUP($B124,MMWR_TRAD_AGG_STATE_PEN[],K$1,0),"ERROR")</f>
        <v>27</v>
      </c>
      <c r="L124" s="112">
        <f>IFERROR(VLOOKUP($B124,MMWR_TRAD_AGG_STATE_PEN[],L$1,0),"ERROR")</f>
        <v>19</v>
      </c>
      <c r="M124" s="114">
        <f t="shared" si="14"/>
        <v>0.70370370370370372</v>
      </c>
      <c r="N124" s="111">
        <f>IFERROR(VLOOKUP($B124,MMWR_TRAD_AGG_STATE_PEN[],N$1,0),"ERROR")</f>
        <v>41</v>
      </c>
      <c r="O124" s="112">
        <f>IFERROR(VLOOKUP($B124,MMWR_TRAD_AGG_STATE_PEN[],O$1,0),"ERROR")</f>
        <v>25</v>
      </c>
      <c r="P124" s="114">
        <f t="shared" si="15"/>
        <v>0.6097560975609756</v>
      </c>
      <c r="Q124" s="115">
        <f>IFERROR(VLOOKUP($B124,MMWR_TRAD_AGG_STATE_PEN[],Q$1,0),"ERROR")</f>
        <v>69</v>
      </c>
      <c r="R124" s="115">
        <f>IFERROR(VLOOKUP($B124,MMWR_TRAD_AGG_STATE_PEN[],R$1,0),"ERROR")</f>
        <v>110</v>
      </c>
      <c r="S124" s="115">
        <f>IFERROR(VLOOKUP($B124,MMWR_APP_STATE_PEN[],S$1,0),"ERROR")</f>
        <v>128</v>
      </c>
      <c r="T124" s="28"/>
    </row>
    <row r="125" spans="1:20" s="123" customFormat="1" x14ac:dyDescent="0.2">
      <c r="A125" s="28"/>
      <c r="B125" s="127" t="s">
        <v>390</v>
      </c>
      <c r="C125" s="109">
        <f>IFERROR(VLOOKUP($B125,MMWR_TRAD_AGG_STATE_PEN[],C$1,0),"ERROR")</f>
        <v>796</v>
      </c>
      <c r="D125" s="110">
        <f>IFERROR(VLOOKUP($B125,MMWR_TRAD_AGG_STATE_PEN[],D$1,0),"ERROR")</f>
        <v>101.7261306533</v>
      </c>
      <c r="E125" s="111">
        <f>IFERROR(VLOOKUP($B125,MMWR_TRAD_AGG_STATE_PEN[],E$1,0),"ERROR")</f>
        <v>774</v>
      </c>
      <c r="F125" s="112">
        <f>IFERROR(VLOOKUP($B125,MMWR_TRAD_AGG_STATE_PEN[],F$1,0),"ERROR")</f>
        <v>193</v>
      </c>
      <c r="G125" s="113">
        <f t="shared" si="12"/>
        <v>0.24935400516795866</v>
      </c>
      <c r="H125" s="111">
        <f>IFERROR(VLOOKUP($B125,MMWR_TRAD_AGG_STATE_PEN[],H$1,0),"ERROR")</f>
        <v>1241</v>
      </c>
      <c r="I125" s="112">
        <f>IFERROR(VLOOKUP($B125,MMWR_TRAD_AGG_STATE_PEN[],I$1,0),"ERROR")</f>
        <v>356</v>
      </c>
      <c r="J125" s="114">
        <f t="shared" si="13"/>
        <v>0.28686543110394841</v>
      </c>
      <c r="K125" s="111">
        <f>IFERROR(VLOOKUP($B125,MMWR_TRAD_AGG_STATE_PEN[],K$1,0),"ERROR")</f>
        <v>19</v>
      </c>
      <c r="L125" s="112">
        <f>IFERROR(VLOOKUP($B125,MMWR_TRAD_AGG_STATE_PEN[],L$1,0),"ERROR")</f>
        <v>16</v>
      </c>
      <c r="M125" s="114">
        <f t="shared" si="14"/>
        <v>0.84210526315789469</v>
      </c>
      <c r="N125" s="111">
        <f>IFERROR(VLOOKUP($B125,MMWR_TRAD_AGG_STATE_PEN[],N$1,0),"ERROR")</f>
        <v>76</v>
      </c>
      <c r="O125" s="112">
        <f>IFERROR(VLOOKUP($B125,MMWR_TRAD_AGG_STATE_PEN[],O$1,0),"ERROR")</f>
        <v>24</v>
      </c>
      <c r="P125" s="114">
        <f t="shared" si="15"/>
        <v>0.31578947368421051</v>
      </c>
      <c r="Q125" s="115">
        <f>IFERROR(VLOOKUP($B125,MMWR_TRAD_AGG_STATE_PEN[],Q$1,0),"ERROR")</f>
        <v>111</v>
      </c>
      <c r="R125" s="115">
        <f>IFERROR(VLOOKUP($B125,MMWR_TRAD_AGG_STATE_PEN[],R$1,0),"ERROR")</f>
        <v>253</v>
      </c>
      <c r="S125" s="115">
        <f>IFERROR(VLOOKUP($B125,MMWR_APP_STATE_PEN[],S$1,0),"ERROR")</f>
        <v>155</v>
      </c>
      <c r="T125" s="28"/>
    </row>
    <row r="126" spans="1:20" s="123" customFormat="1" x14ac:dyDescent="0.2">
      <c r="A126" s="28"/>
      <c r="B126" s="127" t="s">
        <v>391</v>
      </c>
      <c r="C126" s="109">
        <f>IFERROR(VLOOKUP($B126,MMWR_TRAD_AGG_STATE_PEN[],C$1,0),"ERROR")</f>
        <v>293</v>
      </c>
      <c r="D126" s="110">
        <f>IFERROR(VLOOKUP($B126,MMWR_TRAD_AGG_STATE_PEN[],D$1,0),"ERROR")</f>
        <v>57.153583617700001</v>
      </c>
      <c r="E126" s="111">
        <f>IFERROR(VLOOKUP($B126,MMWR_TRAD_AGG_STATE_PEN[],E$1,0),"ERROR")</f>
        <v>658</v>
      </c>
      <c r="F126" s="112">
        <f>IFERROR(VLOOKUP($B126,MMWR_TRAD_AGG_STATE_PEN[],F$1,0),"ERROR")</f>
        <v>23</v>
      </c>
      <c r="G126" s="113">
        <f t="shared" si="12"/>
        <v>3.4954407294832825E-2</v>
      </c>
      <c r="H126" s="111">
        <f>IFERROR(VLOOKUP($B126,MMWR_TRAD_AGG_STATE_PEN[],H$1,0),"ERROR")</f>
        <v>556</v>
      </c>
      <c r="I126" s="112">
        <f>IFERROR(VLOOKUP($B126,MMWR_TRAD_AGG_STATE_PEN[],I$1,0),"ERROR")</f>
        <v>52</v>
      </c>
      <c r="J126" s="114">
        <f t="shared" si="13"/>
        <v>9.3525179856115109E-2</v>
      </c>
      <c r="K126" s="111">
        <f>IFERROR(VLOOKUP($B126,MMWR_TRAD_AGG_STATE_PEN[],K$1,0),"ERROR")</f>
        <v>4</v>
      </c>
      <c r="L126" s="112">
        <f>IFERROR(VLOOKUP($B126,MMWR_TRAD_AGG_STATE_PEN[],L$1,0),"ERROR")</f>
        <v>4</v>
      </c>
      <c r="M126" s="114">
        <f t="shared" si="14"/>
        <v>1</v>
      </c>
      <c r="N126" s="111">
        <f>IFERROR(VLOOKUP($B126,MMWR_TRAD_AGG_STATE_PEN[],N$1,0),"ERROR")</f>
        <v>42</v>
      </c>
      <c r="O126" s="112">
        <f>IFERROR(VLOOKUP($B126,MMWR_TRAD_AGG_STATE_PEN[],O$1,0),"ERROR")</f>
        <v>14</v>
      </c>
      <c r="P126" s="114">
        <f t="shared" si="15"/>
        <v>0.33333333333333331</v>
      </c>
      <c r="Q126" s="115">
        <f>IFERROR(VLOOKUP($B126,MMWR_TRAD_AGG_STATE_PEN[],Q$1,0),"ERROR")</f>
        <v>359</v>
      </c>
      <c r="R126" s="115">
        <f>IFERROR(VLOOKUP($B126,MMWR_TRAD_AGG_STATE_PEN[],R$1,0),"ERROR")</f>
        <v>61</v>
      </c>
      <c r="S126" s="115">
        <f>IFERROR(VLOOKUP($B126,MMWR_APP_STATE_PEN[],S$1,0),"ERROR")</f>
        <v>204</v>
      </c>
      <c r="T126" s="28"/>
    </row>
    <row r="127" spans="1:20" s="123" customFormat="1" x14ac:dyDescent="0.2">
      <c r="A127" s="28"/>
      <c r="B127" s="128" t="s">
        <v>8</v>
      </c>
      <c r="C127" s="102">
        <f>IFERROR(VLOOKUP($B127,MMWR_TRAD_AGG_ST_DISTRICT_PEN[],C$1,0),"ERROR")</f>
        <v>153</v>
      </c>
      <c r="D127" s="103">
        <f>IFERROR(VLOOKUP($B127,MMWR_TRAD_AGG_ST_DISTRICT_PEN[],D$1,0),"ERROR")</f>
        <v>108.45098039219999</v>
      </c>
      <c r="E127" s="102">
        <f>IFERROR(VLOOKUP($B127,MMWR_TRAD_AGG_ST_DISTRICT_PEN[],E$1,0),"ERROR")</f>
        <v>178</v>
      </c>
      <c r="F127" s="102">
        <f>IFERROR(VLOOKUP($B127,MMWR_TRAD_AGG_ST_DISTRICT_PEN[],F$1,0),"ERROR")</f>
        <v>73</v>
      </c>
      <c r="G127" s="104">
        <f t="shared" si="12"/>
        <v>0.4101123595505618</v>
      </c>
      <c r="H127" s="102">
        <f>IFERROR(VLOOKUP($B127,MMWR_TRAD_AGG_ST_DISTRICT_PEN[],H$1,0),"ERROR")</f>
        <v>324</v>
      </c>
      <c r="I127" s="102">
        <f>IFERROR(VLOOKUP($B127,MMWR_TRAD_AGG_ST_DISTRICT_PEN[],I$1,0),"ERROR")</f>
        <v>154</v>
      </c>
      <c r="J127" s="104">
        <f t="shared" si="13"/>
        <v>0.47530864197530864</v>
      </c>
      <c r="K127" s="102">
        <f>IFERROR(VLOOKUP($B127,MMWR_TRAD_AGG_ST_DISTRICT_PEN[],K$1,0),"ERROR")</f>
        <v>16</v>
      </c>
      <c r="L127" s="102">
        <f>IFERROR(VLOOKUP($B127,MMWR_TRAD_AGG_ST_DISTRICT_PEN[],L$1,0),"ERROR")</f>
        <v>14</v>
      </c>
      <c r="M127" s="104">
        <f t="shared" si="14"/>
        <v>0.875</v>
      </c>
      <c r="N127" s="102">
        <f>IFERROR(VLOOKUP($B127,MMWR_TRAD_AGG_ST_DISTRICT_PEN[],N$1,0),"ERROR")</f>
        <v>18</v>
      </c>
      <c r="O127" s="102">
        <f>IFERROR(VLOOKUP($B127,MMWR_TRAD_AGG_ST_DISTRICT_PEN[],O$1,0),"ERROR")</f>
        <v>10</v>
      </c>
      <c r="P127" s="104">
        <f t="shared" si="15"/>
        <v>0.55555555555555558</v>
      </c>
      <c r="Q127" s="102">
        <f>IFERROR(VLOOKUP($B127,MMWR_TRAD_AGG_ST_DISTRICT_PEN[],Q$1,0),"ERROR")</f>
        <v>63</v>
      </c>
      <c r="R127" s="106">
        <f>IFERROR(VLOOKUP($B127,MMWR_TRAD_AGG_ST_DISTRICT_PEN[],R$1,0),"ERROR")</f>
        <v>16</v>
      </c>
      <c r="S127" s="106">
        <f>IFERROR(VLOOKUP($B127,MMWR_APP_STATE_PEN[],S$1,0),"ERROR")</f>
        <v>4</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660</v>
      </c>
      <c r="C2" t="s">
        <v>463</v>
      </c>
      <c r="D2" t="s">
        <v>465</v>
      </c>
      <c r="F2" t="s">
        <v>659</v>
      </c>
      <c r="G2" t="s">
        <v>312</v>
      </c>
      <c r="H2" t="s">
        <v>139</v>
      </c>
      <c r="I2" t="s">
        <v>220</v>
      </c>
      <c r="J2" t="s">
        <v>221</v>
      </c>
      <c r="K2" t="s">
        <v>222</v>
      </c>
      <c r="L2" t="s">
        <v>223</v>
      </c>
      <c r="M2" t="s">
        <v>224</v>
      </c>
      <c r="N2" t="s">
        <v>225</v>
      </c>
      <c r="O2" t="s">
        <v>226</v>
      </c>
      <c r="P2" t="s">
        <v>227</v>
      </c>
      <c r="Q2" t="s">
        <v>228</v>
      </c>
      <c r="R2" t="s">
        <v>229</v>
      </c>
      <c r="T2" t="s">
        <v>658</v>
      </c>
      <c r="U2" t="s">
        <v>312</v>
      </c>
      <c r="V2" t="s">
        <v>139</v>
      </c>
      <c r="W2" t="s">
        <v>220</v>
      </c>
      <c r="X2" t="s">
        <v>466</v>
      </c>
      <c r="Y2" t="s">
        <v>222</v>
      </c>
      <c r="Z2" t="s">
        <v>223</v>
      </c>
      <c r="AA2" t="s">
        <v>224</v>
      </c>
      <c r="AB2" t="s">
        <v>467</v>
      </c>
      <c r="AC2" t="s">
        <v>226</v>
      </c>
      <c r="AD2" t="s">
        <v>227</v>
      </c>
      <c r="AE2" t="s">
        <v>228</v>
      </c>
      <c r="AF2" t="s">
        <v>229</v>
      </c>
      <c r="AH2" t="s">
        <v>657</v>
      </c>
      <c r="AI2" t="s">
        <v>312</v>
      </c>
      <c r="AJ2" t="s">
        <v>139</v>
      </c>
      <c r="AK2" t="s">
        <v>220</v>
      </c>
      <c r="AL2" t="s">
        <v>221</v>
      </c>
      <c r="AM2" t="s">
        <v>222</v>
      </c>
      <c r="AN2" t="s">
        <v>223</v>
      </c>
      <c r="AO2" t="s">
        <v>224</v>
      </c>
      <c r="AP2" t="s">
        <v>225</v>
      </c>
      <c r="AQ2" t="s">
        <v>226</v>
      </c>
      <c r="AR2" t="s">
        <v>227</v>
      </c>
      <c r="AS2" t="s">
        <v>228</v>
      </c>
      <c r="AT2" t="s">
        <v>229</v>
      </c>
      <c r="AV2" t="s">
        <v>656</v>
      </c>
      <c r="AW2" t="s">
        <v>312</v>
      </c>
      <c r="AX2" t="s">
        <v>139</v>
      </c>
      <c r="AY2" t="s">
        <v>220</v>
      </c>
      <c r="AZ2" t="s">
        <v>466</v>
      </c>
      <c r="BA2" t="s">
        <v>222</v>
      </c>
      <c r="BB2" t="s">
        <v>223</v>
      </c>
      <c r="BC2" t="s">
        <v>224</v>
      </c>
      <c r="BD2" t="s">
        <v>467</v>
      </c>
      <c r="BE2" t="s">
        <v>226</v>
      </c>
      <c r="BF2" t="s">
        <v>227</v>
      </c>
      <c r="BG2" t="s">
        <v>228</v>
      </c>
      <c r="BH2" t="s">
        <v>229</v>
      </c>
      <c r="BJ2" t="s">
        <v>718</v>
      </c>
      <c r="BK2" t="s">
        <v>737</v>
      </c>
      <c r="BL2" t="s">
        <v>706</v>
      </c>
      <c r="BM2" t="s">
        <v>707</v>
      </c>
      <c r="BN2" t="s">
        <v>708</v>
      </c>
      <c r="BO2" t="s">
        <v>709</v>
      </c>
      <c r="BP2" t="s">
        <v>710</v>
      </c>
      <c r="BQ2" t="s">
        <v>719</v>
      </c>
      <c r="BR2" t="s">
        <v>720</v>
      </c>
      <c r="BS2" t="s">
        <v>711</v>
      </c>
      <c r="BT2" t="s">
        <v>712</v>
      </c>
      <c r="BU2" t="s">
        <v>713</v>
      </c>
      <c r="BV2" t="s">
        <v>714</v>
      </c>
      <c r="BW2" t="s">
        <v>715</v>
      </c>
      <c r="BX2" t="s">
        <v>716</v>
      </c>
      <c r="BY2" t="s">
        <v>717</v>
      </c>
      <c r="CA2" t="s">
        <v>1038</v>
      </c>
      <c r="CB2" t="s">
        <v>742</v>
      </c>
      <c r="CC2" t="s">
        <v>743</v>
      </c>
      <c r="CD2" t="s">
        <v>721</v>
      </c>
      <c r="CE2" t="s">
        <v>722</v>
      </c>
      <c r="CF2" t="s">
        <v>723</v>
      </c>
      <c r="CG2" t="s">
        <v>724</v>
      </c>
      <c r="CH2" t="s">
        <v>725</v>
      </c>
      <c r="CI2" t="s">
        <v>726</v>
      </c>
      <c r="CJ2" t="s">
        <v>727</v>
      </c>
      <c r="CL2" t="s">
        <v>1039</v>
      </c>
      <c r="CM2" t="s">
        <v>742</v>
      </c>
      <c r="CN2" t="s">
        <v>743</v>
      </c>
      <c r="CO2" t="s">
        <v>721</v>
      </c>
      <c r="CP2" t="s">
        <v>722</v>
      </c>
      <c r="CQ2" t="s">
        <v>723</v>
      </c>
      <c r="CR2" t="s">
        <v>724</v>
      </c>
      <c r="CS2" t="s">
        <v>725</v>
      </c>
      <c r="CT2" t="s">
        <v>726</v>
      </c>
      <c r="CU2" t="s">
        <v>727</v>
      </c>
      <c r="CW2" t="s">
        <v>1040</v>
      </c>
      <c r="CX2" t="s">
        <v>742</v>
      </c>
      <c r="CY2" t="s">
        <v>743</v>
      </c>
      <c r="CZ2" t="s">
        <v>721</v>
      </c>
      <c r="DA2" t="s">
        <v>722</v>
      </c>
      <c r="DB2" t="s">
        <v>723</v>
      </c>
      <c r="DC2" t="s">
        <v>724</v>
      </c>
      <c r="DD2" t="s">
        <v>725</v>
      </c>
      <c r="DE2" t="s">
        <v>726</v>
      </c>
      <c r="DF2" t="s">
        <v>727</v>
      </c>
      <c r="DH2" t="s">
        <v>1041</v>
      </c>
      <c r="DI2" t="s">
        <v>742</v>
      </c>
      <c r="DJ2" t="s">
        <v>743</v>
      </c>
      <c r="DK2" t="s">
        <v>721</v>
      </c>
      <c r="DL2" t="s">
        <v>722</v>
      </c>
      <c r="DM2" t="s">
        <v>723</v>
      </c>
      <c r="DN2" t="s">
        <v>724</v>
      </c>
      <c r="DO2" t="s">
        <v>725</v>
      </c>
      <c r="DP2" t="s">
        <v>726</v>
      </c>
      <c r="DQ2" t="s">
        <v>727</v>
      </c>
    </row>
    <row r="3" spans="2:121" x14ac:dyDescent="0.2">
      <c r="C3">
        <v>363273</v>
      </c>
      <c r="D3">
        <v>274854</v>
      </c>
      <c r="F3" t="s">
        <v>34</v>
      </c>
      <c r="G3">
        <v>1271</v>
      </c>
      <c r="H3">
        <v>116.4720692368</v>
      </c>
      <c r="I3">
        <v>3008</v>
      </c>
      <c r="J3">
        <v>666</v>
      </c>
      <c r="K3">
        <v>1842</v>
      </c>
      <c r="L3">
        <v>657</v>
      </c>
      <c r="M3">
        <v>209</v>
      </c>
      <c r="N3">
        <v>107</v>
      </c>
      <c r="O3">
        <v>341</v>
      </c>
      <c r="P3">
        <v>169</v>
      </c>
      <c r="Q3">
        <v>0</v>
      </c>
      <c r="R3">
        <v>20</v>
      </c>
      <c r="T3" t="s">
        <v>215</v>
      </c>
      <c r="U3">
        <v>2975</v>
      </c>
      <c r="V3">
        <v>63.097815126100002</v>
      </c>
      <c r="W3">
        <v>7139</v>
      </c>
      <c r="X3">
        <v>389</v>
      </c>
      <c r="Y3">
        <v>5630</v>
      </c>
      <c r="Z3">
        <v>326</v>
      </c>
      <c r="AA3">
        <v>10</v>
      </c>
      <c r="AB3">
        <v>10</v>
      </c>
      <c r="AC3">
        <v>316</v>
      </c>
      <c r="AD3">
        <v>42</v>
      </c>
      <c r="AE3">
        <v>4077</v>
      </c>
      <c r="AF3">
        <v>511</v>
      </c>
      <c r="AH3" t="s">
        <v>395</v>
      </c>
      <c r="AI3">
        <v>13940</v>
      </c>
      <c r="AJ3">
        <v>372.38335724529998</v>
      </c>
      <c r="AK3">
        <v>8338</v>
      </c>
      <c r="AL3">
        <v>1088</v>
      </c>
      <c r="AM3">
        <v>16613</v>
      </c>
      <c r="AN3">
        <v>11813</v>
      </c>
      <c r="AO3">
        <v>4263</v>
      </c>
      <c r="AP3">
        <v>3893</v>
      </c>
      <c r="AQ3">
        <v>3006</v>
      </c>
      <c r="AR3">
        <v>1829</v>
      </c>
      <c r="AS3">
        <v>97</v>
      </c>
      <c r="AT3">
        <v>371</v>
      </c>
      <c r="AV3" t="s">
        <v>420</v>
      </c>
      <c r="AW3">
        <v>68</v>
      </c>
      <c r="AX3">
        <v>51.764705882400001</v>
      </c>
      <c r="AY3">
        <v>184</v>
      </c>
      <c r="AZ3">
        <v>9</v>
      </c>
      <c r="BA3">
        <v>110</v>
      </c>
      <c r="BB3">
        <v>11</v>
      </c>
      <c r="BC3">
        <v>0</v>
      </c>
      <c r="BE3">
        <v>5</v>
      </c>
      <c r="BF3">
        <v>4</v>
      </c>
      <c r="BG3">
        <v>104</v>
      </c>
      <c r="BH3">
        <v>22</v>
      </c>
      <c r="BJ3" t="s">
        <v>735</v>
      </c>
      <c r="BK3" t="s">
        <v>738</v>
      </c>
      <c r="BL3">
        <v>325890</v>
      </c>
      <c r="BM3">
        <v>69446</v>
      </c>
      <c r="BN3">
        <v>95.979462395300004</v>
      </c>
      <c r="BO3">
        <v>7725</v>
      </c>
      <c r="BP3">
        <v>7725</v>
      </c>
      <c r="BQ3">
        <v>135.94796116500001</v>
      </c>
      <c r="BR3">
        <v>135.94796116500001</v>
      </c>
      <c r="BS3">
        <v>325890</v>
      </c>
      <c r="BT3">
        <v>69446</v>
      </c>
      <c r="BU3">
        <v>95.979462395300004</v>
      </c>
      <c r="BV3">
        <v>7725</v>
      </c>
      <c r="BW3">
        <v>7725</v>
      </c>
      <c r="BX3">
        <v>135.94796116500001</v>
      </c>
      <c r="BY3">
        <v>135.94796116500001</v>
      </c>
      <c r="CA3" t="s">
        <v>1044</v>
      </c>
      <c r="CB3" t="s">
        <v>738</v>
      </c>
      <c r="CC3" t="s">
        <v>924</v>
      </c>
      <c r="CD3">
        <v>11665</v>
      </c>
      <c r="CE3">
        <v>690</v>
      </c>
      <c r="CF3">
        <v>61.260008572700002</v>
      </c>
      <c r="CG3">
        <v>188</v>
      </c>
      <c r="CH3">
        <v>188</v>
      </c>
      <c r="CI3">
        <v>128.61702127660001</v>
      </c>
      <c r="CJ3">
        <v>128.61702127660001</v>
      </c>
      <c r="CL3" t="s">
        <v>1044</v>
      </c>
      <c r="CM3" t="s">
        <v>738</v>
      </c>
      <c r="CN3" t="s">
        <v>924</v>
      </c>
      <c r="CO3">
        <v>11665</v>
      </c>
      <c r="CP3">
        <v>690</v>
      </c>
      <c r="CQ3">
        <v>61.260008572700002</v>
      </c>
      <c r="CR3">
        <v>188</v>
      </c>
      <c r="CS3">
        <v>188</v>
      </c>
      <c r="CT3">
        <v>128.61702127660001</v>
      </c>
      <c r="CU3">
        <v>128.61702127660001</v>
      </c>
      <c r="CW3" t="s">
        <v>1044</v>
      </c>
      <c r="CX3" t="s">
        <v>738</v>
      </c>
      <c r="CY3" t="s">
        <v>924</v>
      </c>
      <c r="CZ3">
        <v>11665</v>
      </c>
      <c r="DA3">
        <v>690</v>
      </c>
      <c r="DB3">
        <v>61.260008572700002</v>
      </c>
      <c r="DC3">
        <v>188</v>
      </c>
      <c r="DD3">
        <v>188</v>
      </c>
      <c r="DE3">
        <v>128.61702127660001</v>
      </c>
      <c r="DF3">
        <v>128.61702127660001</v>
      </c>
      <c r="DH3" t="s">
        <v>1044</v>
      </c>
      <c r="DI3" t="s">
        <v>738</v>
      </c>
      <c r="DJ3" t="s">
        <v>924</v>
      </c>
      <c r="DK3">
        <v>11665</v>
      </c>
      <c r="DL3">
        <v>690</v>
      </c>
      <c r="DM3">
        <v>61.260008572700002</v>
      </c>
      <c r="DN3">
        <v>188</v>
      </c>
      <c r="DO3">
        <v>188</v>
      </c>
      <c r="DP3">
        <v>128.61702127660001</v>
      </c>
      <c r="DQ3">
        <v>128.61702127660001</v>
      </c>
    </row>
    <row r="4" spans="2:121" x14ac:dyDescent="0.2">
      <c r="B4" t="s">
        <v>101</v>
      </c>
      <c r="C4">
        <v>122580</v>
      </c>
      <c r="D4">
        <v>95793</v>
      </c>
      <c r="F4" t="s">
        <v>80</v>
      </c>
      <c r="G4">
        <v>15141</v>
      </c>
      <c r="H4">
        <v>294.96942077800003</v>
      </c>
      <c r="I4">
        <v>21551</v>
      </c>
      <c r="J4">
        <v>5357</v>
      </c>
      <c r="K4">
        <v>18714</v>
      </c>
      <c r="L4">
        <v>11116</v>
      </c>
      <c r="M4">
        <v>2502</v>
      </c>
      <c r="N4">
        <v>1658</v>
      </c>
      <c r="O4">
        <v>9719</v>
      </c>
      <c r="P4">
        <v>5799</v>
      </c>
      <c r="Q4">
        <v>14</v>
      </c>
      <c r="R4">
        <v>250</v>
      </c>
      <c r="T4" t="s">
        <v>230</v>
      </c>
      <c r="U4">
        <v>0</v>
      </c>
      <c r="W4">
        <v>243</v>
      </c>
      <c r="X4">
        <v>85</v>
      </c>
      <c r="Y4">
        <v>775</v>
      </c>
      <c r="Z4">
        <v>638</v>
      </c>
      <c r="AA4">
        <v>260</v>
      </c>
      <c r="AB4">
        <v>256</v>
      </c>
      <c r="AC4">
        <v>274</v>
      </c>
      <c r="AD4">
        <v>227</v>
      </c>
      <c r="AE4">
        <v>116</v>
      </c>
      <c r="AF4">
        <v>0</v>
      </c>
      <c r="AH4" t="s">
        <v>431</v>
      </c>
      <c r="AI4">
        <v>2069</v>
      </c>
      <c r="AJ4">
        <v>438.04011599810002</v>
      </c>
      <c r="AK4">
        <v>1046</v>
      </c>
      <c r="AL4">
        <v>88</v>
      </c>
      <c r="AM4">
        <v>2874</v>
      </c>
      <c r="AN4">
        <v>1921</v>
      </c>
      <c r="AO4">
        <v>1564</v>
      </c>
      <c r="AP4">
        <v>1461</v>
      </c>
      <c r="AQ4">
        <v>400</v>
      </c>
      <c r="AR4">
        <v>180</v>
      </c>
      <c r="AS4">
        <v>2</v>
      </c>
      <c r="AT4">
        <v>3</v>
      </c>
      <c r="AV4" t="s">
        <v>434</v>
      </c>
      <c r="AW4">
        <v>980</v>
      </c>
      <c r="AX4">
        <v>117.68979591839999</v>
      </c>
      <c r="AY4">
        <v>449</v>
      </c>
      <c r="AZ4">
        <v>129</v>
      </c>
      <c r="BA4">
        <v>1743</v>
      </c>
      <c r="BB4">
        <v>589</v>
      </c>
      <c r="BC4">
        <v>27</v>
      </c>
      <c r="BD4">
        <v>19</v>
      </c>
      <c r="BE4">
        <v>41</v>
      </c>
      <c r="BF4">
        <v>25</v>
      </c>
      <c r="BG4">
        <v>69</v>
      </c>
      <c r="BH4">
        <v>110</v>
      </c>
      <c r="BJ4" t="s">
        <v>644</v>
      </c>
      <c r="BK4" t="s">
        <v>392</v>
      </c>
      <c r="BL4">
        <v>849</v>
      </c>
      <c r="BM4">
        <v>139</v>
      </c>
      <c r="BN4">
        <v>76.608951707900005</v>
      </c>
      <c r="BO4">
        <v>16</v>
      </c>
      <c r="BP4">
        <v>16</v>
      </c>
      <c r="BQ4">
        <v>189.875</v>
      </c>
      <c r="BR4">
        <v>189.875</v>
      </c>
      <c r="BS4">
        <v>1006</v>
      </c>
      <c r="BT4">
        <v>194</v>
      </c>
      <c r="BU4">
        <v>83.3896620278</v>
      </c>
      <c r="BV4">
        <v>15</v>
      </c>
      <c r="BW4">
        <v>15</v>
      </c>
      <c r="BX4">
        <v>131.9333333333</v>
      </c>
      <c r="BY4">
        <v>131.9333333333</v>
      </c>
      <c r="CA4" t="s">
        <v>1043</v>
      </c>
      <c r="CB4" t="s">
        <v>738</v>
      </c>
      <c r="CC4" t="s">
        <v>924</v>
      </c>
      <c r="CD4">
        <v>325890</v>
      </c>
      <c r="CE4">
        <v>69446</v>
      </c>
      <c r="CF4">
        <v>95.979462395300004</v>
      </c>
      <c r="CG4">
        <v>7725</v>
      </c>
      <c r="CH4">
        <v>7725</v>
      </c>
      <c r="CI4">
        <v>135.94796116500001</v>
      </c>
      <c r="CJ4">
        <v>135.94796116500001</v>
      </c>
      <c r="CL4" t="s">
        <v>1043</v>
      </c>
      <c r="CM4" t="s">
        <v>738</v>
      </c>
      <c r="CN4" t="s">
        <v>924</v>
      </c>
      <c r="CO4">
        <v>325890</v>
      </c>
      <c r="CP4">
        <v>69446</v>
      </c>
      <c r="CQ4">
        <v>95.979462395300004</v>
      </c>
      <c r="CR4">
        <v>7725</v>
      </c>
      <c r="CS4">
        <v>7725</v>
      </c>
      <c r="CT4">
        <v>135.94796116500001</v>
      </c>
      <c r="CU4">
        <v>135.94796116500001</v>
      </c>
      <c r="CW4" t="s">
        <v>1043</v>
      </c>
      <c r="CX4" t="s">
        <v>738</v>
      </c>
      <c r="CY4" t="s">
        <v>924</v>
      </c>
      <c r="CZ4">
        <v>325890</v>
      </c>
      <c r="DA4">
        <v>69446</v>
      </c>
      <c r="DB4">
        <v>95.979462395300004</v>
      </c>
      <c r="DC4">
        <v>7725</v>
      </c>
      <c r="DD4">
        <v>7725</v>
      </c>
      <c r="DE4">
        <v>135.94796116500001</v>
      </c>
      <c r="DF4">
        <v>135.94796116500001</v>
      </c>
      <c r="DH4" t="s">
        <v>1043</v>
      </c>
      <c r="DI4" t="s">
        <v>738</v>
      </c>
      <c r="DJ4" t="s">
        <v>924</v>
      </c>
      <c r="DK4">
        <v>325890</v>
      </c>
      <c r="DL4">
        <v>69446</v>
      </c>
      <c r="DM4">
        <v>95.979462395300004</v>
      </c>
      <c r="DN4">
        <v>7725</v>
      </c>
      <c r="DO4">
        <v>7725</v>
      </c>
      <c r="DP4">
        <v>135.94796116500001</v>
      </c>
      <c r="DQ4">
        <v>135.94796116500001</v>
      </c>
    </row>
    <row r="5" spans="2:121" x14ac:dyDescent="0.2">
      <c r="B5" t="s">
        <v>113</v>
      </c>
      <c r="C5">
        <v>88939</v>
      </c>
      <c r="D5">
        <v>55648</v>
      </c>
      <c r="F5" t="s">
        <v>187</v>
      </c>
      <c r="G5">
        <v>760</v>
      </c>
      <c r="H5">
        <v>179.7105263158</v>
      </c>
      <c r="I5">
        <v>879</v>
      </c>
      <c r="J5">
        <v>68</v>
      </c>
      <c r="K5">
        <v>1163</v>
      </c>
      <c r="L5">
        <v>453</v>
      </c>
      <c r="M5">
        <v>303</v>
      </c>
      <c r="N5">
        <v>163</v>
      </c>
      <c r="O5">
        <v>83</v>
      </c>
      <c r="P5">
        <v>21</v>
      </c>
      <c r="Q5">
        <v>0</v>
      </c>
      <c r="R5">
        <v>2</v>
      </c>
      <c r="T5" t="s">
        <v>216</v>
      </c>
      <c r="U5">
        <v>11719</v>
      </c>
      <c r="V5">
        <v>109.4938987968</v>
      </c>
      <c r="W5">
        <v>12852</v>
      </c>
      <c r="X5">
        <v>3421</v>
      </c>
      <c r="Y5">
        <v>18112</v>
      </c>
      <c r="Z5">
        <v>5506</v>
      </c>
      <c r="AA5">
        <v>389</v>
      </c>
      <c r="AB5">
        <v>365</v>
      </c>
      <c r="AC5">
        <v>1159</v>
      </c>
      <c r="AD5">
        <v>336</v>
      </c>
      <c r="AE5">
        <v>1360</v>
      </c>
      <c r="AF5">
        <v>3752</v>
      </c>
      <c r="AH5" t="s">
        <v>433</v>
      </c>
      <c r="AI5">
        <v>7046</v>
      </c>
      <c r="AJ5">
        <v>303.12177121769997</v>
      </c>
      <c r="AK5">
        <v>6378</v>
      </c>
      <c r="AL5">
        <v>1121</v>
      </c>
      <c r="AM5">
        <v>9483</v>
      </c>
      <c r="AN5">
        <v>5588</v>
      </c>
      <c r="AO5">
        <v>686</v>
      </c>
      <c r="AP5">
        <v>544</v>
      </c>
      <c r="AQ5">
        <v>3108</v>
      </c>
      <c r="AR5">
        <v>2229</v>
      </c>
      <c r="AS5">
        <v>5</v>
      </c>
      <c r="AT5">
        <v>77</v>
      </c>
      <c r="AV5" t="s">
        <v>407</v>
      </c>
      <c r="AW5">
        <v>26</v>
      </c>
      <c r="AX5">
        <v>28.692307692300002</v>
      </c>
      <c r="AY5">
        <v>76</v>
      </c>
      <c r="AZ5">
        <v>3</v>
      </c>
      <c r="BA5">
        <v>52</v>
      </c>
      <c r="BB5">
        <v>1</v>
      </c>
      <c r="BC5">
        <v>0</v>
      </c>
      <c r="BE5">
        <v>1</v>
      </c>
      <c r="BF5">
        <v>1</v>
      </c>
      <c r="BG5">
        <v>143</v>
      </c>
      <c r="BH5">
        <v>9</v>
      </c>
      <c r="BJ5" t="s">
        <v>392</v>
      </c>
      <c r="BK5" t="s">
        <v>392</v>
      </c>
      <c r="BL5">
        <v>66251</v>
      </c>
      <c r="BM5">
        <v>13241</v>
      </c>
      <c r="BN5">
        <v>96.356870084999997</v>
      </c>
      <c r="BO5">
        <v>1307</v>
      </c>
      <c r="BP5">
        <v>1307</v>
      </c>
      <c r="BQ5">
        <v>155.53634276970001</v>
      </c>
      <c r="BR5">
        <v>155.53634276970001</v>
      </c>
      <c r="BS5">
        <v>65220</v>
      </c>
      <c r="BT5">
        <v>13147</v>
      </c>
      <c r="BU5">
        <v>95.746810794200002</v>
      </c>
      <c r="BV5">
        <v>1277</v>
      </c>
      <c r="BW5">
        <v>1277</v>
      </c>
      <c r="BX5">
        <v>152.60140955360001</v>
      </c>
      <c r="BY5">
        <v>152.60140955360001</v>
      </c>
      <c r="CA5" t="s">
        <v>1045</v>
      </c>
      <c r="CB5" t="s">
        <v>738</v>
      </c>
      <c r="CC5" t="s">
        <v>924</v>
      </c>
      <c r="CD5">
        <v>21351</v>
      </c>
      <c r="CE5">
        <v>1684</v>
      </c>
      <c r="CF5">
        <v>59.325980047800002</v>
      </c>
      <c r="CG5">
        <v>773</v>
      </c>
      <c r="CH5">
        <v>773</v>
      </c>
      <c r="CI5">
        <v>59.126778784000003</v>
      </c>
      <c r="CJ5">
        <v>59.126778784000003</v>
      </c>
      <c r="CL5" t="s">
        <v>1045</v>
      </c>
      <c r="CM5" t="s">
        <v>738</v>
      </c>
      <c r="CN5" t="s">
        <v>924</v>
      </c>
      <c r="CO5">
        <v>21351</v>
      </c>
      <c r="CP5">
        <v>1684</v>
      </c>
      <c r="CQ5">
        <v>59.325980047800002</v>
      </c>
      <c r="CR5">
        <v>773</v>
      </c>
      <c r="CS5">
        <v>773</v>
      </c>
      <c r="CT5">
        <v>59.126778784000003</v>
      </c>
      <c r="CU5">
        <v>59.126778784000003</v>
      </c>
      <c r="CW5" t="s">
        <v>1045</v>
      </c>
      <c r="CX5" t="s">
        <v>738</v>
      </c>
      <c r="CY5" t="s">
        <v>924</v>
      </c>
      <c r="CZ5">
        <v>21351</v>
      </c>
      <c r="DA5">
        <v>1684</v>
      </c>
      <c r="DB5">
        <v>59.325980047800002</v>
      </c>
      <c r="DC5">
        <v>773</v>
      </c>
      <c r="DD5">
        <v>773</v>
      </c>
      <c r="DE5">
        <v>59.126778784000003</v>
      </c>
      <c r="DF5">
        <v>59.126778784000003</v>
      </c>
      <c r="DH5" t="s">
        <v>1045</v>
      </c>
      <c r="DI5" t="s">
        <v>738</v>
      </c>
      <c r="DJ5" t="s">
        <v>924</v>
      </c>
      <c r="DK5">
        <v>21351</v>
      </c>
      <c r="DL5">
        <v>1684</v>
      </c>
      <c r="DM5">
        <v>59.325980047800002</v>
      </c>
      <c r="DN5">
        <v>773</v>
      </c>
      <c r="DO5">
        <v>773</v>
      </c>
      <c r="DP5">
        <v>59.126778784000003</v>
      </c>
      <c r="DQ5">
        <v>59.126778784000003</v>
      </c>
    </row>
    <row r="6" spans="2:121" x14ac:dyDescent="0.2">
      <c r="B6" t="s">
        <v>93</v>
      </c>
      <c r="C6">
        <v>6863</v>
      </c>
      <c r="D6">
        <v>1014</v>
      </c>
      <c r="F6" t="s">
        <v>54</v>
      </c>
      <c r="G6">
        <v>4686</v>
      </c>
      <c r="H6">
        <v>332.32373026030001</v>
      </c>
      <c r="I6">
        <v>3518</v>
      </c>
      <c r="J6">
        <v>417</v>
      </c>
      <c r="K6">
        <v>8087</v>
      </c>
      <c r="L6">
        <v>4024</v>
      </c>
      <c r="M6">
        <v>3388</v>
      </c>
      <c r="N6">
        <v>3243</v>
      </c>
      <c r="O6">
        <v>999</v>
      </c>
      <c r="P6">
        <v>364</v>
      </c>
      <c r="Q6">
        <v>1</v>
      </c>
      <c r="R6">
        <v>161</v>
      </c>
      <c r="T6" t="s">
        <v>218</v>
      </c>
      <c r="U6">
        <v>1783</v>
      </c>
      <c r="V6">
        <v>36.019068984900002</v>
      </c>
      <c r="W6">
        <v>6946</v>
      </c>
      <c r="X6">
        <v>174</v>
      </c>
      <c r="Y6">
        <v>3234</v>
      </c>
      <c r="Z6">
        <v>31</v>
      </c>
      <c r="AA6">
        <v>27</v>
      </c>
      <c r="AB6">
        <v>1</v>
      </c>
      <c r="AC6">
        <v>93</v>
      </c>
      <c r="AD6">
        <v>25</v>
      </c>
      <c r="AE6">
        <v>4673</v>
      </c>
      <c r="AF6">
        <v>923</v>
      </c>
      <c r="AH6" t="s">
        <v>418</v>
      </c>
      <c r="AI6">
        <v>5298</v>
      </c>
      <c r="AJ6">
        <v>343.93922234809997</v>
      </c>
      <c r="AK6">
        <v>3788</v>
      </c>
      <c r="AL6">
        <v>466</v>
      </c>
      <c r="AM6">
        <v>7286</v>
      </c>
      <c r="AN6">
        <v>4487</v>
      </c>
      <c r="AO6">
        <v>1889</v>
      </c>
      <c r="AP6">
        <v>1775</v>
      </c>
      <c r="AQ6">
        <v>1503</v>
      </c>
      <c r="AR6">
        <v>556</v>
      </c>
      <c r="AS6">
        <v>83</v>
      </c>
      <c r="AT6">
        <v>157</v>
      </c>
      <c r="AV6" t="s">
        <v>427</v>
      </c>
      <c r="AW6">
        <v>12</v>
      </c>
      <c r="AX6">
        <v>33.083333333299997</v>
      </c>
      <c r="AY6">
        <v>53</v>
      </c>
      <c r="AZ6">
        <v>5</v>
      </c>
      <c r="BA6">
        <v>27</v>
      </c>
      <c r="BB6">
        <v>1</v>
      </c>
      <c r="BC6">
        <v>0</v>
      </c>
      <c r="BE6">
        <v>0</v>
      </c>
      <c r="BG6">
        <v>85</v>
      </c>
      <c r="BH6">
        <v>7</v>
      </c>
      <c r="BJ6" t="s">
        <v>591</v>
      </c>
      <c r="BK6" t="s">
        <v>392</v>
      </c>
      <c r="BL6">
        <v>6594</v>
      </c>
      <c r="BM6">
        <v>1671</v>
      </c>
      <c r="BN6">
        <v>104.81938125569999</v>
      </c>
      <c r="BO6">
        <v>168</v>
      </c>
      <c r="BP6">
        <v>168</v>
      </c>
      <c r="BQ6">
        <v>128.5178571429</v>
      </c>
      <c r="BR6">
        <v>128.5178571429</v>
      </c>
      <c r="BS6">
        <v>6591</v>
      </c>
      <c r="BT6">
        <v>1676</v>
      </c>
      <c r="BU6">
        <v>101.94431800940001</v>
      </c>
      <c r="BV6">
        <v>163</v>
      </c>
      <c r="BW6">
        <v>163</v>
      </c>
      <c r="BX6">
        <v>127.7116564417</v>
      </c>
      <c r="BY6">
        <v>127.7116564417</v>
      </c>
      <c r="CA6" t="s">
        <v>1046</v>
      </c>
      <c r="CB6" t="s">
        <v>738</v>
      </c>
      <c r="CC6" t="s">
        <v>924</v>
      </c>
      <c r="CD6">
        <v>9865</v>
      </c>
      <c r="CE6">
        <v>803</v>
      </c>
      <c r="CF6">
        <v>64.185098834300007</v>
      </c>
      <c r="CG6">
        <v>150</v>
      </c>
      <c r="CH6">
        <v>150</v>
      </c>
      <c r="CI6">
        <v>137.54666666669999</v>
      </c>
      <c r="CJ6">
        <v>137.54666666669999</v>
      </c>
      <c r="CL6" t="s">
        <v>1046</v>
      </c>
      <c r="CM6" t="s">
        <v>738</v>
      </c>
      <c r="CN6" t="s">
        <v>924</v>
      </c>
      <c r="CO6">
        <v>9865</v>
      </c>
      <c r="CP6">
        <v>803</v>
      </c>
      <c r="CQ6">
        <v>64.185098834300007</v>
      </c>
      <c r="CR6">
        <v>150</v>
      </c>
      <c r="CS6">
        <v>150</v>
      </c>
      <c r="CT6">
        <v>137.54666666669999</v>
      </c>
      <c r="CU6">
        <v>137.54666666669999</v>
      </c>
      <c r="CW6" t="s">
        <v>1046</v>
      </c>
      <c r="CX6" t="s">
        <v>738</v>
      </c>
      <c r="CY6" t="s">
        <v>924</v>
      </c>
      <c r="CZ6">
        <v>9865</v>
      </c>
      <c r="DA6">
        <v>803</v>
      </c>
      <c r="DB6">
        <v>64.185098834300007</v>
      </c>
      <c r="DC6">
        <v>150</v>
      </c>
      <c r="DD6">
        <v>150</v>
      </c>
      <c r="DE6">
        <v>137.54666666669999</v>
      </c>
      <c r="DF6">
        <v>137.54666666669999</v>
      </c>
      <c r="DH6" t="s">
        <v>1046</v>
      </c>
      <c r="DI6" t="s">
        <v>738</v>
      </c>
      <c r="DJ6" t="s">
        <v>924</v>
      </c>
      <c r="DK6">
        <v>9865</v>
      </c>
      <c r="DL6">
        <v>803</v>
      </c>
      <c r="DM6">
        <v>64.185098834300007</v>
      </c>
      <c r="DN6">
        <v>150</v>
      </c>
      <c r="DO6">
        <v>150</v>
      </c>
      <c r="DP6">
        <v>137.54666666669999</v>
      </c>
      <c r="DQ6">
        <v>137.54666666669999</v>
      </c>
    </row>
    <row r="7" spans="2:121" x14ac:dyDescent="0.2">
      <c r="B7" t="s">
        <v>94</v>
      </c>
      <c r="C7">
        <v>241</v>
      </c>
      <c r="D7">
        <v>16</v>
      </c>
      <c r="F7" t="s">
        <v>61</v>
      </c>
      <c r="G7">
        <v>6417</v>
      </c>
      <c r="H7">
        <v>217.3032569737</v>
      </c>
      <c r="I7">
        <v>8721</v>
      </c>
      <c r="J7">
        <v>1841</v>
      </c>
      <c r="K7">
        <v>9973</v>
      </c>
      <c r="L7">
        <v>5277</v>
      </c>
      <c r="M7">
        <v>1889</v>
      </c>
      <c r="N7">
        <v>1660</v>
      </c>
      <c r="O7">
        <v>1502</v>
      </c>
      <c r="P7">
        <v>1151</v>
      </c>
      <c r="Q7">
        <v>5</v>
      </c>
      <c r="R7">
        <v>222</v>
      </c>
      <c r="T7" t="s">
        <v>469</v>
      </c>
      <c r="U7">
        <v>16477</v>
      </c>
      <c r="V7">
        <v>93.166049645000001</v>
      </c>
      <c r="W7">
        <v>27180</v>
      </c>
      <c r="X7">
        <v>4069</v>
      </c>
      <c r="Y7">
        <v>27751</v>
      </c>
      <c r="Z7">
        <v>6501</v>
      </c>
      <c r="AA7">
        <v>686</v>
      </c>
      <c r="AB7">
        <v>632</v>
      </c>
      <c r="AC7">
        <v>1842</v>
      </c>
      <c r="AD7">
        <v>630</v>
      </c>
      <c r="AE7">
        <v>10226</v>
      </c>
      <c r="AF7">
        <v>5186</v>
      </c>
      <c r="AH7" t="s">
        <v>414</v>
      </c>
      <c r="AI7">
        <v>31222</v>
      </c>
      <c r="AJ7">
        <v>364.75104093269999</v>
      </c>
      <c r="AK7">
        <v>32347</v>
      </c>
      <c r="AL7">
        <v>6588</v>
      </c>
      <c r="AM7">
        <v>44906</v>
      </c>
      <c r="AN7">
        <v>29421</v>
      </c>
      <c r="AO7">
        <v>7554</v>
      </c>
      <c r="AP7">
        <v>6769</v>
      </c>
      <c r="AQ7">
        <v>11597</v>
      </c>
      <c r="AR7">
        <v>7305</v>
      </c>
      <c r="AS7">
        <v>46</v>
      </c>
      <c r="AT7">
        <v>163</v>
      </c>
      <c r="AV7" t="s">
        <v>395</v>
      </c>
      <c r="AW7">
        <v>392</v>
      </c>
      <c r="AX7">
        <v>72.897959183699996</v>
      </c>
      <c r="AY7">
        <v>791</v>
      </c>
      <c r="AZ7">
        <v>34</v>
      </c>
      <c r="BA7">
        <v>780</v>
      </c>
      <c r="BB7">
        <v>64</v>
      </c>
      <c r="BC7">
        <v>6</v>
      </c>
      <c r="BD7">
        <v>5</v>
      </c>
      <c r="BE7">
        <v>51</v>
      </c>
      <c r="BF7">
        <v>9</v>
      </c>
      <c r="BG7">
        <v>332</v>
      </c>
      <c r="BH7">
        <v>52</v>
      </c>
      <c r="BJ7" t="s">
        <v>638</v>
      </c>
      <c r="BK7" t="s">
        <v>392</v>
      </c>
      <c r="BL7">
        <v>920</v>
      </c>
      <c r="BM7">
        <v>67</v>
      </c>
      <c r="BN7">
        <v>60.591304347799998</v>
      </c>
      <c r="BO7">
        <v>9</v>
      </c>
      <c r="BP7">
        <v>9</v>
      </c>
      <c r="BQ7">
        <v>105.6666666667</v>
      </c>
      <c r="BR7">
        <v>105.6666666667</v>
      </c>
      <c r="BS7">
        <v>1317</v>
      </c>
      <c r="BT7">
        <v>301</v>
      </c>
      <c r="BU7">
        <v>100.9703872437</v>
      </c>
      <c r="BV7">
        <v>12</v>
      </c>
      <c r="BW7">
        <v>12</v>
      </c>
      <c r="BX7">
        <v>112.1666666667</v>
      </c>
      <c r="BY7">
        <v>112.1666666667</v>
      </c>
      <c r="CA7" t="s">
        <v>418</v>
      </c>
      <c r="CB7" t="s">
        <v>774</v>
      </c>
      <c r="CC7" t="s">
        <v>1001</v>
      </c>
      <c r="CD7">
        <v>3987</v>
      </c>
      <c r="CE7">
        <v>467</v>
      </c>
      <c r="CF7">
        <v>76.122899423099994</v>
      </c>
      <c r="CG7">
        <v>115</v>
      </c>
      <c r="CH7">
        <v>115</v>
      </c>
      <c r="CI7">
        <v>119.9130434783</v>
      </c>
      <c r="CJ7">
        <v>119.9130434783</v>
      </c>
      <c r="CL7" t="s">
        <v>418</v>
      </c>
      <c r="CM7" t="s">
        <v>755</v>
      </c>
      <c r="CN7" t="s">
        <v>754</v>
      </c>
      <c r="CO7">
        <v>251</v>
      </c>
      <c r="CP7">
        <v>15</v>
      </c>
      <c r="CQ7">
        <v>52.338645418299997</v>
      </c>
      <c r="CR7">
        <v>4</v>
      </c>
      <c r="CS7">
        <v>4</v>
      </c>
      <c r="CT7">
        <v>44.5</v>
      </c>
      <c r="CU7">
        <v>44.5</v>
      </c>
      <c r="CW7" t="s">
        <v>418</v>
      </c>
      <c r="CX7" t="s">
        <v>765</v>
      </c>
      <c r="CY7" t="s">
        <v>764</v>
      </c>
      <c r="CZ7">
        <v>46</v>
      </c>
      <c r="DA7">
        <v>3</v>
      </c>
      <c r="DB7">
        <v>60.173913043500001</v>
      </c>
      <c r="DC7">
        <v>1</v>
      </c>
      <c r="DD7">
        <v>1</v>
      </c>
      <c r="DE7">
        <v>232</v>
      </c>
      <c r="DF7">
        <v>232</v>
      </c>
      <c r="DH7" t="s">
        <v>418</v>
      </c>
      <c r="DI7" t="s">
        <v>745</v>
      </c>
      <c r="DJ7" t="s">
        <v>744</v>
      </c>
      <c r="DK7">
        <v>38</v>
      </c>
      <c r="DL7">
        <v>3</v>
      </c>
      <c r="DM7">
        <v>74.421052631600006</v>
      </c>
      <c r="DN7">
        <v>1</v>
      </c>
      <c r="DO7">
        <v>1</v>
      </c>
      <c r="DP7">
        <v>125</v>
      </c>
      <c r="DQ7">
        <v>125</v>
      </c>
    </row>
    <row r="8" spans="2:121" x14ac:dyDescent="0.2">
      <c r="B8" t="s">
        <v>103</v>
      </c>
      <c r="C8">
        <v>261</v>
      </c>
      <c r="D8">
        <v>162</v>
      </c>
      <c r="F8" t="s">
        <v>27</v>
      </c>
      <c r="G8">
        <v>1850</v>
      </c>
      <c r="H8">
        <v>97.937297297300006</v>
      </c>
      <c r="I8">
        <v>6187</v>
      </c>
      <c r="J8">
        <v>1126</v>
      </c>
      <c r="K8">
        <v>9234</v>
      </c>
      <c r="L8">
        <v>2448</v>
      </c>
      <c r="M8">
        <v>986</v>
      </c>
      <c r="N8">
        <v>477</v>
      </c>
      <c r="O8">
        <v>610</v>
      </c>
      <c r="P8">
        <v>230</v>
      </c>
      <c r="Q8">
        <v>0</v>
      </c>
      <c r="R8">
        <v>64</v>
      </c>
      <c r="AH8" t="s">
        <v>410</v>
      </c>
      <c r="AI8">
        <v>8191</v>
      </c>
      <c r="AJ8">
        <v>403.07886704920003</v>
      </c>
      <c r="AK8">
        <v>7202</v>
      </c>
      <c r="AL8">
        <v>1746</v>
      </c>
      <c r="AM8">
        <v>11031</v>
      </c>
      <c r="AN8">
        <v>7777</v>
      </c>
      <c r="AO8">
        <v>2136</v>
      </c>
      <c r="AP8">
        <v>1833</v>
      </c>
      <c r="AQ8">
        <v>3625</v>
      </c>
      <c r="AR8">
        <v>2474</v>
      </c>
      <c r="AS8">
        <v>7</v>
      </c>
      <c r="AT8">
        <v>72</v>
      </c>
      <c r="AV8" t="s">
        <v>416</v>
      </c>
      <c r="AW8">
        <v>76</v>
      </c>
      <c r="AX8">
        <v>33.986842105299999</v>
      </c>
      <c r="AY8">
        <v>290</v>
      </c>
      <c r="AZ8">
        <v>12</v>
      </c>
      <c r="BA8">
        <v>139</v>
      </c>
      <c r="BB8">
        <v>6</v>
      </c>
      <c r="BC8">
        <v>1</v>
      </c>
      <c r="BD8">
        <v>1</v>
      </c>
      <c r="BE8">
        <v>8</v>
      </c>
      <c r="BF8">
        <v>6</v>
      </c>
      <c r="BG8">
        <v>224</v>
      </c>
      <c r="BH8">
        <v>38</v>
      </c>
      <c r="BJ8" t="s">
        <v>626</v>
      </c>
      <c r="BK8" t="s">
        <v>392</v>
      </c>
      <c r="BL8">
        <v>18179</v>
      </c>
      <c r="BM8">
        <v>4215</v>
      </c>
      <c r="BN8">
        <v>104.2252599153</v>
      </c>
      <c r="BO8">
        <v>292</v>
      </c>
      <c r="BP8">
        <v>292</v>
      </c>
      <c r="BQ8">
        <v>168.64041095889999</v>
      </c>
      <c r="BR8">
        <v>168.64041095889999</v>
      </c>
      <c r="BS8">
        <v>14055</v>
      </c>
      <c r="BT8">
        <v>2904</v>
      </c>
      <c r="BU8">
        <v>96.471575951600002</v>
      </c>
      <c r="BV8">
        <v>223</v>
      </c>
      <c r="BW8">
        <v>223</v>
      </c>
      <c r="BX8">
        <v>167.8071748879</v>
      </c>
      <c r="BY8">
        <v>167.8071748879</v>
      </c>
      <c r="CA8" t="s">
        <v>410</v>
      </c>
      <c r="CB8" t="s">
        <v>774</v>
      </c>
      <c r="CC8" t="s">
        <v>1002</v>
      </c>
      <c r="CD8">
        <v>6765</v>
      </c>
      <c r="CE8">
        <v>1716</v>
      </c>
      <c r="CF8">
        <v>105.0580931264</v>
      </c>
      <c r="CG8">
        <v>180</v>
      </c>
      <c r="CH8">
        <v>180</v>
      </c>
      <c r="CI8">
        <v>127.3333333333</v>
      </c>
      <c r="CJ8">
        <v>127.3333333333</v>
      </c>
      <c r="CL8" t="s">
        <v>410</v>
      </c>
      <c r="CM8" t="s">
        <v>755</v>
      </c>
      <c r="CN8" t="s">
        <v>756</v>
      </c>
      <c r="CO8">
        <v>281</v>
      </c>
      <c r="CP8">
        <v>17</v>
      </c>
      <c r="CQ8">
        <v>52.555160142299997</v>
      </c>
      <c r="CR8">
        <v>19</v>
      </c>
      <c r="CS8">
        <v>19</v>
      </c>
      <c r="CT8">
        <v>54.368421052599999</v>
      </c>
      <c r="CU8">
        <v>54.368421052599999</v>
      </c>
      <c r="CW8" t="s">
        <v>410</v>
      </c>
      <c r="CX8" t="s">
        <v>765</v>
      </c>
      <c r="CY8" t="s">
        <v>766</v>
      </c>
      <c r="CZ8">
        <v>251</v>
      </c>
      <c r="DA8">
        <v>36</v>
      </c>
      <c r="DB8">
        <v>67.501992031900002</v>
      </c>
      <c r="DC8">
        <v>3</v>
      </c>
      <c r="DD8">
        <v>3</v>
      </c>
      <c r="DE8">
        <v>130.6666666667</v>
      </c>
      <c r="DF8">
        <v>130.6666666667</v>
      </c>
      <c r="DH8" t="s">
        <v>410</v>
      </c>
      <c r="DI8" t="s">
        <v>745</v>
      </c>
      <c r="DJ8" t="s">
        <v>746</v>
      </c>
      <c r="DK8">
        <v>443</v>
      </c>
      <c r="DL8">
        <v>15</v>
      </c>
      <c r="DM8">
        <v>50.952595936800002</v>
      </c>
      <c r="DN8">
        <v>4</v>
      </c>
      <c r="DO8">
        <v>4</v>
      </c>
      <c r="DP8">
        <v>93</v>
      </c>
      <c r="DQ8">
        <v>93</v>
      </c>
    </row>
    <row r="9" spans="2:121" x14ac:dyDescent="0.2">
      <c r="B9" t="s">
        <v>95</v>
      </c>
      <c r="C9">
        <v>9</v>
      </c>
      <c r="D9">
        <v>5</v>
      </c>
      <c r="F9" t="s">
        <v>24</v>
      </c>
      <c r="G9">
        <v>1478</v>
      </c>
      <c r="H9">
        <v>96.989174560199999</v>
      </c>
      <c r="I9">
        <v>4169</v>
      </c>
      <c r="J9">
        <v>913</v>
      </c>
      <c r="K9">
        <v>2299</v>
      </c>
      <c r="L9">
        <v>625</v>
      </c>
      <c r="M9">
        <v>242</v>
      </c>
      <c r="N9">
        <v>60</v>
      </c>
      <c r="O9">
        <v>327</v>
      </c>
      <c r="P9">
        <v>219</v>
      </c>
      <c r="Q9">
        <v>0</v>
      </c>
      <c r="R9">
        <v>0</v>
      </c>
      <c r="AH9" t="s">
        <v>380</v>
      </c>
      <c r="AI9">
        <v>1747</v>
      </c>
      <c r="AJ9">
        <v>273.00457927880001</v>
      </c>
      <c r="AK9">
        <v>1762</v>
      </c>
      <c r="AL9">
        <v>306</v>
      </c>
      <c r="AM9">
        <v>3428</v>
      </c>
      <c r="AN9">
        <v>2024</v>
      </c>
      <c r="AO9">
        <v>383</v>
      </c>
      <c r="AP9">
        <v>282</v>
      </c>
      <c r="AQ9">
        <v>796</v>
      </c>
      <c r="AR9">
        <v>511</v>
      </c>
      <c r="AS9">
        <v>227</v>
      </c>
      <c r="AT9">
        <v>3</v>
      </c>
      <c r="AV9" t="s">
        <v>424</v>
      </c>
      <c r="AW9">
        <v>29</v>
      </c>
      <c r="AX9">
        <v>96.310344827600005</v>
      </c>
      <c r="AY9">
        <v>27</v>
      </c>
      <c r="AZ9">
        <v>7</v>
      </c>
      <c r="BA9">
        <v>37</v>
      </c>
      <c r="BB9">
        <v>12</v>
      </c>
      <c r="BC9">
        <v>2</v>
      </c>
      <c r="BD9">
        <v>2</v>
      </c>
      <c r="BE9">
        <v>2</v>
      </c>
      <c r="BF9">
        <v>2</v>
      </c>
      <c r="BG9">
        <v>6</v>
      </c>
      <c r="BH9">
        <v>6</v>
      </c>
      <c r="BJ9" t="s">
        <v>562</v>
      </c>
      <c r="BK9" t="s">
        <v>392</v>
      </c>
      <c r="BL9">
        <v>4208</v>
      </c>
      <c r="BM9">
        <v>1269</v>
      </c>
      <c r="BN9">
        <v>125.5622623574</v>
      </c>
      <c r="BO9">
        <v>80</v>
      </c>
      <c r="BP9">
        <v>80</v>
      </c>
      <c r="BQ9">
        <v>185.6</v>
      </c>
      <c r="BR9">
        <v>185.6</v>
      </c>
      <c r="BS9">
        <v>4452</v>
      </c>
      <c r="BT9">
        <v>1317</v>
      </c>
      <c r="BU9">
        <v>120.5065139263</v>
      </c>
      <c r="BV9">
        <v>93</v>
      </c>
      <c r="BW9">
        <v>93</v>
      </c>
      <c r="BX9">
        <v>166.3333333333</v>
      </c>
      <c r="BY9">
        <v>166.3333333333</v>
      </c>
      <c r="CA9" t="s">
        <v>394</v>
      </c>
      <c r="CB9" t="s">
        <v>774</v>
      </c>
      <c r="CC9" t="s">
        <v>1003</v>
      </c>
      <c r="CD9">
        <v>6484</v>
      </c>
      <c r="CE9">
        <v>1041</v>
      </c>
      <c r="CF9">
        <v>86.455891425000004</v>
      </c>
      <c r="CG9">
        <v>117</v>
      </c>
      <c r="CH9">
        <v>117</v>
      </c>
      <c r="CI9">
        <v>146.91452991450001</v>
      </c>
      <c r="CJ9">
        <v>146.91452991450001</v>
      </c>
      <c r="CL9" t="s">
        <v>394</v>
      </c>
      <c r="CM9" t="s">
        <v>755</v>
      </c>
      <c r="CN9" t="s">
        <v>757</v>
      </c>
      <c r="CO9">
        <v>352</v>
      </c>
      <c r="CP9">
        <v>33</v>
      </c>
      <c r="CQ9">
        <v>58.741477272700003</v>
      </c>
      <c r="CR9">
        <v>6</v>
      </c>
      <c r="CS9">
        <v>6</v>
      </c>
      <c r="CT9">
        <v>69.333333333300004</v>
      </c>
      <c r="CU9">
        <v>69.333333333300004</v>
      </c>
      <c r="CW9" t="s">
        <v>394</v>
      </c>
      <c r="CX9" t="s">
        <v>765</v>
      </c>
      <c r="CY9" t="s">
        <v>767</v>
      </c>
      <c r="CZ9">
        <v>75</v>
      </c>
      <c r="DA9">
        <v>5</v>
      </c>
      <c r="DB9">
        <v>58.986666666700003</v>
      </c>
      <c r="DC9">
        <v>1</v>
      </c>
      <c r="DD9">
        <v>1</v>
      </c>
      <c r="DE9">
        <v>154</v>
      </c>
      <c r="DF9">
        <v>154</v>
      </c>
      <c r="DH9" t="s">
        <v>394</v>
      </c>
      <c r="DI9" t="s">
        <v>745</v>
      </c>
      <c r="DJ9" t="s">
        <v>747</v>
      </c>
      <c r="DK9">
        <v>153</v>
      </c>
      <c r="DL9">
        <v>7</v>
      </c>
      <c r="DM9">
        <v>48.555555555600002</v>
      </c>
      <c r="DN9">
        <v>2</v>
      </c>
      <c r="DO9">
        <v>2</v>
      </c>
      <c r="DP9">
        <v>113.5</v>
      </c>
      <c r="DQ9">
        <v>113.5</v>
      </c>
    </row>
    <row r="10" spans="2:121" x14ac:dyDescent="0.2">
      <c r="B10" t="s">
        <v>320</v>
      </c>
      <c r="C10">
        <v>4</v>
      </c>
      <c r="D10">
        <v>1</v>
      </c>
      <c r="F10" t="s">
        <v>62</v>
      </c>
      <c r="G10">
        <v>5266</v>
      </c>
      <c r="H10">
        <v>403.36612229399998</v>
      </c>
      <c r="I10">
        <v>5918</v>
      </c>
      <c r="J10">
        <v>941</v>
      </c>
      <c r="K10">
        <v>6786</v>
      </c>
      <c r="L10">
        <v>4395</v>
      </c>
      <c r="M10">
        <v>572</v>
      </c>
      <c r="N10">
        <v>459</v>
      </c>
      <c r="O10">
        <v>940</v>
      </c>
      <c r="P10">
        <v>413</v>
      </c>
      <c r="Q10">
        <v>3</v>
      </c>
      <c r="R10">
        <v>304</v>
      </c>
      <c r="AH10" t="s">
        <v>430</v>
      </c>
      <c r="AI10">
        <v>1043</v>
      </c>
      <c r="AJ10">
        <v>362.27037392139999</v>
      </c>
      <c r="AK10">
        <v>951</v>
      </c>
      <c r="AL10">
        <v>242</v>
      </c>
      <c r="AM10">
        <v>1262</v>
      </c>
      <c r="AN10">
        <v>705</v>
      </c>
      <c r="AO10">
        <v>64</v>
      </c>
      <c r="AP10">
        <v>51</v>
      </c>
      <c r="AQ10">
        <v>319</v>
      </c>
      <c r="AR10">
        <v>191</v>
      </c>
      <c r="AS10">
        <v>54</v>
      </c>
      <c r="AT10">
        <v>1</v>
      </c>
      <c r="AV10" t="s">
        <v>378</v>
      </c>
      <c r="AW10">
        <v>316</v>
      </c>
      <c r="AX10">
        <v>104.2689873418</v>
      </c>
      <c r="AY10">
        <v>467</v>
      </c>
      <c r="AZ10">
        <v>103</v>
      </c>
      <c r="BA10">
        <v>517</v>
      </c>
      <c r="BB10">
        <v>153</v>
      </c>
      <c r="BC10">
        <v>11</v>
      </c>
      <c r="BD10">
        <v>11</v>
      </c>
      <c r="BE10">
        <v>46</v>
      </c>
      <c r="BF10">
        <v>11</v>
      </c>
      <c r="BG10">
        <v>38</v>
      </c>
      <c r="BH10">
        <v>151</v>
      </c>
      <c r="BJ10" t="s">
        <v>614</v>
      </c>
      <c r="BK10" t="s">
        <v>392</v>
      </c>
      <c r="BL10">
        <v>3931</v>
      </c>
      <c r="BM10">
        <v>441</v>
      </c>
      <c r="BN10">
        <v>75.204273721700005</v>
      </c>
      <c r="BO10">
        <v>123</v>
      </c>
      <c r="BP10">
        <v>123</v>
      </c>
      <c r="BQ10">
        <v>119.5040650407</v>
      </c>
      <c r="BR10">
        <v>119.5040650407</v>
      </c>
      <c r="BS10">
        <v>4127</v>
      </c>
      <c r="BT10">
        <v>629</v>
      </c>
      <c r="BU10">
        <v>81.951538647899994</v>
      </c>
      <c r="BV10">
        <v>129</v>
      </c>
      <c r="BW10">
        <v>129</v>
      </c>
      <c r="BX10">
        <v>122.3565891473</v>
      </c>
      <c r="BY10">
        <v>122.3565891473</v>
      </c>
      <c r="CA10" t="s">
        <v>396</v>
      </c>
      <c r="CB10" t="s">
        <v>774</v>
      </c>
      <c r="CC10" t="s">
        <v>1004</v>
      </c>
      <c r="CD10">
        <v>3948</v>
      </c>
      <c r="CE10">
        <v>921</v>
      </c>
      <c r="CF10">
        <v>104.9478216819</v>
      </c>
      <c r="CG10">
        <v>75</v>
      </c>
      <c r="CH10">
        <v>75</v>
      </c>
      <c r="CI10">
        <v>153.5066666667</v>
      </c>
      <c r="CJ10">
        <v>153.5066666667</v>
      </c>
      <c r="CL10" t="s">
        <v>396</v>
      </c>
      <c r="CM10" t="s">
        <v>755</v>
      </c>
      <c r="CN10" t="s">
        <v>758</v>
      </c>
      <c r="CO10">
        <v>286</v>
      </c>
      <c r="CP10">
        <v>23</v>
      </c>
      <c r="CQ10">
        <v>59.356643356600003</v>
      </c>
      <c r="CR10">
        <v>6</v>
      </c>
      <c r="CS10">
        <v>6</v>
      </c>
      <c r="CT10">
        <v>50</v>
      </c>
      <c r="CU10">
        <v>50</v>
      </c>
      <c r="CW10" t="s">
        <v>396</v>
      </c>
      <c r="CX10" t="s">
        <v>765</v>
      </c>
      <c r="CY10" t="s">
        <v>768</v>
      </c>
      <c r="CZ10">
        <v>86</v>
      </c>
      <c r="DA10">
        <v>8</v>
      </c>
      <c r="DB10">
        <v>69.860465116300006</v>
      </c>
      <c r="DC10">
        <v>4</v>
      </c>
      <c r="DD10">
        <v>4</v>
      </c>
      <c r="DE10">
        <v>151.75</v>
      </c>
      <c r="DF10">
        <v>151.75</v>
      </c>
      <c r="DH10" t="s">
        <v>396</v>
      </c>
      <c r="DI10" t="s">
        <v>745</v>
      </c>
      <c r="DJ10" t="s">
        <v>748</v>
      </c>
      <c r="DK10">
        <v>84</v>
      </c>
      <c r="DL10">
        <v>8</v>
      </c>
      <c r="DM10">
        <v>69.261904761899999</v>
      </c>
      <c r="DN10">
        <v>0</v>
      </c>
      <c r="DO10">
        <v>0</v>
      </c>
      <c r="DP10">
        <v>0</v>
      </c>
      <c r="DQ10">
        <v>0</v>
      </c>
    </row>
    <row r="11" spans="2:121" x14ac:dyDescent="0.2">
      <c r="B11" t="s">
        <v>100</v>
      </c>
      <c r="C11">
        <v>207</v>
      </c>
      <c r="D11">
        <v>98</v>
      </c>
      <c r="F11" t="s">
        <v>60</v>
      </c>
      <c r="G11">
        <v>12426</v>
      </c>
      <c r="H11">
        <v>362.8360695316</v>
      </c>
      <c r="I11">
        <v>7663</v>
      </c>
      <c r="J11">
        <v>877</v>
      </c>
      <c r="K11">
        <v>14005</v>
      </c>
      <c r="L11">
        <v>9870</v>
      </c>
      <c r="M11">
        <v>4194</v>
      </c>
      <c r="N11">
        <v>3851</v>
      </c>
      <c r="O11">
        <v>1930</v>
      </c>
      <c r="P11">
        <v>1435</v>
      </c>
      <c r="Q11">
        <v>3</v>
      </c>
      <c r="R11">
        <v>372</v>
      </c>
      <c r="AH11" t="s">
        <v>421</v>
      </c>
      <c r="AI11">
        <v>519</v>
      </c>
      <c r="AJ11">
        <v>486.79768786130001</v>
      </c>
      <c r="AK11">
        <v>461</v>
      </c>
      <c r="AL11">
        <v>103</v>
      </c>
      <c r="AM11">
        <v>697</v>
      </c>
      <c r="AN11">
        <v>499</v>
      </c>
      <c r="AO11">
        <v>138</v>
      </c>
      <c r="AP11">
        <v>118</v>
      </c>
      <c r="AQ11">
        <v>318</v>
      </c>
      <c r="AR11">
        <v>235</v>
      </c>
      <c r="AS11">
        <v>21</v>
      </c>
      <c r="AT11">
        <v>1</v>
      </c>
      <c r="AV11" t="s">
        <v>415</v>
      </c>
      <c r="AW11">
        <v>35</v>
      </c>
      <c r="AX11">
        <v>40.314285714299999</v>
      </c>
      <c r="AY11">
        <v>83</v>
      </c>
      <c r="AZ11">
        <v>2</v>
      </c>
      <c r="BA11">
        <v>58</v>
      </c>
      <c r="BB11">
        <v>2</v>
      </c>
      <c r="BC11">
        <v>1</v>
      </c>
      <c r="BD11">
        <v>1</v>
      </c>
      <c r="BE11">
        <v>2</v>
      </c>
      <c r="BG11">
        <v>80</v>
      </c>
      <c r="BH11">
        <v>7</v>
      </c>
      <c r="BJ11" t="s">
        <v>616</v>
      </c>
      <c r="BK11" t="s">
        <v>392</v>
      </c>
      <c r="BL11">
        <v>6295</v>
      </c>
      <c r="BM11">
        <v>1117</v>
      </c>
      <c r="BN11">
        <v>100.360127085</v>
      </c>
      <c r="BO11">
        <v>177</v>
      </c>
      <c r="BP11">
        <v>177</v>
      </c>
      <c r="BQ11">
        <v>207.42937853110001</v>
      </c>
      <c r="BR11">
        <v>207.42937853110001</v>
      </c>
      <c r="BS11">
        <v>6924</v>
      </c>
      <c r="BT11">
        <v>1595</v>
      </c>
      <c r="BU11">
        <v>111.4295205084</v>
      </c>
      <c r="BV11">
        <v>201</v>
      </c>
      <c r="BW11">
        <v>201</v>
      </c>
      <c r="BX11">
        <v>207.50746268660001</v>
      </c>
      <c r="BY11">
        <v>207.50746268660001</v>
      </c>
      <c r="CA11" t="s">
        <v>425</v>
      </c>
      <c r="CB11" t="s">
        <v>774</v>
      </c>
      <c r="CC11" t="s">
        <v>1005</v>
      </c>
      <c r="CD11">
        <v>972</v>
      </c>
      <c r="CE11">
        <v>95</v>
      </c>
      <c r="CF11">
        <v>65.202674897099996</v>
      </c>
      <c r="CG11">
        <v>10</v>
      </c>
      <c r="CH11">
        <v>10</v>
      </c>
      <c r="CI11">
        <v>109.5</v>
      </c>
      <c r="CJ11">
        <v>109.5</v>
      </c>
      <c r="CL11" t="s">
        <v>425</v>
      </c>
      <c r="CM11" t="s">
        <v>755</v>
      </c>
      <c r="CN11" t="s">
        <v>759</v>
      </c>
      <c r="CO11">
        <v>91</v>
      </c>
      <c r="CP11">
        <v>1</v>
      </c>
      <c r="CQ11">
        <v>43.3406593407</v>
      </c>
      <c r="CR11">
        <v>2</v>
      </c>
      <c r="CS11">
        <v>2</v>
      </c>
      <c r="CT11">
        <v>21</v>
      </c>
      <c r="CU11">
        <v>21</v>
      </c>
      <c r="CW11" t="s">
        <v>425</v>
      </c>
      <c r="CX11" t="s">
        <v>765</v>
      </c>
      <c r="CY11" t="s">
        <v>769</v>
      </c>
      <c r="CZ11">
        <v>23</v>
      </c>
      <c r="DA11">
        <v>4</v>
      </c>
      <c r="DB11">
        <v>52.434782608699997</v>
      </c>
      <c r="DC11">
        <v>0</v>
      </c>
      <c r="DD11">
        <v>0</v>
      </c>
      <c r="DE11">
        <v>0</v>
      </c>
      <c r="DF11">
        <v>0</v>
      </c>
      <c r="DH11" t="s">
        <v>425</v>
      </c>
      <c r="DI11" t="s">
        <v>745</v>
      </c>
      <c r="DJ11" t="s">
        <v>749</v>
      </c>
      <c r="DK11">
        <v>18</v>
      </c>
      <c r="DL11">
        <v>0</v>
      </c>
      <c r="DM11">
        <v>34.944444444399998</v>
      </c>
      <c r="DN11">
        <v>0</v>
      </c>
      <c r="DO11">
        <v>0</v>
      </c>
      <c r="DP11">
        <v>0</v>
      </c>
      <c r="DQ11">
        <v>0</v>
      </c>
    </row>
    <row r="12" spans="2:121" x14ac:dyDescent="0.2">
      <c r="B12" t="s">
        <v>117</v>
      </c>
      <c r="C12">
        <v>6591</v>
      </c>
      <c r="D12">
        <v>209</v>
      </c>
      <c r="F12" t="s">
        <v>36</v>
      </c>
      <c r="G12">
        <v>8521</v>
      </c>
      <c r="H12">
        <v>658.51308531860002</v>
      </c>
      <c r="I12">
        <v>5050</v>
      </c>
      <c r="J12">
        <v>893</v>
      </c>
      <c r="K12">
        <v>9994</v>
      </c>
      <c r="L12">
        <v>8031</v>
      </c>
      <c r="M12">
        <v>1011</v>
      </c>
      <c r="N12">
        <v>869</v>
      </c>
      <c r="O12">
        <v>5825</v>
      </c>
      <c r="P12">
        <v>4901</v>
      </c>
      <c r="Q12">
        <v>23</v>
      </c>
      <c r="R12">
        <v>5</v>
      </c>
      <c r="T12" t="s">
        <v>655</v>
      </c>
      <c r="U12" t="s">
        <v>312</v>
      </c>
      <c r="V12" t="s">
        <v>139</v>
      </c>
      <c r="W12" t="s">
        <v>220</v>
      </c>
      <c r="X12" t="s">
        <v>221</v>
      </c>
      <c r="Y12" t="s">
        <v>222</v>
      </c>
      <c r="Z12" t="s">
        <v>223</v>
      </c>
      <c r="AA12" t="s">
        <v>224</v>
      </c>
      <c r="AB12" t="s">
        <v>225</v>
      </c>
      <c r="AC12" t="s">
        <v>226</v>
      </c>
      <c r="AD12" t="s">
        <v>227</v>
      </c>
      <c r="AE12" t="s">
        <v>228</v>
      </c>
      <c r="AF12" t="s">
        <v>229</v>
      </c>
      <c r="AH12" t="s">
        <v>432</v>
      </c>
      <c r="AI12">
        <v>20772</v>
      </c>
      <c r="AJ12">
        <v>352.96678220680002</v>
      </c>
      <c r="AK12">
        <v>24282</v>
      </c>
      <c r="AL12">
        <v>5957</v>
      </c>
      <c r="AM12">
        <v>28885</v>
      </c>
      <c r="AN12">
        <v>17666</v>
      </c>
      <c r="AO12">
        <v>3845</v>
      </c>
      <c r="AP12">
        <v>2833</v>
      </c>
      <c r="AQ12">
        <v>12604</v>
      </c>
      <c r="AR12">
        <v>6879</v>
      </c>
      <c r="AS12">
        <v>1608</v>
      </c>
      <c r="AT12">
        <v>259</v>
      </c>
      <c r="AV12" t="s">
        <v>432</v>
      </c>
      <c r="AW12">
        <v>2215</v>
      </c>
      <c r="AX12">
        <v>106.4361173815</v>
      </c>
      <c r="AY12">
        <v>2668</v>
      </c>
      <c r="AZ12">
        <v>665</v>
      </c>
      <c r="BA12">
        <v>3471</v>
      </c>
      <c r="BB12">
        <v>1045</v>
      </c>
      <c r="BC12">
        <v>96</v>
      </c>
      <c r="BD12">
        <v>90</v>
      </c>
      <c r="BE12">
        <v>211</v>
      </c>
      <c r="BF12">
        <v>81</v>
      </c>
      <c r="BG12">
        <v>296</v>
      </c>
      <c r="BH12">
        <v>692</v>
      </c>
      <c r="BJ12" t="s">
        <v>558</v>
      </c>
      <c r="BK12" t="s">
        <v>392</v>
      </c>
      <c r="BL12">
        <v>6310</v>
      </c>
      <c r="BM12">
        <v>973</v>
      </c>
      <c r="BN12">
        <v>83.378446909700003</v>
      </c>
      <c r="BO12">
        <v>104</v>
      </c>
      <c r="BP12">
        <v>104</v>
      </c>
      <c r="BQ12">
        <v>158.4134615385</v>
      </c>
      <c r="BR12">
        <v>158.4134615385</v>
      </c>
      <c r="BS12">
        <v>6015</v>
      </c>
      <c r="BT12">
        <v>670</v>
      </c>
      <c r="BU12">
        <v>73.3343308396</v>
      </c>
      <c r="BV12">
        <v>90</v>
      </c>
      <c r="BW12">
        <v>90</v>
      </c>
      <c r="BX12">
        <v>139.91111111110001</v>
      </c>
      <c r="BY12">
        <v>139.91111111110001</v>
      </c>
      <c r="CA12" t="s">
        <v>419</v>
      </c>
      <c r="CB12" t="s">
        <v>774</v>
      </c>
      <c r="CC12" t="s">
        <v>1006</v>
      </c>
      <c r="CD12">
        <v>6280</v>
      </c>
      <c r="CE12">
        <v>1046</v>
      </c>
      <c r="CF12">
        <v>80.144426751599994</v>
      </c>
      <c r="CG12">
        <v>174</v>
      </c>
      <c r="CH12">
        <v>174</v>
      </c>
      <c r="CI12">
        <v>111.3448275862</v>
      </c>
      <c r="CJ12">
        <v>111.3448275862</v>
      </c>
      <c r="CL12" t="s">
        <v>419</v>
      </c>
      <c r="CM12" t="s">
        <v>755</v>
      </c>
      <c r="CN12" t="s">
        <v>760</v>
      </c>
      <c r="CO12">
        <v>439</v>
      </c>
      <c r="CP12">
        <v>28</v>
      </c>
      <c r="CQ12">
        <v>53.207289293800002</v>
      </c>
      <c r="CR12">
        <v>25</v>
      </c>
      <c r="CS12">
        <v>25</v>
      </c>
      <c r="CT12">
        <v>49.92</v>
      </c>
      <c r="CU12">
        <v>49.92</v>
      </c>
      <c r="CW12" t="s">
        <v>419</v>
      </c>
      <c r="CX12" t="s">
        <v>765</v>
      </c>
      <c r="CY12" t="s">
        <v>770</v>
      </c>
      <c r="CZ12">
        <v>123</v>
      </c>
      <c r="DA12">
        <v>14</v>
      </c>
      <c r="DB12">
        <v>66.5284552846</v>
      </c>
      <c r="DC12">
        <v>2</v>
      </c>
      <c r="DD12">
        <v>2</v>
      </c>
      <c r="DE12">
        <v>114.5</v>
      </c>
      <c r="DF12">
        <v>114.5</v>
      </c>
      <c r="DH12" t="s">
        <v>419</v>
      </c>
      <c r="DI12" t="s">
        <v>745</v>
      </c>
      <c r="DJ12" t="s">
        <v>750</v>
      </c>
      <c r="DK12">
        <v>211</v>
      </c>
      <c r="DL12">
        <v>8</v>
      </c>
      <c r="DM12">
        <v>51.890995260700002</v>
      </c>
      <c r="DN12">
        <v>4</v>
      </c>
      <c r="DO12">
        <v>4</v>
      </c>
      <c r="DP12">
        <v>95.75</v>
      </c>
      <c r="DQ12">
        <v>95.75</v>
      </c>
    </row>
    <row r="13" spans="2:121" x14ac:dyDescent="0.2">
      <c r="B13" t="s">
        <v>127</v>
      </c>
      <c r="C13">
        <v>548</v>
      </c>
      <c r="D13">
        <v>302</v>
      </c>
      <c r="F13" t="s">
        <v>37</v>
      </c>
      <c r="G13">
        <v>319</v>
      </c>
      <c r="H13">
        <v>64.758620689699995</v>
      </c>
      <c r="I13">
        <v>1448</v>
      </c>
      <c r="J13">
        <v>299</v>
      </c>
      <c r="K13">
        <v>578</v>
      </c>
      <c r="L13">
        <v>75</v>
      </c>
      <c r="M13">
        <v>66</v>
      </c>
      <c r="N13">
        <v>20</v>
      </c>
      <c r="O13">
        <v>114</v>
      </c>
      <c r="P13">
        <v>40</v>
      </c>
      <c r="Q13">
        <v>0</v>
      </c>
      <c r="R13">
        <v>10</v>
      </c>
      <c r="T13" t="s">
        <v>392</v>
      </c>
      <c r="U13">
        <v>59821</v>
      </c>
      <c r="V13">
        <v>323.03691011519999</v>
      </c>
      <c r="W13">
        <v>68127</v>
      </c>
      <c r="X13">
        <v>13454</v>
      </c>
      <c r="Y13">
        <v>92838</v>
      </c>
      <c r="Z13">
        <v>52067</v>
      </c>
      <c r="AA13">
        <v>13685</v>
      </c>
      <c r="AB13">
        <v>11281</v>
      </c>
      <c r="AC13">
        <v>14377</v>
      </c>
      <c r="AD13">
        <v>8217</v>
      </c>
      <c r="AE13">
        <v>95</v>
      </c>
      <c r="AF13">
        <v>1248</v>
      </c>
      <c r="AH13" t="s">
        <v>388</v>
      </c>
      <c r="AI13">
        <v>16427</v>
      </c>
      <c r="AJ13">
        <v>343.93912461190001</v>
      </c>
      <c r="AK13">
        <v>18561</v>
      </c>
      <c r="AL13">
        <v>3511</v>
      </c>
      <c r="AM13">
        <v>24377</v>
      </c>
      <c r="AN13">
        <v>15379</v>
      </c>
      <c r="AO13">
        <v>5508</v>
      </c>
      <c r="AP13">
        <v>4762</v>
      </c>
      <c r="AQ13">
        <v>16727</v>
      </c>
      <c r="AR13">
        <v>8352</v>
      </c>
      <c r="AS13">
        <v>761</v>
      </c>
      <c r="AT13">
        <v>39</v>
      </c>
      <c r="AV13" t="s">
        <v>394</v>
      </c>
      <c r="AW13">
        <v>257</v>
      </c>
      <c r="AX13">
        <v>53.980544747099998</v>
      </c>
      <c r="AY13">
        <v>391</v>
      </c>
      <c r="AZ13">
        <v>21</v>
      </c>
      <c r="BA13">
        <v>432</v>
      </c>
      <c r="BB13">
        <v>33</v>
      </c>
      <c r="BC13">
        <v>3</v>
      </c>
      <c r="BD13">
        <v>3</v>
      </c>
      <c r="BE13">
        <v>14</v>
      </c>
      <c r="BF13">
        <v>1</v>
      </c>
      <c r="BG13">
        <v>206</v>
      </c>
      <c r="BH13">
        <v>32</v>
      </c>
      <c r="BJ13" t="s">
        <v>595</v>
      </c>
      <c r="BK13" t="s">
        <v>392</v>
      </c>
      <c r="BL13">
        <v>1887</v>
      </c>
      <c r="BM13">
        <v>367</v>
      </c>
      <c r="BN13">
        <v>89.394806571299995</v>
      </c>
      <c r="BO13">
        <v>33</v>
      </c>
      <c r="BP13">
        <v>33</v>
      </c>
      <c r="BQ13">
        <v>119.7272727273</v>
      </c>
      <c r="BR13">
        <v>119.7272727273</v>
      </c>
      <c r="BS13">
        <v>4177</v>
      </c>
      <c r="BT13">
        <v>1044</v>
      </c>
      <c r="BU13">
        <v>109.2528130237</v>
      </c>
      <c r="BV13">
        <v>59</v>
      </c>
      <c r="BW13">
        <v>59</v>
      </c>
      <c r="BX13">
        <v>131.88135593219999</v>
      </c>
      <c r="BY13">
        <v>131.88135593219999</v>
      </c>
      <c r="CA13" t="s">
        <v>417</v>
      </c>
      <c r="CB13" t="s">
        <v>774</v>
      </c>
      <c r="CC13" t="s">
        <v>1007</v>
      </c>
      <c r="CD13">
        <v>36404</v>
      </c>
      <c r="CE13">
        <v>7435</v>
      </c>
      <c r="CF13">
        <v>97.029722008600004</v>
      </c>
      <c r="CG13">
        <v>702</v>
      </c>
      <c r="CH13">
        <v>702</v>
      </c>
      <c r="CI13">
        <v>140</v>
      </c>
      <c r="CJ13">
        <v>140</v>
      </c>
      <c r="CL13" t="s">
        <v>417</v>
      </c>
      <c r="CM13" t="s">
        <v>755</v>
      </c>
      <c r="CN13" t="s">
        <v>761</v>
      </c>
      <c r="CO13">
        <v>1754</v>
      </c>
      <c r="CP13">
        <v>108</v>
      </c>
      <c r="CQ13">
        <v>53.369441277100002</v>
      </c>
      <c r="CR13">
        <v>98</v>
      </c>
      <c r="CS13">
        <v>98</v>
      </c>
      <c r="CT13">
        <v>51.897959183700003</v>
      </c>
      <c r="CU13">
        <v>51.897959183700003</v>
      </c>
      <c r="CW13" t="s">
        <v>417</v>
      </c>
      <c r="CX13" t="s">
        <v>765</v>
      </c>
      <c r="CY13" t="s">
        <v>771</v>
      </c>
      <c r="CZ13">
        <v>1109</v>
      </c>
      <c r="DA13">
        <v>89</v>
      </c>
      <c r="DB13">
        <v>59.075743913399997</v>
      </c>
      <c r="DC13">
        <v>16</v>
      </c>
      <c r="DD13">
        <v>16</v>
      </c>
      <c r="DE13">
        <v>145.6875</v>
      </c>
      <c r="DF13">
        <v>145.6875</v>
      </c>
      <c r="DH13" t="s">
        <v>417</v>
      </c>
      <c r="DI13" t="s">
        <v>745</v>
      </c>
      <c r="DJ13" t="s">
        <v>751</v>
      </c>
      <c r="DK13">
        <v>1139</v>
      </c>
      <c r="DL13">
        <v>79</v>
      </c>
      <c r="DM13">
        <v>61.6330114135</v>
      </c>
      <c r="DN13">
        <v>22</v>
      </c>
      <c r="DO13">
        <v>22</v>
      </c>
      <c r="DP13">
        <v>139.2272727273</v>
      </c>
      <c r="DQ13">
        <v>139.2272727273</v>
      </c>
    </row>
    <row r="14" spans="2:121" x14ac:dyDescent="0.2">
      <c r="B14" t="s">
        <v>134</v>
      </c>
      <c r="C14">
        <v>967</v>
      </c>
      <c r="D14">
        <v>140</v>
      </c>
      <c r="F14" t="s">
        <v>41</v>
      </c>
      <c r="G14">
        <v>6315</v>
      </c>
      <c r="H14">
        <v>511.3284243864</v>
      </c>
      <c r="I14">
        <v>8205</v>
      </c>
      <c r="J14">
        <v>1907</v>
      </c>
      <c r="K14">
        <v>8597</v>
      </c>
      <c r="L14">
        <v>6459</v>
      </c>
      <c r="M14">
        <v>1502</v>
      </c>
      <c r="N14">
        <v>1413</v>
      </c>
      <c r="O14">
        <v>5897</v>
      </c>
      <c r="P14">
        <v>3464</v>
      </c>
      <c r="Q14">
        <v>15</v>
      </c>
      <c r="R14">
        <v>342</v>
      </c>
      <c r="T14" t="s">
        <v>397</v>
      </c>
      <c r="U14">
        <v>45002</v>
      </c>
      <c r="V14">
        <v>367.36009510690002</v>
      </c>
      <c r="W14">
        <v>56493</v>
      </c>
      <c r="X14">
        <v>11409</v>
      </c>
      <c r="Y14">
        <v>74208</v>
      </c>
      <c r="Z14">
        <v>38176</v>
      </c>
      <c r="AA14">
        <v>9695</v>
      </c>
      <c r="AB14">
        <v>8090</v>
      </c>
      <c r="AC14">
        <v>18626</v>
      </c>
      <c r="AD14">
        <v>12991</v>
      </c>
      <c r="AE14">
        <v>1163</v>
      </c>
      <c r="AF14">
        <v>1179</v>
      </c>
      <c r="AH14" t="s">
        <v>435</v>
      </c>
      <c r="AI14">
        <v>1834</v>
      </c>
      <c r="AJ14">
        <v>274.66957470009999</v>
      </c>
      <c r="AK14">
        <v>2185</v>
      </c>
      <c r="AL14">
        <v>327</v>
      </c>
      <c r="AM14">
        <v>2519</v>
      </c>
      <c r="AN14">
        <v>1526</v>
      </c>
      <c r="AO14">
        <v>352</v>
      </c>
      <c r="AP14">
        <v>283</v>
      </c>
      <c r="AQ14">
        <v>298</v>
      </c>
      <c r="AR14">
        <v>177</v>
      </c>
      <c r="AS14">
        <v>6</v>
      </c>
      <c r="AT14">
        <v>2</v>
      </c>
      <c r="AV14" t="s">
        <v>400</v>
      </c>
      <c r="AW14">
        <v>153</v>
      </c>
      <c r="AX14">
        <v>73.751633986900003</v>
      </c>
      <c r="AY14">
        <v>384</v>
      </c>
      <c r="AZ14">
        <v>25</v>
      </c>
      <c r="BA14">
        <v>311</v>
      </c>
      <c r="BB14">
        <v>51</v>
      </c>
      <c r="BC14">
        <v>4</v>
      </c>
      <c r="BD14">
        <v>3</v>
      </c>
      <c r="BE14">
        <v>39</v>
      </c>
      <c r="BF14">
        <v>4</v>
      </c>
      <c r="BG14">
        <v>274</v>
      </c>
      <c r="BH14">
        <v>40</v>
      </c>
      <c r="BJ14" t="s">
        <v>612</v>
      </c>
      <c r="BK14" t="s">
        <v>392</v>
      </c>
      <c r="BL14">
        <v>17078</v>
      </c>
      <c r="BM14">
        <v>2982</v>
      </c>
      <c r="BN14">
        <v>89.383827146000002</v>
      </c>
      <c r="BO14">
        <v>305</v>
      </c>
      <c r="BP14">
        <v>305</v>
      </c>
      <c r="BQ14">
        <v>136.96721311479999</v>
      </c>
      <c r="BR14">
        <v>136.96721311479999</v>
      </c>
      <c r="BS14">
        <v>16556</v>
      </c>
      <c r="BT14">
        <v>2817</v>
      </c>
      <c r="BU14">
        <v>87.956873641000001</v>
      </c>
      <c r="BV14">
        <v>292</v>
      </c>
      <c r="BW14">
        <v>292</v>
      </c>
      <c r="BX14">
        <v>136.89726027399999</v>
      </c>
      <c r="BY14">
        <v>136.89726027399999</v>
      </c>
      <c r="CA14" t="s">
        <v>413</v>
      </c>
      <c r="CB14" t="s">
        <v>774</v>
      </c>
      <c r="CC14" t="s">
        <v>1008</v>
      </c>
      <c r="CD14">
        <v>1811</v>
      </c>
      <c r="CE14">
        <v>391</v>
      </c>
      <c r="CF14">
        <v>95.911098840400001</v>
      </c>
      <c r="CG14">
        <v>28</v>
      </c>
      <c r="CH14">
        <v>28</v>
      </c>
      <c r="CI14">
        <v>122.07142857140001</v>
      </c>
      <c r="CJ14">
        <v>122.07142857140001</v>
      </c>
      <c r="CL14" t="s">
        <v>413</v>
      </c>
      <c r="CM14" t="s">
        <v>755</v>
      </c>
      <c r="CN14" t="s">
        <v>762</v>
      </c>
      <c r="CO14">
        <v>166</v>
      </c>
      <c r="CP14">
        <v>7</v>
      </c>
      <c r="CQ14">
        <v>48.198795180700003</v>
      </c>
      <c r="CR14">
        <v>7</v>
      </c>
      <c r="CS14">
        <v>7</v>
      </c>
      <c r="CT14">
        <v>48.142857142899999</v>
      </c>
      <c r="CU14">
        <v>48.142857142899999</v>
      </c>
      <c r="CW14" t="s">
        <v>413</v>
      </c>
      <c r="CX14" t="s">
        <v>765</v>
      </c>
      <c r="CY14" t="s">
        <v>772</v>
      </c>
      <c r="CZ14">
        <v>65</v>
      </c>
      <c r="DA14">
        <v>10</v>
      </c>
      <c r="DB14">
        <v>79.461538461499998</v>
      </c>
      <c r="DC14">
        <v>0</v>
      </c>
      <c r="DD14">
        <v>0</v>
      </c>
      <c r="DE14">
        <v>0</v>
      </c>
      <c r="DF14">
        <v>0</v>
      </c>
      <c r="DH14" t="s">
        <v>413</v>
      </c>
      <c r="DI14" t="s">
        <v>745</v>
      </c>
      <c r="DJ14" t="s">
        <v>752</v>
      </c>
      <c r="DK14">
        <v>72</v>
      </c>
      <c r="DL14">
        <v>3</v>
      </c>
      <c r="DM14">
        <v>52.458333333299997</v>
      </c>
      <c r="DN14">
        <v>0</v>
      </c>
      <c r="DO14">
        <v>0</v>
      </c>
      <c r="DP14">
        <v>0</v>
      </c>
      <c r="DQ14">
        <v>0</v>
      </c>
    </row>
    <row r="15" spans="2:121" x14ac:dyDescent="0.2">
      <c r="B15" t="s">
        <v>124</v>
      </c>
      <c r="C15">
        <v>27</v>
      </c>
      <c r="D15">
        <v>2</v>
      </c>
      <c r="F15" t="s">
        <v>39</v>
      </c>
      <c r="G15">
        <v>434</v>
      </c>
      <c r="H15">
        <v>276.6543778802</v>
      </c>
      <c r="I15">
        <v>810</v>
      </c>
      <c r="J15">
        <v>138</v>
      </c>
      <c r="K15">
        <v>716</v>
      </c>
      <c r="L15">
        <v>358</v>
      </c>
      <c r="M15">
        <v>49</v>
      </c>
      <c r="N15">
        <v>32</v>
      </c>
      <c r="O15">
        <v>85</v>
      </c>
      <c r="P15">
        <v>28</v>
      </c>
      <c r="Q15">
        <v>2</v>
      </c>
      <c r="R15">
        <v>6</v>
      </c>
      <c r="T15" t="s">
        <v>376</v>
      </c>
      <c r="U15">
        <v>106736</v>
      </c>
      <c r="V15">
        <v>436.92561085289998</v>
      </c>
      <c r="W15">
        <v>80907</v>
      </c>
      <c r="X15">
        <v>16186</v>
      </c>
      <c r="Y15">
        <v>137281</v>
      </c>
      <c r="Z15">
        <v>98487</v>
      </c>
      <c r="AA15">
        <v>22289</v>
      </c>
      <c r="AB15">
        <v>18725</v>
      </c>
      <c r="AC15">
        <v>32041</v>
      </c>
      <c r="AD15">
        <v>22810</v>
      </c>
      <c r="AE15">
        <v>9668</v>
      </c>
      <c r="AF15">
        <v>99</v>
      </c>
      <c r="AH15" t="s">
        <v>415</v>
      </c>
      <c r="AI15">
        <v>910</v>
      </c>
      <c r="AJ15">
        <v>260.00879120880001</v>
      </c>
      <c r="AK15">
        <v>1625</v>
      </c>
      <c r="AL15">
        <v>320</v>
      </c>
      <c r="AM15">
        <v>1406</v>
      </c>
      <c r="AN15">
        <v>634</v>
      </c>
      <c r="AO15">
        <v>191</v>
      </c>
      <c r="AP15">
        <v>126</v>
      </c>
      <c r="AQ15">
        <v>311</v>
      </c>
      <c r="AR15">
        <v>151</v>
      </c>
      <c r="AS15">
        <v>1</v>
      </c>
      <c r="AT15">
        <v>10</v>
      </c>
      <c r="AV15" t="s">
        <v>419</v>
      </c>
      <c r="AW15">
        <v>89</v>
      </c>
      <c r="AX15">
        <v>32.011235955099998</v>
      </c>
      <c r="AY15">
        <v>257</v>
      </c>
      <c r="AZ15">
        <v>2</v>
      </c>
      <c r="BA15">
        <v>162</v>
      </c>
      <c r="BB15">
        <v>5</v>
      </c>
      <c r="BC15">
        <v>2</v>
      </c>
      <c r="BD15">
        <v>2</v>
      </c>
      <c r="BE15">
        <v>12</v>
      </c>
      <c r="BF15">
        <v>7</v>
      </c>
      <c r="BG15">
        <v>369</v>
      </c>
      <c r="BH15">
        <v>59</v>
      </c>
      <c r="BJ15" t="s">
        <v>574</v>
      </c>
      <c r="BK15" t="s">
        <v>397</v>
      </c>
      <c r="BL15">
        <v>6582</v>
      </c>
      <c r="BM15">
        <v>1753</v>
      </c>
      <c r="BN15">
        <v>107.2213612884</v>
      </c>
      <c r="BO15">
        <v>178</v>
      </c>
      <c r="BP15">
        <v>178</v>
      </c>
      <c r="BQ15">
        <v>142.9157303371</v>
      </c>
      <c r="BR15">
        <v>142.9157303371</v>
      </c>
      <c r="BS15">
        <v>5167</v>
      </c>
      <c r="BT15">
        <v>1196</v>
      </c>
      <c r="BU15">
        <v>92.965744145499997</v>
      </c>
      <c r="BV15">
        <v>130</v>
      </c>
      <c r="BW15">
        <v>130</v>
      </c>
      <c r="BX15">
        <v>134.0692307692</v>
      </c>
      <c r="BY15">
        <v>134.0692307692</v>
      </c>
      <c r="CA15" t="s">
        <v>428</v>
      </c>
      <c r="CB15" t="s">
        <v>774</v>
      </c>
      <c r="CC15" t="s">
        <v>1009</v>
      </c>
      <c r="CD15">
        <v>875</v>
      </c>
      <c r="CE15">
        <v>159</v>
      </c>
      <c r="CF15">
        <v>83.36</v>
      </c>
      <c r="CG15">
        <v>17</v>
      </c>
      <c r="CH15">
        <v>17</v>
      </c>
      <c r="CI15">
        <v>193.8823529412</v>
      </c>
      <c r="CJ15">
        <v>193.8823529412</v>
      </c>
      <c r="CL15" t="s">
        <v>428</v>
      </c>
      <c r="CM15" t="s">
        <v>755</v>
      </c>
      <c r="CN15" t="s">
        <v>763</v>
      </c>
      <c r="CO15">
        <v>34</v>
      </c>
      <c r="CP15">
        <v>2</v>
      </c>
      <c r="CQ15">
        <v>44.852941176500003</v>
      </c>
      <c r="CR15">
        <v>1</v>
      </c>
      <c r="CS15">
        <v>1</v>
      </c>
      <c r="CT15">
        <v>52</v>
      </c>
      <c r="CU15">
        <v>52</v>
      </c>
      <c r="CW15" t="s">
        <v>428</v>
      </c>
      <c r="CX15" t="s">
        <v>765</v>
      </c>
      <c r="CY15" t="s">
        <v>773</v>
      </c>
      <c r="CZ15">
        <v>21</v>
      </c>
      <c r="DA15">
        <v>4</v>
      </c>
      <c r="DB15">
        <v>86.428571428599994</v>
      </c>
      <c r="DC15">
        <v>0</v>
      </c>
      <c r="DD15">
        <v>0</v>
      </c>
      <c r="DE15">
        <v>0</v>
      </c>
      <c r="DF15">
        <v>0</v>
      </c>
      <c r="DH15" t="s">
        <v>428</v>
      </c>
      <c r="DI15" t="s">
        <v>745</v>
      </c>
      <c r="DJ15" t="s">
        <v>753</v>
      </c>
      <c r="DK15">
        <v>18</v>
      </c>
      <c r="DL15">
        <v>1</v>
      </c>
      <c r="DM15">
        <v>70.166666666699996</v>
      </c>
      <c r="DN15">
        <v>0</v>
      </c>
      <c r="DO15">
        <v>0</v>
      </c>
      <c r="DP15">
        <v>0</v>
      </c>
      <c r="DQ15">
        <v>0</v>
      </c>
    </row>
    <row r="16" spans="2:121" x14ac:dyDescent="0.2">
      <c r="B16" t="s">
        <v>983</v>
      </c>
      <c r="C16">
        <v>4</v>
      </c>
      <c r="F16" t="s">
        <v>64</v>
      </c>
      <c r="G16">
        <v>1010</v>
      </c>
      <c r="H16">
        <v>86.823762376199994</v>
      </c>
      <c r="I16">
        <v>2596</v>
      </c>
      <c r="J16">
        <v>369</v>
      </c>
      <c r="K16">
        <v>1837</v>
      </c>
      <c r="L16">
        <v>386</v>
      </c>
      <c r="M16">
        <v>660</v>
      </c>
      <c r="N16">
        <v>613</v>
      </c>
      <c r="O16">
        <v>2150</v>
      </c>
      <c r="P16">
        <v>1014</v>
      </c>
      <c r="Q16">
        <v>0</v>
      </c>
      <c r="R16">
        <v>1</v>
      </c>
      <c r="T16" t="s">
        <v>8</v>
      </c>
      <c r="U16">
        <v>49</v>
      </c>
      <c r="V16">
        <v>828.32653061220003</v>
      </c>
      <c r="W16">
        <v>1</v>
      </c>
      <c r="Y16">
        <v>51</v>
      </c>
      <c r="Z16">
        <v>51</v>
      </c>
      <c r="AA16">
        <v>2</v>
      </c>
      <c r="AB16">
        <v>1</v>
      </c>
      <c r="AC16">
        <v>22762</v>
      </c>
      <c r="AD16">
        <v>7858</v>
      </c>
      <c r="AE16">
        <v>0</v>
      </c>
      <c r="AF16">
        <v>0</v>
      </c>
      <c r="AH16" t="s">
        <v>401</v>
      </c>
      <c r="AI16">
        <v>7742</v>
      </c>
      <c r="AJ16">
        <v>485.96977525189999</v>
      </c>
      <c r="AK16">
        <v>7364</v>
      </c>
      <c r="AL16">
        <v>1859</v>
      </c>
      <c r="AM16">
        <v>10395</v>
      </c>
      <c r="AN16">
        <v>7084</v>
      </c>
      <c r="AO16">
        <v>1471</v>
      </c>
      <c r="AP16">
        <v>1376</v>
      </c>
      <c r="AQ16">
        <v>2666</v>
      </c>
      <c r="AR16">
        <v>1791</v>
      </c>
      <c r="AS16">
        <v>121</v>
      </c>
      <c r="AT16">
        <v>284</v>
      </c>
      <c r="AV16" t="s">
        <v>382</v>
      </c>
      <c r="AW16">
        <v>1409</v>
      </c>
      <c r="AX16">
        <v>105.1738821859</v>
      </c>
      <c r="AY16">
        <v>1891</v>
      </c>
      <c r="AZ16">
        <v>551</v>
      </c>
      <c r="BA16">
        <v>2256</v>
      </c>
      <c r="BB16">
        <v>645</v>
      </c>
      <c r="BC16">
        <v>45</v>
      </c>
      <c r="BD16">
        <v>43</v>
      </c>
      <c r="BE16">
        <v>175</v>
      </c>
      <c r="BF16">
        <v>48</v>
      </c>
      <c r="BG16">
        <v>112</v>
      </c>
      <c r="BH16">
        <v>425</v>
      </c>
      <c r="BJ16" t="s">
        <v>566</v>
      </c>
      <c r="BK16" t="s">
        <v>397</v>
      </c>
      <c r="BL16">
        <v>8373</v>
      </c>
      <c r="BM16">
        <v>1975</v>
      </c>
      <c r="BN16">
        <v>98.133285560700003</v>
      </c>
      <c r="BO16">
        <v>265</v>
      </c>
      <c r="BP16">
        <v>265</v>
      </c>
      <c r="BQ16">
        <v>139.23396226419999</v>
      </c>
      <c r="BR16">
        <v>139.23396226419999</v>
      </c>
      <c r="BS16">
        <v>9166</v>
      </c>
      <c r="BT16">
        <v>2756</v>
      </c>
      <c r="BU16">
        <v>115.2687104517</v>
      </c>
      <c r="BV16">
        <v>288</v>
      </c>
      <c r="BW16">
        <v>288</v>
      </c>
      <c r="BX16">
        <v>146.7986111111</v>
      </c>
      <c r="BY16">
        <v>146.7986111111</v>
      </c>
      <c r="CA16" t="s">
        <v>392</v>
      </c>
      <c r="CB16" t="s">
        <v>774</v>
      </c>
      <c r="CD16">
        <v>67526</v>
      </c>
      <c r="CE16">
        <v>13271</v>
      </c>
      <c r="CF16">
        <v>93.8116133045</v>
      </c>
      <c r="CG16">
        <v>1418</v>
      </c>
      <c r="CH16">
        <v>1418</v>
      </c>
      <c r="CI16">
        <v>134.6086036671</v>
      </c>
      <c r="CJ16">
        <v>134.6086036671</v>
      </c>
      <c r="CL16" t="s">
        <v>392</v>
      </c>
      <c r="CM16" t="s">
        <v>755</v>
      </c>
      <c r="CO16">
        <v>3654</v>
      </c>
      <c r="CP16">
        <v>234</v>
      </c>
      <c r="CQ16">
        <v>53.638752052500003</v>
      </c>
      <c r="CR16">
        <v>168</v>
      </c>
      <c r="CS16">
        <v>168</v>
      </c>
      <c r="CT16">
        <v>51.738095238100001</v>
      </c>
      <c r="CU16">
        <v>51.738095238100001</v>
      </c>
      <c r="CW16" t="s">
        <v>392</v>
      </c>
      <c r="CX16" t="s">
        <v>765</v>
      </c>
      <c r="CZ16">
        <v>1799</v>
      </c>
      <c r="DA16">
        <v>173</v>
      </c>
      <c r="DB16">
        <v>62.2718176765</v>
      </c>
      <c r="DC16">
        <v>27</v>
      </c>
      <c r="DD16">
        <v>27</v>
      </c>
      <c r="DE16">
        <v>146.1111111111</v>
      </c>
      <c r="DF16">
        <v>146.1111111111</v>
      </c>
      <c r="DH16" t="s">
        <v>392</v>
      </c>
      <c r="DI16" t="s">
        <v>745</v>
      </c>
      <c r="DK16">
        <v>2176</v>
      </c>
      <c r="DL16">
        <v>124</v>
      </c>
      <c r="DM16">
        <v>57.658547794100002</v>
      </c>
      <c r="DN16">
        <v>33</v>
      </c>
      <c r="DO16">
        <v>33</v>
      </c>
      <c r="DP16">
        <v>126.36363636359999</v>
      </c>
      <c r="DQ16">
        <v>126.36363636359999</v>
      </c>
    </row>
    <row r="17" spans="2:121" x14ac:dyDescent="0.2">
      <c r="B17" t="s">
        <v>97</v>
      </c>
      <c r="C17">
        <v>30</v>
      </c>
      <c r="D17">
        <v>5</v>
      </c>
      <c r="F17" t="s">
        <v>73</v>
      </c>
      <c r="G17">
        <v>7454</v>
      </c>
      <c r="H17">
        <v>209.99449959750001</v>
      </c>
      <c r="I17">
        <v>5532</v>
      </c>
      <c r="J17">
        <v>526</v>
      </c>
      <c r="K17">
        <v>15909</v>
      </c>
      <c r="L17">
        <v>6822</v>
      </c>
      <c r="M17">
        <v>647</v>
      </c>
      <c r="N17">
        <v>415</v>
      </c>
      <c r="O17">
        <v>76</v>
      </c>
      <c r="P17">
        <v>35</v>
      </c>
      <c r="Q17">
        <v>0</v>
      </c>
      <c r="R17">
        <v>6</v>
      </c>
      <c r="T17" t="s">
        <v>411</v>
      </c>
      <c r="U17">
        <v>61824</v>
      </c>
      <c r="V17">
        <v>366.63662978780002</v>
      </c>
      <c r="W17">
        <v>62554</v>
      </c>
      <c r="X17">
        <v>13142</v>
      </c>
      <c r="Y17">
        <v>86569</v>
      </c>
      <c r="Z17">
        <v>56025</v>
      </c>
      <c r="AA17">
        <v>19103</v>
      </c>
      <c r="AB17">
        <v>16817</v>
      </c>
      <c r="AC17">
        <v>20191</v>
      </c>
      <c r="AD17">
        <v>13953</v>
      </c>
      <c r="AE17">
        <v>345</v>
      </c>
      <c r="AF17">
        <v>736</v>
      </c>
      <c r="AH17" t="s">
        <v>399</v>
      </c>
      <c r="AI17">
        <v>7647</v>
      </c>
      <c r="AJ17">
        <v>617.15038577220002</v>
      </c>
      <c r="AK17">
        <v>5285</v>
      </c>
      <c r="AL17">
        <v>864</v>
      </c>
      <c r="AM17">
        <v>11129</v>
      </c>
      <c r="AN17">
        <v>7200</v>
      </c>
      <c r="AO17">
        <v>1208</v>
      </c>
      <c r="AP17">
        <v>987</v>
      </c>
      <c r="AQ17">
        <v>2182</v>
      </c>
      <c r="AR17">
        <v>1492</v>
      </c>
      <c r="AS17">
        <v>105</v>
      </c>
      <c r="AT17">
        <v>207</v>
      </c>
      <c r="AV17" t="s">
        <v>435</v>
      </c>
      <c r="AW17">
        <v>10</v>
      </c>
      <c r="AX17">
        <v>62.3</v>
      </c>
      <c r="AY17">
        <v>41</v>
      </c>
      <c r="AZ17">
        <v>2</v>
      </c>
      <c r="BA17">
        <v>20</v>
      </c>
      <c r="BB17">
        <v>1</v>
      </c>
      <c r="BC17">
        <v>2</v>
      </c>
      <c r="BD17">
        <v>2</v>
      </c>
      <c r="BE17">
        <v>1</v>
      </c>
      <c r="BG17">
        <v>38</v>
      </c>
      <c r="BH17">
        <v>4</v>
      </c>
      <c r="BJ17" t="s">
        <v>583</v>
      </c>
      <c r="BK17" t="s">
        <v>397</v>
      </c>
      <c r="BL17">
        <v>2323</v>
      </c>
      <c r="BM17">
        <v>461</v>
      </c>
      <c r="BN17">
        <v>83.643994834300003</v>
      </c>
      <c r="BO17">
        <v>59</v>
      </c>
      <c r="BP17">
        <v>59</v>
      </c>
      <c r="BQ17">
        <v>117.37288135590001</v>
      </c>
      <c r="BR17">
        <v>117.37288135590001</v>
      </c>
      <c r="BS17">
        <v>2580</v>
      </c>
      <c r="BT17">
        <v>724</v>
      </c>
      <c r="BU17">
        <v>103.5298449612</v>
      </c>
      <c r="BV17">
        <v>69</v>
      </c>
      <c r="BW17">
        <v>69</v>
      </c>
      <c r="BX17">
        <v>131.0579710145</v>
      </c>
      <c r="BY17">
        <v>131.0579710145</v>
      </c>
      <c r="CA17" t="s">
        <v>401</v>
      </c>
      <c r="CB17" t="s">
        <v>814</v>
      </c>
      <c r="CC17" t="s">
        <v>1010</v>
      </c>
      <c r="CD17">
        <v>6864</v>
      </c>
      <c r="CE17">
        <v>1836</v>
      </c>
      <c r="CF17">
        <v>107.8321678322</v>
      </c>
      <c r="CG17">
        <v>186</v>
      </c>
      <c r="CH17">
        <v>186</v>
      </c>
      <c r="CI17">
        <v>144.5860215054</v>
      </c>
      <c r="CJ17">
        <v>144.5860215054</v>
      </c>
      <c r="CL17" t="s">
        <v>401</v>
      </c>
      <c r="CM17" t="s">
        <v>789</v>
      </c>
      <c r="CN17" t="s">
        <v>788</v>
      </c>
      <c r="CO17">
        <v>713</v>
      </c>
      <c r="CP17">
        <v>45</v>
      </c>
      <c r="CQ17">
        <v>55.495091164100003</v>
      </c>
      <c r="CR17">
        <v>19</v>
      </c>
      <c r="CS17">
        <v>19</v>
      </c>
      <c r="CT17">
        <v>56.684210526299999</v>
      </c>
      <c r="CU17">
        <v>56.684210526299999</v>
      </c>
      <c r="CW17" t="s">
        <v>401</v>
      </c>
      <c r="CX17" t="s">
        <v>802</v>
      </c>
      <c r="CY17" t="s">
        <v>801</v>
      </c>
      <c r="CZ17">
        <v>216</v>
      </c>
      <c r="DA17">
        <v>19</v>
      </c>
      <c r="DB17">
        <v>62.638888888899999</v>
      </c>
      <c r="DC17">
        <v>3</v>
      </c>
      <c r="DD17">
        <v>3</v>
      </c>
      <c r="DE17">
        <v>128</v>
      </c>
      <c r="DF17">
        <v>128</v>
      </c>
      <c r="DH17" t="s">
        <v>401</v>
      </c>
      <c r="DI17" t="s">
        <v>776</v>
      </c>
      <c r="DJ17" t="s">
        <v>775</v>
      </c>
      <c r="DK17">
        <v>188</v>
      </c>
      <c r="DL17">
        <v>7</v>
      </c>
      <c r="DM17">
        <v>60.787234042599998</v>
      </c>
      <c r="DN17">
        <v>3</v>
      </c>
      <c r="DO17">
        <v>3</v>
      </c>
      <c r="DP17">
        <v>82.333333333300004</v>
      </c>
      <c r="DQ17">
        <v>82.333333333300004</v>
      </c>
    </row>
    <row r="18" spans="2:121" x14ac:dyDescent="0.2">
      <c r="B18" t="s">
        <v>125</v>
      </c>
      <c r="C18">
        <v>130</v>
      </c>
      <c r="D18">
        <v>106</v>
      </c>
      <c r="F18" t="s">
        <v>86</v>
      </c>
      <c r="G18">
        <v>16524</v>
      </c>
      <c r="H18">
        <v>284.40020576130001</v>
      </c>
      <c r="I18">
        <v>25370</v>
      </c>
      <c r="J18">
        <v>4744</v>
      </c>
      <c r="K18">
        <v>27239</v>
      </c>
      <c r="L18">
        <v>14270</v>
      </c>
      <c r="M18">
        <v>5108</v>
      </c>
      <c r="N18">
        <v>4088</v>
      </c>
      <c r="O18">
        <v>5534</v>
      </c>
      <c r="P18">
        <v>4046</v>
      </c>
      <c r="Q18">
        <v>2</v>
      </c>
      <c r="R18">
        <v>24</v>
      </c>
      <c r="T18" t="s">
        <v>387</v>
      </c>
      <c r="U18">
        <v>69355</v>
      </c>
      <c r="V18">
        <v>331.5696489078</v>
      </c>
      <c r="W18">
        <v>72815</v>
      </c>
      <c r="X18">
        <v>16297</v>
      </c>
      <c r="Y18">
        <v>98709</v>
      </c>
      <c r="Z18">
        <v>61761</v>
      </c>
      <c r="AA18">
        <v>19879</v>
      </c>
      <c r="AB18">
        <v>17393</v>
      </c>
      <c r="AC18">
        <v>32960</v>
      </c>
      <c r="AD18">
        <v>18385</v>
      </c>
      <c r="AE18">
        <v>164</v>
      </c>
      <c r="AF18">
        <v>1186</v>
      </c>
      <c r="AH18" t="s">
        <v>406</v>
      </c>
      <c r="AI18">
        <v>1525</v>
      </c>
      <c r="AJ18">
        <v>191.4636065574</v>
      </c>
      <c r="AK18">
        <v>2487</v>
      </c>
      <c r="AL18">
        <v>493</v>
      </c>
      <c r="AM18">
        <v>3044</v>
      </c>
      <c r="AN18">
        <v>1042</v>
      </c>
      <c r="AO18">
        <v>270</v>
      </c>
      <c r="AP18">
        <v>224</v>
      </c>
      <c r="AQ18">
        <v>1221</v>
      </c>
      <c r="AR18">
        <v>968</v>
      </c>
      <c r="AS18">
        <v>1</v>
      </c>
      <c r="AT18">
        <v>10</v>
      </c>
      <c r="AV18" t="s">
        <v>406</v>
      </c>
      <c r="AW18">
        <v>80</v>
      </c>
      <c r="AX18">
        <v>38.524999999999999</v>
      </c>
      <c r="AY18">
        <v>295</v>
      </c>
      <c r="AZ18">
        <v>7</v>
      </c>
      <c r="BA18">
        <v>138</v>
      </c>
      <c r="BB18">
        <v>4</v>
      </c>
      <c r="BC18">
        <v>0</v>
      </c>
      <c r="BE18">
        <v>4</v>
      </c>
      <c r="BG18">
        <v>168</v>
      </c>
      <c r="BH18">
        <v>28</v>
      </c>
      <c r="BJ18" t="s">
        <v>576</v>
      </c>
      <c r="BK18" t="s">
        <v>397</v>
      </c>
      <c r="BL18">
        <v>7305</v>
      </c>
      <c r="BM18">
        <v>1874</v>
      </c>
      <c r="BN18">
        <v>97.236413415499996</v>
      </c>
      <c r="BO18">
        <v>203</v>
      </c>
      <c r="BP18">
        <v>203</v>
      </c>
      <c r="BQ18">
        <v>130.00985221670001</v>
      </c>
      <c r="BR18">
        <v>130.00985221670001</v>
      </c>
      <c r="BS18">
        <v>7280</v>
      </c>
      <c r="BT18">
        <v>1846</v>
      </c>
      <c r="BU18">
        <v>95.578983516500003</v>
      </c>
      <c r="BV18">
        <v>202</v>
      </c>
      <c r="BW18">
        <v>202</v>
      </c>
      <c r="BX18">
        <v>130.1683168317</v>
      </c>
      <c r="BY18">
        <v>130.1683168317</v>
      </c>
      <c r="CA18" t="s">
        <v>399</v>
      </c>
      <c r="CB18" t="s">
        <v>814</v>
      </c>
      <c r="CC18" t="s">
        <v>1011</v>
      </c>
      <c r="CD18">
        <v>5073</v>
      </c>
      <c r="CE18">
        <v>852</v>
      </c>
      <c r="CF18">
        <v>86.048689138599997</v>
      </c>
      <c r="CG18">
        <v>150</v>
      </c>
      <c r="CH18">
        <v>150</v>
      </c>
      <c r="CI18">
        <v>120.24666666669999</v>
      </c>
      <c r="CJ18">
        <v>120.24666666669999</v>
      </c>
      <c r="CL18" t="s">
        <v>399</v>
      </c>
      <c r="CM18" t="s">
        <v>789</v>
      </c>
      <c r="CN18" t="s">
        <v>790</v>
      </c>
      <c r="CO18">
        <v>450</v>
      </c>
      <c r="CP18">
        <v>31</v>
      </c>
      <c r="CQ18">
        <v>54.244444444400003</v>
      </c>
      <c r="CR18">
        <v>10</v>
      </c>
      <c r="CS18">
        <v>10</v>
      </c>
      <c r="CT18">
        <v>52.2</v>
      </c>
      <c r="CU18">
        <v>52.2</v>
      </c>
      <c r="CW18" t="s">
        <v>399</v>
      </c>
      <c r="CX18" t="s">
        <v>802</v>
      </c>
      <c r="CY18" t="s">
        <v>803</v>
      </c>
      <c r="CZ18">
        <v>112</v>
      </c>
      <c r="DA18">
        <v>10</v>
      </c>
      <c r="DB18">
        <v>65.526785714300004</v>
      </c>
      <c r="DC18">
        <v>1</v>
      </c>
      <c r="DD18">
        <v>1</v>
      </c>
      <c r="DE18">
        <v>77</v>
      </c>
      <c r="DF18">
        <v>77</v>
      </c>
      <c r="DH18" t="s">
        <v>399</v>
      </c>
      <c r="DI18" t="s">
        <v>776</v>
      </c>
      <c r="DJ18" t="s">
        <v>777</v>
      </c>
      <c r="DK18">
        <v>86</v>
      </c>
      <c r="DL18">
        <v>8</v>
      </c>
      <c r="DM18">
        <v>77.2325581395</v>
      </c>
      <c r="DN18">
        <v>2</v>
      </c>
      <c r="DO18">
        <v>2</v>
      </c>
      <c r="DP18">
        <v>168.5</v>
      </c>
      <c r="DQ18">
        <v>168.5</v>
      </c>
    </row>
    <row r="19" spans="2:121" x14ac:dyDescent="0.2">
      <c r="B19" t="s">
        <v>129</v>
      </c>
      <c r="C19">
        <v>43</v>
      </c>
      <c r="D19">
        <v>29</v>
      </c>
      <c r="F19" t="s">
        <v>77</v>
      </c>
      <c r="G19">
        <v>244</v>
      </c>
      <c r="H19">
        <v>94.557377049199999</v>
      </c>
      <c r="I19">
        <v>767</v>
      </c>
      <c r="J19">
        <v>183</v>
      </c>
      <c r="K19">
        <v>561</v>
      </c>
      <c r="L19">
        <v>106</v>
      </c>
      <c r="M19">
        <v>385</v>
      </c>
      <c r="N19">
        <v>221</v>
      </c>
      <c r="O19">
        <v>33</v>
      </c>
      <c r="P19">
        <v>13</v>
      </c>
      <c r="Q19">
        <v>0</v>
      </c>
      <c r="R19">
        <v>1</v>
      </c>
      <c r="T19" t="s">
        <v>468</v>
      </c>
      <c r="U19">
        <v>342787</v>
      </c>
      <c r="V19">
        <v>373.9802442916</v>
      </c>
      <c r="W19">
        <v>340897</v>
      </c>
      <c r="X19">
        <v>70488</v>
      </c>
      <c r="Y19">
        <v>489656</v>
      </c>
      <c r="Z19">
        <v>306567</v>
      </c>
      <c r="AA19">
        <v>84653</v>
      </c>
      <c r="AB19">
        <v>72307</v>
      </c>
      <c r="AC19">
        <v>140957</v>
      </c>
      <c r="AD19">
        <v>84214</v>
      </c>
      <c r="AE19">
        <v>11435</v>
      </c>
      <c r="AF19">
        <v>4448</v>
      </c>
      <c r="AH19" t="s">
        <v>429</v>
      </c>
      <c r="AI19">
        <v>1994</v>
      </c>
      <c r="AJ19">
        <v>241.1634904714</v>
      </c>
      <c r="AK19">
        <v>2951</v>
      </c>
      <c r="AL19">
        <v>533</v>
      </c>
      <c r="AM19">
        <v>3444</v>
      </c>
      <c r="AN19">
        <v>1453</v>
      </c>
      <c r="AO19">
        <v>515</v>
      </c>
      <c r="AP19">
        <v>340</v>
      </c>
      <c r="AQ19">
        <v>437</v>
      </c>
      <c r="AR19">
        <v>204</v>
      </c>
      <c r="AS19">
        <v>2</v>
      </c>
      <c r="AT19">
        <v>17</v>
      </c>
      <c r="AV19" t="s">
        <v>8</v>
      </c>
      <c r="AW19">
        <v>153</v>
      </c>
      <c r="AX19">
        <v>108.45098039219999</v>
      </c>
      <c r="AY19">
        <v>178</v>
      </c>
      <c r="AZ19">
        <v>73</v>
      </c>
      <c r="BA19">
        <v>324</v>
      </c>
      <c r="BB19">
        <v>154</v>
      </c>
      <c r="BC19">
        <v>16</v>
      </c>
      <c r="BD19">
        <v>14</v>
      </c>
      <c r="BE19">
        <v>18</v>
      </c>
      <c r="BF19">
        <v>10</v>
      </c>
      <c r="BG19">
        <v>63</v>
      </c>
      <c r="BH19">
        <v>16</v>
      </c>
      <c r="BJ19" t="s">
        <v>640</v>
      </c>
      <c r="BK19" t="s">
        <v>397</v>
      </c>
      <c r="BL19">
        <v>895</v>
      </c>
      <c r="BM19">
        <v>174</v>
      </c>
      <c r="BN19">
        <v>77.341899441300001</v>
      </c>
      <c r="BO19">
        <v>30</v>
      </c>
      <c r="BP19">
        <v>30</v>
      </c>
      <c r="BQ19">
        <v>74.233333333299996</v>
      </c>
      <c r="BR19">
        <v>74.233333333299996</v>
      </c>
      <c r="BS19">
        <v>1052</v>
      </c>
      <c r="BT19">
        <v>332</v>
      </c>
      <c r="BU19">
        <v>122.6967680608</v>
      </c>
      <c r="BV19">
        <v>31</v>
      </c>
      <c r="BW19">
        <v>31</v>
      </c>
      <c r="BX19">
        <v>79.290322580600005</v>
      </c>
      <c r="BY19">
        <v>79.290322580600005</v>
      </c>
      <c r="CA19" t="s">
        <v>406</v>
      </c>
      <c r="CB19" t="s">
        <v>814</v>
      </c>
      <c r="CC19" t="s">
        <v>1012</v>
      </c>
      <c r="CD19">
        <v>2392</v>
      </c>
      <c r="CE19">
        <v>492</v>
      </c>
      <c r="CF19">
        <v>85.745401337800004</v>
      </c>
      <c r="CG19">
        <v>58</v>
      </c>
      <c r="CH19">
        <v>58</v>
      </c>
      <c r="CI19">
        <v>112.6206896552</v>
      </c>
      <c r="CJ19">
        <v>112.6206896552</v>
      </c>
      <c r="CL19" t="s">
        <v>406</v>
      </c>
      <c r="CM19" t="s">
        <v>789</v>
      </c>
      <c r="CN19" t="s">
        <v>791</v>
      </c>
      <c r="CO19">
        <v>244</v>
      </c>
      <c r="CP19">
        <v>8</v>
      </c>
      <c r="CQ19">
        <v>47.479508196700003</v>
      </c>
      <c r="CR19">
        <v>17</v>
      </c>
      <c r="CS19">
        <v>17</v>
      </c>
      <c r="CT19">
        <v>75.352941176499996</v>
      </c>
      <c r="CU19">
        <v>75.352941176499996</v>
      </c>
      <c r="CW19" t="s">
        <v>406</v>
      </c>
      <c r="CX19" t="s">
        <v>802</v>
      </c>
      <c r="CY19" t="s">
        <v>804</v>
      </c>
      <c r="CZ19">
        <v>51</v>
      </c>
      <c r="DA19">
        <v>2</v>
      </c>
      <c r="DB19">
        <v>59.705882352899998</v>
      </c>
      <c r="DC19">
        <v>2</v>
      </c>
      <c r="DD19">
        <v>2</v>
      </c>
      <c r="DE19">
        <v>197.5</v>
      </c>
      <c r="DF19">
        <v>197.5</v>
      </c>
      <c r="DH19" t="s">
        <v>406</v>
      </c>
      <c r="DI19" t="s">
        <v>776</v>
      </c>
      <c r="DJ19" t="s">
        <v>778</v>
      </c>
      <c r="DK19">
        <v>44</v>
      </c>
      <c r="DL19">
        <v>4</v>
      </c>
      <c r="DM19">
        <v>78.659090909100001</v>
      </c>
      <c r="DN19">
        <v>0</v>
      </c>
      <c r="DO19">
        <v>0</v>
      </c>
      <c r="DP19">
        <v>0</v>
      </c>
      <c r="DQ19">
        <v>0</v>
      </c>
    </row>
    <row r="20" spans="2:121" x14ac:dyDescent="0.2">
      <c r="B20" t="s">
        <v>122</v>
      </c>
      <c r="C20">
        <v>10113</v>
      </c>
      <c r="D20">
        <v>2555</v>
      </c>
      <c r="F20" t="s">
        <v>71</v>
      </c>
      <c r="G20">
        <v>3529</v>
      </c>
      <c r="H20">
        <v>474.7257013318</v>
      </c>
      <c r="I20">
        <v>3524</v>
      </c>
      <c r="J20">
        <v>1001</v>
      </c>
      <c r="K20">
        <v>4162</v>
      </c>
      <c r="L20">
        <v>2870</v>
      </c>
      <c r="M20">
        <v>383</v>
      </c>
      <c r="N20">
        <v>341</v>
      </c>
      <c r="O20">
        <v>1015</v>
      </c>
      <c r="P20">
        <v>612</v>
      </c>
      <c r="Q20">
        <v>0</v>
      </c>
      <c r="R20">
        <v>120</v>
      </c>
      <c r="AH20" t="s">
        <v>400</v>
      </c>
      <c r="AI20">
        <v>7816</v>
      </c>
      <c r="AJ20">
        <v>537.20726714429998</v>
      </c>
      <c r="AK20">
        <v>4376</v>
      </c>
      <c r="AL20">
        <v>860</v>
      </c>
      <c r="AM20">
        <v>10782</v>
      </c>
      <c r="AN20">
        <v>7707</v>
      </c>
      <c r="AO20">
        <v>2707</v>
      </c>
      <c r="AP20">
        <v>2604</v>
      </c>
      <c r="AQ20">
        <v>860</v>
      </c>
      <c r="AR20">
        <v>453</v>
      </c>
      <c r="AS20">
        <v>109</v>
      </c>
      <c r="AT20">
        <v>158</v>
      </c>
      <c r="AV20" t="s">
        <v>389</v>
      </c>
      <c r="AW20">
        <v>1178</v>
      </c>
      <c r="AX20">
        <v>113.2393887946</v>
      </c>
      <c r="AY20">
        <v>1069</v>
      </c>
      <c r="AZ20">
        <v>288</v>
      </c>
      <c r="BA20">
        <v>1854</v>
      </c>
      <c r="BB20">
        <v>585</v>
      </c>
      <c r="BC20">
        <v>64</v>
      </c>
      <c r="BD20">
        <v>62</v>
      </c>
      <c r="BE20">
        <v>159</v>
      </c>
      <c r="BF20">
        <v>57</v>
      </c>
      <c r="BG20">
        <v>212</v>
      </c>
      <c r="BH20">
        <v>373</v>
      </c>
      <c r="BJ20" t="s">
        <v>568</v>
      </c>
      <c r="BK20" t="s">
        <v>397</v>
      </c>
      <c r="BL20">
        <v>4955</v>
      </c>
      <c r="BM20">
        <v>843</v>
      </c>
      <c r="BN20">
        <v>86.0728557013</v>
      </c>
      <c r="BO20">
        <v>147</v>
      </c>
      <c r="BP20">
        <v>147</v>
      </c>
      <c r="BQ20">
        <v>119.380952381</v>
      </c>
      <c r="BR20">
        <v>119.380952381</v>
      </c>
      <c r="BS20">
        <v>5130</v>
      </c>
      <c r="BT20">
        <v>1021</v>
      </c>
      <c r="BU20">
        <v>92.722612085799994</v>
      </c>
      <c r="BV20">
        <v>146</v>
      </c>
      <c r="BW20">
        <v>146</v>
      </c>
      <c r="BX20">
        <v>112.0410958904</v>
      </c>
      <c r="BY20">
        <v>112.0410958904</v>
      </c>
      <c r="CA20" t="s">
        <v>429</v>
      </c>
      <c r="CB20" t="s">
        <v>814</v>
      </c>
      <c r="CC20" t="s">
        <v>1013</v>
      </c>
      <c r="CD20">
        <v>2852</v>
      </c>
      <c r="CE20">
        <v>552</v>
      </c>
      <c r="CF20">
        <v>87.438990182300003</v>
      </c>
      <c r="CG20">
        <v>84</v>
      </c>
      <c r="CH20">
        <v>84</v>
      </c>
      <c r="CI20">
        <v>170.94047619049999</v>
      </c>
      <c r="CJ20">
        <v>170.94047619049999</v>
      </c>
      <c r="CL20" t="s">
        <v>429</v>
      </c>
      <c r="CM20" t="s">
        <v>789</v>
      </c>
      <c r="CN20" t="s">
        <v>792</v>
      </c>
      <c r="CO20">
        <v>253</v>
      </c>
      <c r="CP20">
        <v>14</v>
      </c>
      <c r="CQ20">
        <v>56.343873517799999</v>
      </c>
      <c r="CR20">
        <v>10</v>
      </c>
      <c r="CS20">
        <v>10</v>
      </c>
      <c r="CT20">
        <v>57.7</v>
      </c>
      <c r="CU20">
        <v>57.7</v>
      </c>
      <c r="CW20" t="s">
        <v>429</v>
      </c>
      <c r="CX20" t="s">
        <v>802</v>
      </c>
      <c r="CY20" t="s">
        <v>805</v>
      </c>
      <c r="CZ20">
        <v>62</v>
      </c>
      <c r="DA20">
        <v>2</v>
      </c>
      <c r="DB20">
        <v>53.322580645199999</v>
      </c>
      <c r="DC20">
        <v>1</v>
      </c>
      <c r="DD20">
        <v>1</v>
      </c>
      <c r="DE20">
        <v>168</v>
      </c>
      <c r="DF20">
        <v>168</v>
      </c>
      <c r="DH20" t="s">
        <v>429</v>
      </c>
      <c r="DI20" t="s">
        <v>776</v>
      </c>
      <c r="DJ20" t="s">
        <v>779</v>
      </c>
      <c r="DK20">
        <v>162</v>
      </c>
      <c r="DL20">
        <v>7</v>
      </c>
      <c r="DM20">
        <v>49.246913580200001</v>
      </c>
      <c r="DN20">
        <v>3</v>
      </c>
      <c r="DO20">
        <v>3</v>
      </c>
      <c r="DP20">
        <v>92.333333333300004</v>
      </c>
      <c r="DQ20">
        <v>92.333333333300004</v>
      </c>
    </row>
    <row r="21" spans="2:121" x14ac:dyDescent="0.2">
      <c r="B21" t="s">
        <v>321</v>
      </c>
      <c r="C21">
        <v>8</v>
      </c>
      <c r="D21">
        <v>7</v>
      </c>
      <c r="F21" t="s">
        <v>47</v>
      </c>
      <c r="G21">
        <v>1542</v>
      </c>
      <c r="H21">
        <v>251.73151750970001</v>
      </c>
      <c r="I21">
        <v>1535</v>
      </c>
      <c r="J21">
        <v>257</v>
      </c>
      <c r="K21">
        <v>3222</v>
      </c>
      <c r="L21">
        <v>1932</v>
      </c>
      <c r="M21">
        <v>362</v>
      </c>
      <c r="N21">
        <v>258</v>
      </c>
      <c r="O21">
        <v>679</v>
      </c>
      <c r="P21">
        <v>497</v>
      </c>
      <c r="Q21">
        <v>0</v>
      </c>
      <c r="R21">
        <v>3</v>
      </c>
      <c r="AH21" t="s">
        <v>394</v>
      </c>
      <c r="AI21">
        <v>6346</v>
      </c>
      <c r="AJ21">
        <v>405.0535770564</v>
      </c>
      <c r="AK21">
        <v>6393</v>
      </c>
      <c r="AL21">
        <v>1049</v>
      </c>
      <c r="AM21">
        <v>9250</v>
      </c>
      <c r="AN21">
        <v>5886</v>
      </c>
      <c r="AO21">
        <v>875</v>
      </c>
      <c r="AP21">
        <v>714</v>
      </c>
      <c r="AQ21">
        <v>1511</v>
      </c>
      <c r="AR21">
        <v>645</v>
      </c>
      <c r="AS21">
        <v>50</v>
      </c>
      <c r="AT21">
        <v>300</v>
      </c>
      <c r="AV21" t="s">
        <v>383</v>
      </c>
      <c r="AW21">
        <v>318</v>
      </c>
      <c r="AX21">
        <v>105.11320754720001</v>
      </c>
      <c r="AY21">
        <v>430</v>
      </c>
      <c r="AZ21">
        <v>126</v>
      </c>
      <c r="BA21">
        <v>494</v>
      </c>
      <c r="BB21">
        <v>165</v>
      </c>
      <c r="BC21">
        <v>21</v>
      </c>
      <c r="BD21">
        <v>18</v>
      </c>
      <c r="BE21">
        <v>47</v>
      </c>
      <c r="BF21">
        <v>18</v>
      </c>
      <c r="BG21">
        <v>54</v>
      </c>
      <c r="BH21">
        <v>153</v>
      </c>
      <c r="BJ21" t="s">
        <v>585</v>
      </c>
      <c r="BK21" t="s">
        <v>397</v>
      </c>
      <c r="BL21">
        <v>1948</v>
      </c>
      <c r="BM21">
        <v>237</v>
      </c>
      <c r="BN21">
        <v>69.110369609900005</v>
      </c>
      <c r="BO21">
        <v>58</v>
      </c>
      <c r="BP21">
        <v>58</v>
      </c>
      <c r="BQ21">
        <v>112.0689655172</v>
      </c>
      <c r="BR21">
        <v>112.0689655172</v>
      </c>
      <c r="BS21">
        <v>5083</v>
      </c>
      <c r="BT21">
        <v>1289</v>
      </c>
      <c r="BU21">
        <v>104.94255361010001</v>
      </c>
      <c r="BV21">
        <v>138</v>
      </c>
      <c r="BW21">
        <v>138</v>
      </c>
      <c r="BX21">
        <v>132.0144927536</v>
      </c>
      <c r="BY21">
        <v>132.0144927536</v>
      </c>
      <c r="CA21" t="s">
        <v>402</v>
      </c>
      <c r="CB21" t="s">
        <v>814</v>
      </c>
      <c r="CC21" t="s">
        <v>1014</v>
      </c>
      <c r="CD21">
        <v>7385</v>
      </c>
      <c r="CE21">
        <v>1867</v>
      </c>
      <c r="CF21">
        <v>99.556262694699996</v>
      </c>
      <c r="CG21">
        <v>217</v>
      </c>
      <c r="CH21">
        <v>217</v>
      </c>
      <c r="CI21">
        <v>142.4423963134</v>
      </c>
      <c r="CJ21">
        <v>142.4423963134</v>
      </c>
      <c r="CL21" t="s">
        <v>402</v>
      </c>
      <c r="CM21" t="s">
        <v>789</v>
      </c>
      <c r="CN21" t="s">
        <v>793</v>
      </c>
      <c r="CO21">
        <v>775</v>
      </c>
      <c r="CP21">
        <v>44</v>
      </c>
      <c r="CQ21">
        <v>56.072258064499998</v>
      </c>
      <c r="CR21">
        <v>14</v>
      </c>
      <c r="CS21">
        <v>14</v>
      </c>
      <c r="CT21">
        <v>91.5</v>
      </c>
      <c r="CU21">
        <v>91.5</v>
      </c>
      <c r="CW21" t="s">
        <v>402</v>
      </c>
      <c r="CX21" t="s">
        <v>802</v>
      </c>
      <c r="CY21" t="s">
        <v>806</v>
      </c>
      <c r="CZ21">
        <v>165</v>
      </c>
      <c r="DA21">
        <v>13</v>
      </c>
      <c r="DB21">
        <v>61.339393939399997</v>
      </c>
      <c r="DC21">
        <v>3</v>
      </c>
      <c r="DD21">
        <v>3</v>
      </c>
      <c r="DE21">
        <v>176.6666666667</v>
      </c>
      <c r="DF21">
        <v>176.6666666667</v>
      </c>
      <c r="DH21" t="s">
        <v>402</v>
      </c>
      <c r="DI21" t="s">
        <v>776</v>
      </c>
      <c r="DJ21" t="s">
        <v>780</v>
      </c>
      <c r="DK21">
        <v>112</v>
      </c>
      <c r="DL21">
        <v>7</v>
      </c>
      <c r="DM21">
        <v>70.991071428599994</v>
      </c>
      <c r="DN21">
        <v>5</v>
      </c>
      <c r="DO21">
        <v>5</v>
      </c>
      <c r="DP21">
        <v>111.6</v>
      </c>
      <c r="DQ21">
        <v>111.6</v>
      </c>
    </row>
    <row r="22" spans="2:121" x14ac:dyDescent="0.2">
      <c r="B22" t="s">
        <v>115</v>
      </c>
      <c r="C22">
        <v>15717</v>
      </c>
      <c r="D22">
        <v>13534</v>
      </c>
      <c r="F22" t="s">
        <v>8</v>
      </c>
      <c r="G22">
        <v>49</v>
      </c>
      <c r="H22">
        <v>828.32653061220003</v>
      </c>
      <c r="I22">
        <v>1</v>
      </c>
      <c r="K22">
        <v>51</v>
      </c>
      <c r="L22">
        <v>51</v>
      </c>
      <c r="M22">
        <v>2</v>
      </c>
      <c r="N22">
        <v>1</v>
      </c>
      <c r="O22">
        <v>22762</v>
      </c>
      <c r="P22">
        <v>7858</v>
      </c>
      <c r="Q22">
        <v>0</v>
      </c>
      <c r="R22">
        <v>0</v>
      </c>
      <c r="AH22" t="s">
        <v>423</v>
      </c>
      <c r="AI22">
        <v>1527</v>
      </c>
      <c r="AJ22">
        <v>275.02161100199999</v>
      </c>
      <c r="AK22">
        <v>1172</v>
      </c>
      <c r="AL22">
        <v>154</v>
      </c>
      <c r="AM22">
        <v>2133</v>
      </c>
      <c r="AN22">
        <v>1320</v>
      </c>
      <c r="AO22">
        <v>931</v>
      </c>
      <c r="AP22">
        <v>805</v>
      </c>
      <c r="AQ22">
        <v>305</v>
      </c>
      <c r="AR22">
        <v>162</v>
      </c>
      <c r="AS22">
        <v>287</v>
      </c>
      <c r="AT22">
        <v>3</v>
      </c>
      <c r="AV22" t="s">
        <v>429</v>
      </c>
      <c r="AW22">
        <v>61</v>
      </c>
      <c r="AX22">
        <v>49.393442622999999</v>
      </c>
      <c r="AY22">
        <v>254</v>
      </c>
      <c r="AZ22">
        <v>10</v>
      </c>
      <c r="BA22">
        <v>121</v>
      </c>
      <c r="BB22">
        <v>6</v>
      </c>
      <c r="BC22">
        <v>1</v>
      </c>
      <c r="BD22">
        <v>1</v>
      </c>
      <c r="BE22">
        <v>7</v>
      </c>
      <c r="BF22">
        <v>3</v>
      </c>
      <c r="BG22">
        <v>108</v>
      </c>
      <c r="BH22">
        <v>31</v>
      </c>
      <c r="BJ22" t="s">
        <v>397</v>
      </c>
      <c r="BK22" t="s">
        <v>397</v>
      </c>
      <c r="BL22">
        <v>52775</v>
      </c>
      <c r="BM22">
        <v>11214</v>
      </c>
      <c r="BN22">
        <v>91.477801989599996</v>
      </c>
      <c r="BO22">
        <v>1359</v>
      </c>
      <c r="BP22">
        <v>1359</v>
      </c>
      <c r="BQ22">
        <v>130.2987490802</v>
      </c>
      <c r="BR22">
        <v>130.2987490802</v>
      </c>
      <c r="BS22">
        <v>57900</v>
      </c>
      <c r="BT22">
        <v>14783</v>
      </c>
      <c r="BU22">
        <v>101.7347668394</v>
      </c>
      <c r="BV22">
        <v>1488</v>
      </c>
      <c r="BW22">
        <v>1488</v>
      </c>
      <c r="BX22">
        <v>135.85752688170001</v>
      </c>
      <c r="BY22">
        <v>135.85752688170001</v>
      </c>
      <c r="CA22" t="s">
        <v>408</v>
      </c>
      <c r="CB22" t="s">
        <v>814</v>
      </c>
      <c r="CC22" t="s">
        <v>1015</v>
      </c>
      <c r="CD22">
        <v>5522</v>
      </c>
      <c r="CE22">
        <v>1088</v>
      </c>
      <c r="CF22">
        <v>86.138898949700007</v>
      </c>
      <c r="CG22">
        <v>125</v>
      </c>
      <c r="CH22">
        <v>125</v>
      </c>
      <c r="CI22">
        <v>108.408</v>
      </c>
      <c r="CJ22">
        <v>108.408</v>
      </c>
      <c r="CL22" t="s">
        <v>408</v>
      </c>
      <c r="CM22" t="s">
        <v>789</v>
      </c>
      <c r="CN22" t="s">
        <v>794</v>
      </c>
      <c r="CO22">
        <v>316</v>
      </c>
      <c r="CP22">
        <v>16</v>
      </c>
      <c r="CQ22">
        <v>45.075949367100002</v>
      </c>
      <c r="CR22">
        <v>14</v>
      </c>
      <c r="CS22">
        <v>14</v>
      </c>
      <c r="CT22">
        <v>42.428571428600002</v>
      </c>
      <c r="CU22">
        <v>42.428571428600002</v>
      </c>
      <c r="CW22" t="s">
        <v>408</v>
      </c>
      <c r="CX22" t="s">
        <v>802</v>
      </c>
      <c r="CY22" t="s">
        <v>807</v>
      </c>
      <c r="CZ22">
        <v>81</v>
      </c>
      <c r="DA22">
        <v>3</v>
      </c>
      <c r="DB22">
        <v>55.209876543199996</v>
      </c>
      <c r="DC22">
        <v>1</v>
      </c>
      <c r="DD22">
        <v>1</v>
      </c>
      <c r="DE22">
        <v>82</v>
      </c>
      <c r="DF22">
        <v>82</v>
      </c>
      <c r="DH22" t="s">
        <v>408</v>
      </c>
      <c r="DI22" t="s">
        <v>776</v>
      </c>
      <c r="DJ22" t="s">
        <v>781</v>
      </c>
      <c r="DK22">
        <v>38</v>
      </c>
      <c r="DL22">
        <v>2</v>
      </c>
      <c r="DM22">
        <v>65.184210526300006</v>
      </c>
      <c r="DN22">
        <v>0</v>
      </c>
      <c r="DO22">
        <v>0</v>
      </c>
      <c r="DP22">
        <v>0</v>
      </c>
      <c r="DQ22">
        <v>0</v>
      </c>
    </row>
    <row r="23" spans="2:121" x14ac:dyDescent="0.2">
      <c r="B23" t="s">
        <v>116</v>
      </c>
      <c r="C23">
        <v>1762</v>
      </c>
      <c r="D23">
        <v>460</v>
      </c>
      <c r="F23" t="s">
        <v>46</v>
      </c>
      <c r="G23">
        <v>132</v>
      </c>
      <c r="H23">
        <v>59.318181818200003</v>
      </c>
      <c r="I23">
        <v>805</v>
      </c>
      <c r="J23">
        <v>174</v>
      </c>
      <c r="K23">
        <v>375</v>
      </c>
      <c r="L23">
        <v>22</v>
      </c>
      <c r="M23">
        <v>75</v>
      </c>
      <c r="N23">
        <v>21</v>
      </c>
      <c r="O23">
        <v>52</v>
      </c>
      <c r="P23">
        <v>16</v>
      </c>
      <c r="Q23">
        <v>0</v>
      </c>
      <c r="R23">
        <v>0</v>
      </c>
      <c r="AH23" t="s">
        <v>383</v>
      </c>
      <c r="AI23">
        <v>8905</v>
      </c>
      <c r="AJ23">
        <v>588.95440763620002</v>
      </c>
      <c r="AK23">
        <v>6012</v>
      </c>
      <c r="AL23">
        <v>1025</v>
      </c>
      <c r="AM23">
        <v>11210</v>
      </c>
      <c r="AN23">
        <v>8304</v>
      </c>
      <c r="AO23">
        <v>1233</v>
      </c>
      <c r="AP23">
        <v>1043</v>
      </c>
      <c r="AQ23">
        <v>6450</v>
      </c>
      <c r="AR23">
        <v>5192</v>
      </c>
      <c r="AS23">
        <v>361</v>
      </c>
      <c r="AT23">
        <v>7</v>
      </c>
      <c r="AV23" t="s">
        <v>410</v>
      </c>
      <c r="AW23">
        <v>66</v>
      </c>
      <c r="AX23">
        <v>41.015151515200003</v>
      </c>
      <c r="AY23">
        <v>215</v>
      </c>
      <c r="AZ23">
        <v>5</v>
      </c>
      <c r="BA23">
        <v>146</v>
      </c>
      <c r="BB23">
        <v>8</v>
      </c>
      <c r="BC23">
        <v>3</v>
      </c>
      <c r="BD23">
        <v>3</v>
      </c>
      <c r="BE23">
        <v>13</v>
      </c>
      <c r="BF23">
        <v>9</v>
      </c>
      <c r="BG23">
        <v>214</v>
      </c>
      <c r="BH23">
        <v>33</v>
      </c>
      <c r="BJ23" t="s">
        <v>578</v>
      </c>
      <c r="BK23" t="s">
        <v>397</v>
      </c>
      <c r="BL23">
        <v>3975</v>
      </c>
      <c r="BM23">
        <v>756</v>
      </c>
      <c r="BN23">
        <v>82.9418867925</v>
      </c>
      <c r="BO23">
        <v>46</v>
      </c>
      <c r="BP23">
        <v>46</v>
      </c>
      <c r="BQ23">
        <v>123.5</v>
      </c>
      <c r="BR23">
        <v>123.5</v>
      </c>
      <c r="BS23">
        <v>4713</v>
      </c>
      <c r="BT23">
        <v>1191</v>
      </c>
      <c r="BU23">
        <v>99.528962444300006</v>
      </c>
      <c r="BV23">
        <v>61</v>
      </c>
      <c r="BW23">
        <v>61</v>
      </c>
      <c r="BX23">
        <v>139.09836065569999</v>
      </c>
      <c r="BY23">
        <v>139.09836065569999</v>
      </c>
      <c r="CA23" t="s">
        <v>404</v>
      </c>
      <c r="CB23" t="s">
        <v>814</v>
      </c>
      <c r="CC23" t="s">
        <v>1016</v>
      </c>
      <c r="CD23">
        <v>5349</v>
      </c>
      <c r="CE23">
        <v>853</v>
      </c>
      <c r="CF23">
        <v>83.011217049899997</v>
      </c>
      <c r="CG23">
        <v>145</v>
      </c>
      <c r="CH23">
        <v>145</v>
      </c>
      <c r="CI23">
        <v>108.2482758621</v>
      </c>
      <c r="CJ23">
        <v>108.2482758621</v>
      </c>
      <c r="CL23" t="s">
        <v>404</v>
      </c>
      <c r="CM23" t="s">
        <v>789</v>
      </c>
      <c r="CN23" t="s">
        <v>795</v>
      </c>
      <c r="CO23">
        <v>488</v>
      </c>
      <c r="CP23">
        <v>38</v>
      </c>
      <c r="CQ23">
        <v>59.940573770500002</v>
      </c>
      <c r="CR23">
        <v>13</v>
      </c>
      <c r="CS23">
        <v>13</v>
      </c>
      <c r="CT23">
        <v>66.615384615400004</v>
      </c>
      <c r="CU23">
        <v>66.615384615400004</v>
      </c>
      <c r="CW23" t="s">
        <v>404</v>
      </c>
      <c r="CX23" t="s">
        <v>802</v>
      </c>
      <c r="CY23" t="s">
        <v>808</v>
      </c>
      <c r="CZ23">
        <v>181</v>
      </c>
      <c r="DA23">
        <v>9</v>
      </c>
      <c r="DB23">
        <v>60.729281768</v>
      </c>
      <c r="DC23">
        <v>3</v>
      </c>
      <c r="DD23">
        <v>3</v>
      </c>
      <c r="DE23">
        <v>62.333333333299997</v>
      </c>
      <c r="DF23">
        <v>62.333333333299997</v>
      </c>
      <c r="DH23" t="s">
        <v>404</v>
      </c>
      <c r="DI23" t="s">
        <v>776</v>
      </c>
      <c r="DJ23" t="s">
        <v>782</v>
      </c>
      <c r="DK23">
        <v>156</v>
      </c>
      <c r="DL23">
        <v>8</v>
      </c>
      <c r="DM23">
        <v>51.788461538500002</v>
      </c>
      <c r="DN23">
        <v>1</v>
      </c>
      <c r="DO23">
        <v>1</v>
      </c>
      <c r="DP23">
        <v>274</v>
      </c>
      <c r="DQ23">
        <v>274</v>
      </c>
    </row>
    <row r="24" spans="2:121" x14ac:dyDescent="0.2">
      <c r="B24" t="s">
        <v>108</v>
      </c>
      <c r="C24">
        <v>52</v>
      </c>
      <c r="D24">
        <v>44</v>
      </c>
      <c r="F24" t="s">
        <v>82</v>
      </c>
      <c r="G24">
        <v>14197</v>
      </c>
      <c r="H24">
        <v>300.07896034369998</v>
      </c>
      <c r="I24">
        <v>16990</v>
      </c>
      <c r="J24">
        <v>2954</v>
      </c>
      <c r="K24">
        <v>16877</v>
      </c>
      <c r="L24">
        <v>10015</v>
      </c>
      <c r="M24">
        <v>1709</v>
      </c>
      <c r="N24">
        <v>1337</v>
      </c>
      <c r="O24">
        <v>3218</v>
      </c>
      <c r="P24">
        <v>1200</v>
      </c>
      <c r="Q24">
        <v>1</v>
      </c>
      <c r="R24">
        <v>222</v>
      </c>
      <c r="T24" t="s">
        <v>654</v>
      </c>
      <c r="U24" t="s">
        <v>312</v>
      </c>
      <c r="V24" t="s">
        <v>139</v>
      </c>
      <c r="W24" t="s">
        <v>220</v>
      </c>
      <c r="X24" t="s">
        <v>221</v>
      </c>
      <c r="Y24" t="s">
        <v>222</v>
      </c>
      <c r="Z24" t="s">
        <v>223</v>
      </c>
      <c r="AA24" t="s">
        <v>224</v>
      </c>
      <c r="AB24" t="s">
        <v>225</v>
      </c>
      <c r="AC24" t="s">
        <v>226</v>
      </c>
      <c r="AD24" t="s">
        <v>227</v>
      </c>
      <c r="AE24" t="s">
        <v>228</v>
      </c>
      <c r="AF24" t="s">
        <v>229</v>
      </c>
      <c r="AH24" t="s">
        <v>378</v>
      </c>
      <c r="AI24">
        <v>4911</v>
      </c>
      <c r="AJ24">
        <v>501.1425371615</v>
      </c>
      <c r="AK24">
        <v>4405</v>
      </c>
      <c r="AL24">
        <v>1014</v>
      </c>
      <c r="AM24">
        <v>7636</v>
      </c>
      <c r="AN24">
        <v>4917</v>
      </c>
      <c r="AO24">
        <v>2733</v>
      </c>
      <c r="AP24">
        <v>2253</v>
      </c>
      <c r="AQ24">
        <v>1292</v>
      </c>
      <c r="AR24">
        <v>999</v>
      </c>
      <c r="AS24">
        <v>620</v>
      </c>
      <c r="AT24">
        <v>16</v>
      </c>
      <c r="AV24" t="s">
        <v>381</v>
      </c>
      <c r="AW24">
        <v>406</v>
      </c>
      <c r="AX24">
        <v>105.4901477833</v>
      </c>
      <c r="AY24">
        <v>605</v>
      </c>
      <c r="AZ24">
        <v>161</v>
      </c>
      <c r="BA24">
        <v>615</v>
      </c>
      <c r="BB24">
        <v>180</v>
      </c>
      <c r="BC24">
        <v>13</v>
      </c>
      <c r="BD24">
        <v>13</v>
      </c>
      <c r="BE24">
        <v>65</v>
      </c>
      <c r="BF24">
        <v>19</v>
      </c>
      <c r="BG24">
        <v>70</v>
      </c>
      <c r="BH24">
        <v>198</v>
      </c>
      <c r="BJ24" t="s">
        <v>642</v>
      </c>
      <c r="BK24" t="s">
        <v>397</v>
      </c>
      <c r="BL24">
        <v>831</v>
      </c>
      <c r="BM24">
        <v>186</v>
      </c>
      <c r="BN24">
        <v>86.941034897700007</v>
      </c>
      <c r="BO24">
        <v>23</v>
      </c>
      <c r="BP24">
        <v>23</v>
      </c>
      <c r="BQ24">
        <v>76.739130434800003</v>
      </c>
      <c r="BR24">
        <v>76.739130434800003</v>
      </c>
      <c r="BS24">
        <v>1157</v>
      </c>
      <c r="BT24">
        <v>438</v>
      </c>
      <c r="BU24">
        <v>131.0907519447</v>
      </c>
      <c r="BV24">
        <v>32</v>
      </c>
      <c r="BW24">
        <v>32</v>
      </c>
      <c r="BX24">
        <v>119.9375</v>
      </c>
      <c r="BY24">
        <v>119.9375</v>
      </c>
      <c r="CA24" t="s">
        <v>407</v>
      </c>
      <c r="CB24" t="s">
        <v>814</v>
      </c>
      <c r="CC24" t="s">
        <v>1017</v>
      </c>
      <c r="CD24">
        <v>1989</v>
      </c>
      <c r="CE24">
        <v>244</v>
      </c>
      <c r="CF24">
        <v>70.631473102100003</v>
      </c>
      <c r="CG24">
        <v>61</v>
      </c>
      <c r="CH24">
        <v>61</v>
      </c>
      <c r="CI24">
        <v>105.8524590164</v>
      </c>
      <c r="CJ24">
        <v>105.8524590164</v>
      </c>
      <c r="CL24" t="s">
        <v>407</v>
      </c>
      <c r="CM24" t="s">
        <v>789</v>
      </c>
      <c r="CN24" t="s">
        <v>796</v>
      </c>
      <c r="CO24">
        <v>88</v>
      </c>
      <c r="CP24">
        <v>9</v>
      </c>
      <c r="CQ24">
        <v>63.25</v>
      </c>
      <c r="CR24">
        <v>6</v>
      </c>
      <c r="CS24">
        <v>6</v>
      </c>
      <c r="CT24">
        <v>40.333333333299997</v>
      </c>
      <c r="CU24">
        <v>40.333333333299997</v>
      </c>
      <c r="CW24" t="s">
        <v>407</v>
      </c>
      <c r="CX24" t="s">
        <v>802</v>
      </c>
      <c r="CY24" t="s">
        <v>809</v>
      </c>
      <c r="CZ24">
        <v>43</v>
      </c>
      <c r="DA24">
        <v>2</v>
      </c>
      <c r="DB24">
        <v>50.953488372099997</v>
      </c>
      <c r="DC24">
        <v>0</v>
      </c>
      <c r="DD24">
        <v>0</v>
      </c>
      <c r="DE24">
        <v>0</v>
      </c>
      <c r="DF24">
        <v>0</v>
      </c>
      <c r="DH24" t="s">
        <v>407</v>
      </c>
      <c r="DI24" t="s">
        <v>776</v>
      </c>
      <c r="DJ24" t="s">
        <v>783</v>
      </c>
      <c r="DK24">
        <v>81</v>
      </c>
      <c r="DL24">
        <v>0</v>
      </c>
      <c r="DM24">
        <v>41.654320987699997</v>
      </c>
      <c r="DN24">
        <v>0</v>
      </c>
      <c r="DO24">
        <v>0</v>
      </c>
      <c r="DP24">
        <v>0</v>
      </c>
      <c r="DQ24">
        <v>0</v>
      </c>
    </row>
    <row r="25" spans="2:121" x14ac:dyDescent="0.2">
      <c r="B25" t="s">
        <v>110</v>
      </c>
      <c r="C25">
        <v>44</v>
      </c>
      <c r="D25">
        <v>44</v>
      </c>
      <c r="F25" t="s">
        <v>42</v>
      </c>
      <c r="G25">
        <v>11326</v>
      </c>
      <c r="H25">
        <v>291.15769027020002</v>
      </c>
      <c r="I25">
        <v>8529</v>
      </c>
      <c r="J25">
        <v>1925</v>
      </c>
      <c r="K25">
        <v>20834</v>
      </c>
      <c r="L25">
        <v>11775</v>
      </c>
      <c r="M25">
        <v>2905</v>
      </c>
      <c r="N25">
        <v>2585</v>
      </c>
      <c r="O25">
        <v>1375</v>
      </c>
      <c r="P25">
        <v>1024</v>
      </c>
      <c r="Q25">
        <v>3</v>
      </c>
      <c r="R25">
        <v>59</v>
      </c>
      <c r="T25" t="s">
        <v>392</v>
      </c>
      <c r="U25">
        <v>66028</v>
      </c>
      <c r="V25">
        <v>350.01032895140003</v>
      </c>
      <c r="W25">
        <v>69752</v>
      </c>
      <c r="X25">
        <v>13339</v>
      </c>
      <c r="Y25">
        <v>93832</v>
      </c>
      <c r="Z25">
        <v>56885</v>
      </c>
      <c r="AA25">
        <v>13222</v>
      </c>
      <c r="AB25">
        <v>10907</v>
      </c>
      <c r="AC25">
        <v>19902</v>
      </c>
      <c r="AD25">
        <v>10390</v>
      </c>
      <c r="AE25">
        <v>240</v>
      </c>
      <c r="AF25">
        <v>1203</v>
      </c>
      <c r="AH25" t="s">
        <v>402</v>
      </c>
      <c r="AI25">
        <v>4000</v>
      </c>
      <c r="AJ25">
        <v>256.46875</v>
      </c>
      <c r="AK25">
        <v>7678</v>
      </c>
      <c r="AL25">
        <v>1851</v>
      </c>
      <c r="AM25">
        <v>7748</v>
      </c>
      <c r="AN25">
        <v>3563</v>
      </c>
      <c r="AO25">
        <v>958</v>
      </c>
      <c r="AP25">
        <v>816</v>
      </c>
      <c r="AQ25">
        <v>1361</v>
      </c>
      <c r="AR25">
        <v>680</v>
      </c>
      <c r="AS25">
        <v>139</v>
      </c>
      <c r="AT25">
        <v>204</v>
      </c>
      <c r="AV25" t="s">
        <v>83</v>
      </c>
      <c r="AW25">
        <v>108</v>
      </c>
      <c r="AX25">
        <v>45.425925925900003</v>
      </c>
      <c r="AY25">
        <v>451</v>
      </c>
      <c r="AZ25">
        <v>18</v>
      </c>
      <c r="BA25">
        <v>266</v>
      </c>
      <c r="BB25">
        <v>25</v>
      </c>
      <c r="BC25">
        <v>0</v>
      </c>
      <c r="BE25">
        <v>9</v>
      </c>
      <c r="BF25">
        <v>1</v>
      </c>
      <c r="BG25">
        <v>262</v>
      </c>
      <c r="BH25">
        <v>50</v>
      </c>
      <c r="BJ25" t="s">
        <v>581</v>
      </c>
      <c r="BK25" t="s">
        <v>397</v>
      </c>
      <c r="BL25">
        <v>5133</v>
      </c>
      <c r="BM25">
        <v>773</v>
      </c>
      <c r="BN25">
        <v>79.417689460399998</v>
      </c>
      <c r="BO25">
        <v>138</v>
      </c>
      <c r="BP25">
        <v>138</v>
      </c>
      <c r="BQ25">
        <v>114.5942028986</v>
      </c>
      <c r="BR25">
        <v>114.5942028986</v>
      </c>
      <c r="BS25">
        <v>4995</v>
      </c>
      <c r="BT25">
        <v>832</v>
      </c>
      <c r="BU25">
        <v>83.418818818800005</v>
      </c>
      <c r="BV25">
        <v>158</v>
      </c>
      <c r="BW25">
        <v>158</v>
      </c>
      <c r="BX25">
        <v>129.83544303799999</v>
      </c>
      <c r="BY25">
        <v>129.83544303799999</v>
      </c>
      <c r="CA25" t="s">
        <v>426</v>
      </c>
      <c r="CB25" t="s">
        <v>814</v>
      </c>
      <c r="CC25" t="s">
        <v>1018</v>
      </c>
      <c r="CD25">
        <v>660</v>
      </c>
      <c r="CE25">
        <v>126</v>
      </c>
      <c r="CF25">
        <v>77.465151515200006</v>
      </c>
      <c r="CG25">
        <v>17</v>
      </c>
      <c r="CH25">
        <v>17</v>
      </c>
      <c r="CI25">
        <v>65.176470588200004</v>
      </c>
      <c r="CJ25">
        <v>65.176470588200004</v>
      </c>
      <c r="CL25" t="s">
        <v>426</v>
      </c>
      <c r="CM25" t="s">
        <v>789</v>
      </c>
      <c r="CN25" t="s">
        <v>797</v>
      </c>
      <c r="CO25">
        <v>39</v>
      </c>
      <c r="CP25">
        <v>1</v>
      </c>
      <c r="CQ25">
        <v>45.025641025600002</v>
      </c>
      <c r="CR25">
        <v>5</v>
      </c>
      <c r="CS25">
        <v>5</v>
      </c>
      <c r="CT25">
        <v>35</v>
      </c>
      <c r="CU25">
        <v>35</v>
      </c>
      <c r="CW25" t="s">
        <v>426</v>
      </c>
      <c r="CX25" t="s">
        <v>802</v>
      </c>
      <c r="CY25" t="s">
        <v>810</v>
      </c>
      <c r="CZ25">
        <v>22</v>
      </c>
      <c r="DA25">
        <v>1</v>
      </c>
      <c r="DB25">
        <v>43.318181818200003</v>
      </c>
      <c r="DC25">
        <v>0</v>
      </c>
      <c r="DD25">
        <v>0</v>
      </c>
      <c r="DE25">
        <v>0</v>
      </c>
      <c r="DF25">
        <v>0</v>
      </c>
      <c r="DH25" t="s">
        <v>426</v>
      </c>
      <c r="DI25" t="s">
        <v>776</v>
      </c>
      <c r="DJ25" t="s">
        <v>784</v>
      </c>
      <c r="DK25">
        <v>4</v>
      </c>
      <c r="DL25">
        <v>0</v>
      </c>
      <c r="DM25">
        <v>90</v>
      </c>
      <c r="DN25">
        <v>0</v>
      </c>
      <c r="DO25">
        <v>0</v>
      </c>
      <c r="DP25">
        <v>0</v>
      </c>
      <c r="DQ25">
        <v>0</v>
      </c>
    </row>
    <row r="26" spans="2:121" x14ac:dyDescent="0.2">
      <c r="B26" t="s">
        <v>99</v>
      </c>
      <c r="C26">
        <v>130719</v>
      </c>
      <c r="D26">
        <v>54984</v>
      </c>
      <c r="F26" t="s">
        <v>38</v>
      </c>
      <c r="G26">
        <v>4269</v>
      </c>
      <c r="H26">
        <v>562.17568517220002</v>
      </c>
      <c r="I26">
        <v>3488</v>
      </c>
      <c r="J26">
        <v>806</v>
      </c>
      <c r="K26">
        <v>5722</v>
      </c>
      <c r="L26">
        <v>4421</v>
      </c>
      <c r="M26">
        <v>2162</v>
      </c>
      <c r="N26">
        <v>1933</v>
      </c>
      <c r="O26">
        <v>842</v>
      </c>
      <c r="P26">
        <v>739</v>
      </c>
      <c r="Q26">
        <v>2</v>
      </c>
      <c r="R26">
        <v>11</v>
      </c>
      <c r="T26" t="s">
        <v>397</v>
      </c>
      <c r="U26">
        <v>44968</v>
      </c>
      <c r="V26">
        <v>392.38645258849999</v>
      </c>
      <c r="W26">
        <v>53033</v>
      </c>
      <c r="X26">
        <v>10786</v>
      </c>
      <c r="Y26">
        <v>70696</v>
      </c>
      <c r="Z26">
        <v>40240</v>
      </c>
      <c r="AA26">
        <v>10291</v>
      </c>
      <c r="AB26">
        <v>8755</v>
      </c>
      <c r="AC26">
        <v>22572</v>
      </c>
      <c r="AD26">
        <v>14361</v>
      </c>
      <c r="AE26">
        <v>729</v>
      </c>
      <c r="AF26">
        <v>1198</v>
      </c>
      <c r="AH26" t="s">
        <v>408</v>
      </c>
      <c r="AI26">
        <v>1317</v>
      </c>
      <c r="AJ26">
        <v>193.5140470767</v>
      </c>
      <c r="AK26">
        <v>5396</v>
      </c>
      <c r="AL26">
        <v>1069</v>
      </c>
      <c r="AM26">
        <v>4097</v>
      </c>
      <c r="AN26">
        <v>1063</v>
      </c>
      <c r="AO26">
        <v>339</v>
      </c>
      <c r="AP26">
        <v>246</v>
      </c>
      <c r="AQ26">
        <v>946</v>
      </c>
      <c r="AR26">
        <v>568</v>
      </c>
      <c r="AS26">
        <v>4</v>
      </c>
      <c r="AT26">
        <v>2</v>
      </c>
      <c r="AV26" t="s">
        <v>414</v>
      </c>
      <c r="AW26">
        <v>529</v>
      </c>
      <c r="AX26">
        <v>44.293005671099998</v>
      </c>
      <c r="AY26">
        <v>2152</v>
      </c>
      <c r="AZ26">
        <v>60</v>
      </c>
      <c r="BA26">
        <v>922</v>
      </c>
      <c r="BB26">
        <v>48</v>
      </c>
      <c r="BC26">
        <v>11</v>
      </c>
      <c r="BD26">
        <v>9</v>
      </c>
      <c r="BE26">
        <v>61</v>
      </c>
      <c r="BF26">
        <v>31</v>
      </c>
      <c r="BG26">
        <v>913</v>
      </c>
      <c r="BH26">
        <v>263</v>
      </c>
      <c r="BJ26" t="s">
        <v>587</v>
      </c>
      <c r="BK26" t="s">
        <v>397</v>
      </c>
      <c r="BL26">
        <v>7551</v>
      </c>
      <c r="BM26">
        <v>1607</v>
      </c>
      <c r="BN26">
        <v>92.788107535400002</v>
      </c>
      <c r="BO26">
        <v>137</v>
      </c>
      <c r="BP26">
        <v>137</v>
      </c>
      <c r="BQ26">
        <v>127.89781021899999</v>
      </c>
      <c r="BR26">
        <v>127.89781021899999</v>
      </c>
      <c r="BS26">
        <v>8640</v>
      </c>
      <c r="BT26">
        <v>2546</v>
      </c>
      <c r="BU26">
        <v>110.5987268519</v>
      </c>
      <c r="BV26">
        <v>159</v>
      </c>
      <c r="BW26">
        <v>159</v>
      </c>
      <c r="BX26">
        <v>145.62264150940001</v>
      </c>
      <c r="BY26">
        <v>145.62264150940001</v>
      </c>
      <c r="CA26" t="s">
        <v>398</v>
      </c>
      <c r="CB26" t="s">
        <v>814</v>
      </c>
      <c r="CC26" t="s">
        <v>1019</v>
      </c>
      <c r="CD26">
        <v>8364</v>
      </c>
      <c r="CE26">
        <v>1912</v>
      </c>
      <c r="CF26">
        <v>97.208871353399999</v>
      </c>
      <c r="CG26">
        <v>259</v>
      </c>
      <c r="CH26">
        <v>259</v>
      </c>
      <c r="CI26">
        <v>144.471042471</v>
      </c>
      <c r="CJ26">
        <v>144.471042471</v>
      </c>
      <c r="CL26" t="s">
        <v>398</v>
      </c>
      <c r="CM26" t="s">
        <v>789</v>
      </c>
      <c r="CN26" t="s">
        <v>798</v>
      </c>
      <c r="CO26">
        <v>813</v>
      </c>
      <c r="CP26">
        <v>64</v>
      </c>
      <c r="CQ26">
        <v>54.505535055400003</v>
      </c>
      <c r="CR26">
        <v>16</v>
      </c>
      <c r="CS26">
        <v>16</v>
      </c>
      <c r="CT26">
        <v>68.6875</v>
      </c>
      <c r="CU26">
        <v>68.6875</v>
      </c>
      <c r="CW26" t="s">
        <v>398</v>
      </c>
      <c r="CX26" t="s">
        <v>802</v>
      </c>
      <c r="CY26" t="s">
        <v>811</v>
      </c>
      <c r="CZ26">
        <v>234</v>
      </c>
      <c r="DA26">
        <v>14</v>
      </c>
      <c r="DB26">
        <v>61.299145299099997</v>
      </c>
      <c r="DC26">
        <v>2</v>
      </c>
      <c r="DD26">
        <v>2</v>
      </c>
      <c r="DE26">
        <v>119</v>
      </c>
      <c r="DF26">
        <v>119</v>
      </c>
      <c r="DH26" t="s">
        <v>398</v>
      </c>
      <c r="DI26" t="s">
        <v>776</v>
      </c>
      <c r="DJ26" t="s">
        <v>785</v>
      </c>
      <c r="DK26">
        <v>177</v>
      </c>
      <c r="DL26">
        <v>10</v>
      </c>
      <c r="DM26">
        <v>65.429378531099999</v>
      </c>
      <c r="DN26">
        <v>3</v>
      </c>
      <c r="DO26">
        <v>3</v>
      </c>
      <c r="DP26">
        <v>105</v>
      </c>
      <c r="DQ26">
        <v>105</v>
      </c>
    </row>
    <row r="27" spans="2:121" x14ac:dyDescent="0.2">
      <c r="B27" t="s">
        <v>91</v>
      </c>
      <c r="C27">
        <v>84543</v>
      </c>
      <c r="D27">
        <v>21224</v>
      </c>
      <c r="F27" t="s">
        <v>58</v>
      </c>
      <c r="G27">
        <v>785</v>
      </c>
      <c r="H27">
        <v>144.749044586</v>
      </c>
      <c r="I27">
        <v>933</v>
      </c>
      <c r="J27">
        <v>267</v>
      </c>
      <c r="K27">
        <v>971</v>
      </c>
      <c r="L27">
        <v>388</v>
      </c>
      <c r="M27">
        <v>120</v>
      </c>
      <c r="N27">
        <v>90</v>
      </c>
      <c r="O27">
        <v>684</v>
      </c>
      <c r="P27">
        <v>361</v>
      </c>
      <c r="Q27">
        <v>341</v>
      </c>
      <c r="R27">
        <v>144</v>
      </c>
      <c r="T27" t="s">
        <v>376</v>
      </c>
      <c r="U27">
        <v>74538</v>
      </c>
      <c r="V27">
        <v>402.08799538490001</v>
      </c>
      <c r="W27">
        <v>73618</v>
      </c>
      <c r="X27">
        <v>15465</v>
      </c>
      <c r="Y27">
        <v>104628</v>
      </c>
      <c r="Z27">
        <v>66359</v>
      </c>
      <c r="AA27">
        <v>21167</v>
      </c>
      <c r="AB27">
        <v>17881</v>
      </c>
      <c r="AC27">
        <v>33357</v>
      </c>
      <c r="AD27">
        <v>21962</v>
      </c>
      <c r="AE27">
        <v>6589</v>
      </c>
      <c r="AF27">
        <v>168</v>
      </c>
      <c r="AH27" t="s">
        <v>396</v>
      </c>
      <c r="AI27">
        <v>5065</v>
      </c>
      <c r="AJ27">
        <v>376.82922013820001</v>
      </c>
      <c r="AK27">
        <v>4167</v>
      </c>
      <c r="AL27">
        <v>933</v>
      </c>
      <c r="AM27">
        <v>7418</v>
      </c>
      <c r="AN27">
        <v>4933</v>
      </c>
      <c r="AO27">
        <v>1182</v>
      </c>
      <c r="AP27">
        <v>1046</v>
      </c>
      <c r="AQ27">
        <v>2258</v>
      </c>
      <c r="AR27">
        <v>1291</v>
      </c>
      <c r="AS27">
        <v>60</v>
      </c>
      <c r="AT27">
        <v>146</v>
      </c>
      <c r="AV27" t="s">
        <v>404</v>
      </c>
      <c r="AW27">
        <v>276</v>
      </c>
      <c r="AX27">
        <v>64.728260869600007</v>
      </c>
      <c r="AY27">
        <v>598</v>
      </c>
      <c r="AZ27">
        <v>34</v>
      </c>
      <c r="BA27">
        <v>537</v>
      </c>
      <c r="BB27">
        <v>46</v>
      </c>
      <c r="BC27">
        <v>1</v>
      </c>
      <c r="BD27">
        <v>1</v>
      </c>
      <c r="BE27">
        <v>28</v>
      </c>
      <c r="BF27">
        <v>9</v>
      </c>
      <c r="BG27">
        <v>395</v>
      </c>
      <c r="BH27">
        <v>56</v>
      </c>
      <c r="BJ27" t="s">
        <v>646</v>
      </c>
      <c r="BK27" t="s">
        <v>397</v>
      </c>
      <c r="BL27">
        <v>2904</v>
      </c>
      <c r="BM27">
        <v>575</v>
      </c>
      <c r="BN27">
        <v>87.8608815427</v>
      </c>
      <c r="BO27">
        <v>75</v>
      </c>
      <c r="BP27">
        <v>75</v>
      </c>
      <c r="BQ27">
        <v>191.53333333329999</v>
      </c>
      <c r="BR27">
        <v>191.53333333329999</v>
      </c>
      <c r="BS27">
        <v>2937</v>
      </c>
      <c r="BT27">
        <v>612</v>
      </c>
      <c r="BU27">
        <v>88.3367381682</v>
      </c>
      <c r="BV27">
        <v>74</v>
      </c>
      <c r="BW27">
        <v>74</v>
      </c>
      <c r="BX27">
        <v>190.3648648649</v>
      </c>
      <c r="BY27">
        <v>190.3648648649</v>
      </c>
      <c r="CA27" t="s">
        <v>427</v>
      </c>
      <c r="CB27" t="s">
        <v>814</v>
      </c>
      <c r="CC27" t="s">
        <v>1020</v>
      </c>
      <c r="CD27">
        <v>865</v>
      </c>
      <c r="CE27">
        <v>198</v>
      </c>
      <c r="CF27">
        <v>88.138728323699993</v>
      </c>
      <c r="CG27">
        <v>31</v>
      </c>
      <c r="CH27">
        <v>31</v>
      </c>
      <c r="CI27">
        <v>95.258064516100006</v>
      </c>
      <c r="CJ27">
        <v>95.258064516100006</v>
      </c>
      <c r="CL27" t="s">
        <v>427</v>
      </c>
      <c r="CM27" t="s">
        <v>789</v>
      </c>
      <c r="CN27" t="s">
        <v>799</v>
      </c>
      <c r="CO27">
        <v>62</v>
      </c>
      <c r="CP27">
        <v>7</v>
      </c>
      <c r="CQ27">
        <v>51.758064516099999</v>
      </c>
      <c r="CR27">
        <v>5</v>
      </c>
      <c r="CS27">
        <v>5</v>
      </c>
      <c r="CT27">
        <v>59.8</v>
      </c>
      <c r="CU27">
        <v>59.8</v>
      </c>
      <c r="CW27" t="s">
        <v>427</v>
      </c>
      <c r="CX27" t="s">
        <v>802</v>
      </c>
      <c r="CY27" t="s">
        <v>812</v>
      </c>
      <c r="CZ27">
        <v>9</v>
      </c>
      <c r="DA27">
        <v>1</v>
      </c>
      <c r="DB27">
        <v>56.444444444399998</v>
      </c>
      <c r="DC27">
        <v>0</v>
      </c>
      <c r="DD27">
        <v>0</v>
      </c>
      <c r="DE27">
        <v>0</v>
      </c>
      <c r="DF27">
        <v>0</v>
      </c>
      <c r="DH27" t="s">
        <v>427</v>
      </c>
      <c r="DI27" t="s">
        <v>776</v>
      </c>
      <c r="DJ27" t="s">
        <v>786</v>
      </c>
      <c r="DK27">
        <v>14</v>
      </c>
      <c r="DL27">
        <v>0</v>
      </c>
      <c r="DM27">
        <v>74</v>
      </c>
      <c r="DN27">
        <v>0</v>
      </c>
      <c r="DO27">
        <v>0</v>
      </c>
      <c r="DP27">
        <v>0</v>
      </c>
      <c r="DQ27">
        <v>0</v>
      </c>
    </row>
    <row r="28" spans="2:121" x14ac:dyDescent="0.2">
      <c r="B28" t="s">
        <v>112</v>
      </c>
      <c r="C28">
        <v>27130</v>
      </c>
      <c r="D28">
        <v>8841</v>
      </c>
      <c r="F28" t="s">
        <v>72</v>
      </c>
      <c r="G28">
        <v>15827</v>
      </c>
      <c r="H28">
        <v>494.2657484046</v>
      </c>
      <c r="I28">
        <v>11374</v>
      </c>
      <c r="J28">
        <v>1743</v>
      </c>
      <c r="K28">
        <v>17872</v>
      </c>
      <c r="L28">
        <v>13058</v>
      </c>
      <c r="M28">
        <v>6099</v>
      </c>
      <c r="N28">
        <v>5771</v>
      </c>
      <c r="O28">
        <v>4677</v>
      </c>
      <c r="P28">
        <v>3847</v>
      </c>
      <c r="Q28">
        <v>8</v>
      </c>
      <c r="R28">
        <v>22</v>
      </c>
      <c r="T28" t="s">
        <v>8</v>
      </c>
      <c r="U28">
        <v>4482</v>
      </c>
      <c r="V28">
        <v>384.47411869699999</v>
      </c>
      <c r="W28">
        <v>4071</v>
      </c>
      <c r="X28">
        <v>1594</v>
      </c>
      <c r="Y28">
        <v>5800</v>
      </c>
      <c r="Z28">
        <v>4037</v>
      </c>
      <c r="AA28">
        <v>698</v>
      </c>
      <c r="AB28">
        <v>597</v>
      </c>
      <c r="AC28">
        <v>1325</v>
      </c>
      <c r="AD28">
        <v>819</v>
      </c>
      <c r="AE28">
        <v>388</v>
      </c>
      <c r="AF28">
        <v>139</v>
      </c>
      <c r="AH28" t="s">
        <v>404</v>
      </c>
      <c r="AI28">
        <v>5778</v>
      </c>
      <c r="AJ28">
        <v>292.3566978193</v>
      </c>
      <c r="AK28">
        <v>5713</v>
      </c>
      <c r="AL28">
        <v>861</v>
      </c>
      <c r="AM28">
        <v>8589</v>
      </c>
      <c r="AN28">
        <v>5262</v>
      </c>
      <c r="AO28">
        <v>2180</v>
      </c>
      <c r="AP28">
        <v>1988</v>
      </c>
      <c r="AQ28">
        <v>6236</v>
      </c>
      <c r="AR28">
        <v>4532</v>
      </c>
      <c r="AS28">
        <v>134</v>
      </c>
      <c r="AT28">
        <v>105</v>
      </c>
      <c r="AV28" t="s">
        <v>388</v>
      </c>
      <c r="AW28">
        <v>1128</v>
      </c>
      <c r="AX28">
        <v>113.2003546099</v>
      </c>
      <c r="AY28">
        <v>1208</v>
      </c>
      <c r="AZ28">
        <v>309</v>
      </c>
      <c r="BA28">
        <v>1762</v>
      </c>
      <c r="BB28">
        <v>554</v>
      </c>
      <c r="BC28">
        <v>55</v>
      </c>
      <c r="BD28">
        <v>52</v>
      </c>
      <c r="BE28">
        <v>140</v>
      </c>
      <c r="BF28">
        <v>42</v>
      </c>
      <c r="BG28">
        <v>136</v>
      </c>
      <c r="BH28">
        <v>423</v>
      </c>
      <c r="BJ28" t="s">
        <v>540</v>
      </c>
      <c r="BK28" t="s">
        <v>376</v>
      </c>
      <c r="BL28">
        <v>5002</v>
      </c>
      <c r="BM28">
        <v>938</v>
      </c>
      <c r="BN28">
        <v>97.606357457000001</v>
      </c>
      <c r="BO28">
        <v>108</v>
      </c>
      <c r="BP28">
        <v>108</v>
      </c>
      <c r="BQ28">
        <v>134.25</v>
      </c>
      <c r="BR28">
        <v>134.25</v>
      </c>
      <c r="BS28">
        <v>3224</v>
      </c>
      <c r="BT28">
        <v>408</v>
      </c>
      <c r="BU28">
        <v>76.703163771700005</v>
      </c>
      <c r="BV28">
        <v>83</v>
      </c>
      <c r="BW28">
        <v>83</v>
      </c>
      <c r="BX28">
        <v>115.3493975904</v>
      </c>
      <c r="BY28">
        <v>115.3493975904</v>
      </c>
      <c r="CA28" t="s">
        <v>403</v>
      </c>
      <c r="CB28" t="s">
        <v>814</v>
      </c>
      <c r="CC28" t="s">
        <v>1021</v>
      </c>
      <c r="CD28">
        <v>3871</v>
      </c>
      <c r="CE28">
        <v>746</v>
      </c>
      <c r="CF28">
        <v>83.979850167899997</v>
      </c>
      <c r="CG28">
        <v>50</v>
      </c>
      <c r="CH28">
        <v>50</v>
      </c>
      <c r="CI28">
        <v>121.3</v>
      </c>
      <c r="CJ28">
        <v>121.3</v>
      </c>
      <c r="CL28" t="s">
        <v>403</v>
      </c>
      <c r="CM28" t="s">
        <v>789</v>
      </c>
      <c r="CN28" t="s">
        <v>800</v>
      </c>
      <c r="CO28">
        <v>279</v>
      </c>
      <c r="CP28">
        <v>17</v>
      </c>
      <c r="CQ28">
        <v>49.222222222200003</v>
      </c>
      <c r="CR28">
        <v>6</v>
      </c>
      <c r="CS28">
        <v>6</v>
      </c>
      <c r="CT28">
        <v>45.333333333299997</v>
      </c>
      <c r="CU28">
        <v>45.333333333299997</v>
      </c>
      <c r="CW28" t="s">
        <v>403</v>
      </c>
      <c r="CX28" t="s">
        <v>802</v>
      </c>
      <c r="CY28" t="s">
        <v>813</v>
      </c>
      <c r="CZ28">
        <v>92</v>
      </c>
      <c r="DA28">
        <v>2</v>
      </c>
      <c r="DB28">
        <v>65.467391304299994</v>
      </c>
      <c r="DC28">
        <v>5</v>
      </c>
      <c r="DD28">
        <v>5</v>
      </c>
      <c r="DE28">
        <v>133</v>
      </c>
      <c r="DF28">
        <v>133</v>
      </c>
      <c r="DH28" t="s">
        <v>403</v>
      </c>
      <c r="DI28" t="s">
        <v>776</v>
      </c>
      <c r="DJ28" t="s">
        <v>787</v>
      </c>
      <c r="DK28">
        <v>59</v>
      </c>
      <c r="DL28">
        <v>4</v>
      </c>
      <c r="DM28">
        <v>69.932203389799994</v>
      </c>
      <c r="DN28">
        <v>2</v>
      </c>
      <c r="DO28">
        <v>2</v>
      </c>
      <c r="DP28">
        <v>101.5</v>
      </c>
      <c r="DQ28">
        <v>101.5</v>
      </c>
    </row>
    <row r="29" spans="2:121" x14ac:dyDescent="0.2">
      <c r="B29" t="s">
        <v>20</v>
      </c>
      <c r="C29">
        <v>313</v>
      </c>
      <c r="D29">
        <v>204</v>
      </c>
      <c r="F29" t="s">
        <v>44</v>
      </c>
      <c r="G29">
        <v>1188</v>
      </c>
      <c r="H29">
        <v>123.9739057239</v>
      </c>
      <c r="I29">
        <v>2267</v>
      </c>
      <c r="J29">
        <v>454</v>
      </c>
      <c r="K29">
        <v>2123</v>
      </c>
      <c r="L29">
        <v>576</v>
      </c>
      <c r="M29">
        <v>192</v>
      </c>
      <c r="N29">
        <v>145</v>
      </c>
      <c r="O29">
        <v>1052</v>
      </c>
      <c r="P29">
        <v>927</v>
      </c>
      <c r="Q29">
        <v>0</v>
      </c>
      <c r="R29">
        <v>9</v>
      </c>
      <c r="T29" t="s">
        <v>411</v>
      </c>
      <c r="U29">
        <v>71866</v>
      </c>
      <c r="V29">
        <v>369.9513260791</v>
      </c>
      <c r="W29">
        <v>62461</v>
      </c>
      <c r="X29">
        <v>13130</v>
      </c>
      <c r="Y29">
        <v>101666</v>
      </c>
      <c r="Z29">
        <v>65861</v>
      </c>
      <c r="AA29">
        <v>18379</v>
      </c>
      <c r="AB29">
        <v>16097</v>
      </c>
      <c r="AC29">
        <v>24696</v>
      </c>
      <c r="AD29">
        <v>15824</v>
      </c>
      <c r="AE29">
        <v>83</v>
      </c>
      <c r="AF29">
        <v>614</v>
      </c>
      <c r="AH29" t="s">
        <v>425</v>
      </c>
      <c r="AI29">
        <v>1083</v>
      </c>
      <c r="AJ29">
        <v>240.06371191139999</v>
      </c>
      <c r="AK29">
        <v>986</v>
      </c>
      <c r="AL29">
        <v>94</v>
      </c>
      <c r="AM29">
        <v>1726</v>
      </c>
      <c r="AN29">
        <v>817</v>
      </c>
      <c r="AO29">
        <v>411</v>
      </c>
      <c r="AP29">
        <v>252</v>
      </c>
      <c r="AQ29">
        <v>200</v>
      </c>
      <c r="AR29">
        <v>87</v>
      </c>
      <c r="AS29">
        <v>3</v>
      </c>
      <c r="AT29">
        <v>5</v>
      </c>
      <c r="AV29" t="s">
        <v>425</v>
      </c>
      <c r="AW29">
        <v>14</v>
      </c>
      <c r="AX29">
        <v>118.92857142859999</v>
      </c>
      <c r="AY29">
        <v>81</v>
      </c>
      <c r="BA29">
        <v>33</v>
      </c>
      <c r="BB29">
        <v>3</v>
      </c>
      <c r="BC29">
        <v>0</v>
      </c>
      <c r="BE29">
        <v>3</v>
      </c>
      <c r="BF29">
        <v>1</v>
      </c>
      <c r="BG29">
        <v>57</v>
      </c>
      <c r="BH29">
        <v>12</v>
      </c>
      <c r="BJ29" t="s">
        <v>519</v>
      </c>
      <c r="BK29" t="s">
        <v>376</v>
      </c>
      <c r="BL29">
        <v>3673</v>
      </c>
      <c r="BM29">
        <v>820</v>
      </c>
      <c r="BN29">
        <v>93.922406752000001</v>
      </c>
      <c r="BO29">
        <v>100</v>
      </c>
      <c r="BP29">
        <v>100</v>
      </c>
      <c r="BQ29">
        <v>110.22</v>
      </c>
      <c r="BR29">
        <v>110.22</v>
      </c>
      <c r="BS29">
        <v>3128</v>
      </c>
      <c r="BT29">
        <v>713</v>
      </c>
      <c r="BU29">
        <v>86.783248081799996</v>
      </c>
      <c r="BV29">
        <v>93</v>
      </c>
      <c r="BW29">
        <v>93</v>
      </c>
      <c r="BX29">
        <v>103.9032258065</v>
      </c>
      <c r="BY29">
        <v>103.9032258065</v>
      </c>
      <c r="CA29" t="s">
        <v>397</v>
      </c>
      <c r="CB29" t="s">
        <v>814</v>
      </c>
      <c r="CD29">
        <v>51186</v>
      </c>
      <c r="CE29">
        <v>10766</v>
      </c>
      <c r="CF29">
        <v>91.666998788699999</v>
      </c>
      <c r="CG29">
        <v>1383</v>
      </c>
      <c r="CH29">
        <v>1383</v>
      </c>
      <c r="CI29">
        <v>130.136659436</v>
      </c>
      <c r="CJ29">
        <v>130.136659436</v>
      </c>
      <c r="CL29" t="s">
        <v>397</v>
      </c>
      <c r="CM29" t="s">
        <v>789</v>
      </c>
      <c r="CO29">
        <v>4520</v>
      </c>
      <c r="CP29">
        <v>294</v>
      </c>
      <c r="CQ29">
        <v>54.280088495599998</v>
      </c>
      <c r="CR29">
        <v>135</v>
      </c>
      <c r="CS29">
        <v>135</v>
      </c>
      <c r="CT29">
        <v>61.370370370400003</v>
      </c>
      <c r="CU29">
        <v>61.370370370400003</v>
      </c>
      <c r="CW29" t="s">
        <v>397</v>
      </c>
      <c r="CX29" t="s">
        <v>802</v>
      </c>
      <c r="CZ29">
        <v>1268</v>
      </c>
      <c r="DA29">
        <v>78</v>
      </c>
      <c r="DB29">
        <v>60.5867507886</v>
      </c>
      <c r="DC29">
        <v>21</v>
      </c>
      <c r="DD29">
        <v>21</v>
      </c>
      <c r="DE29">
        <v>129.80952380950001</v>
      </c>
      <c r="DF29">
        <v>129.80952380950001</v>
      </c>
      <c r="DH29" t="s">
        <v>397</v>
      </c>
      <c r="DI29" t="s">
        <v>776</v>
      </c>
      <c r="DK29">
        <v>1121</v>
      </c>
      <c r="DL29">
        <v>57</v>
      </c>
      <c r="DM29">
        <v>61.099910793900001</v>
      </c>
      <c r="DN29">
        <v>19</v>
      </c>
      <c r="DO29">
        <v>19</v>
      </c>
      <c r="DP29">
        <v>116.3684210526</v>
      </c>
      <c r="DQ29">
        <v>116.3684210526</v>
      </c>
    </row>
    <row r="30" spans="2:121" x14ac:dyDescent="0.2">
      <c r="B30" t="s">
        <v>96</v>
      </c>
      <c r="C30">
        <v>158</v>
      </c>
      <c r="D30">
        <v>127</v>
      </c>
      <c r="F30" t="s">
        <v>48</v>
      </c>
      <c r="G30">
        <v>1938</v>
      </c>
      <c r="H30">
        <v>224.24922600619999</v>
      </c>
      <c r="I30">
        <v>2699</v>
      </c>
      <c r="J30">
        <v>438</v>
      </c>
      <c r="K30">
        <v>2499</v>
      </c>
      <c r="L30">
        <v>1523</v>
      </c>
      <c r="M30">
        <v>405</v>
      </c>
      <c r="N30">
        <v>315</v>
      </c>
      <c r="O30">
        <v>88</v>
      </c>
      <c r="P30">
        <v>61</v>
      </c>
      <c r="Q30">
        <v>0</v>
      </c>
      <c r="R30">
        <v>0</v>
      </c>
      <c r="T30" t="s">
        <v>387</v>
      </c>
      <c r="U30">
        <v>80905</v>
      </c>
      <c r="V30">
        <v>360.41381867619998</v>
      </c>
      <c r="W30">
        <v>77962</v>
      </c>
      <c r="X30">
        <v>16174</v>
      </c>
      <c r="Y30">
        <v>113034</v>
      </c>
      <c r="Z30">
        <v>73185</v>
      </c>
      <c r="AA30">
        <v>20896</v>
      </c>
      <c r="AB30">
        <v>18070</v>
      </c>
      <c r="AC30">
        <v>39105</v>
      </c>
      <c r="AD30">
        <v>20858</v>
      </c>
      <c r="AE30">
        <v>3406</v>
      </c>
      <c r="AF30">
        <v>1126</v>
      </c>
      <c r="AH30" t="s">
        <v>407</v>
      </c>
      <c r="AI30">
        <v>1330</v>
      </c>
      <c r="AJ30">
        <v>210.81127819549999</v>
      </c>
      <c r="AK30">
        <v>2005</v>
      </c>
      <c r="AL30">
        <v>250</v>
      </c>
      <c r="AM30">
        <v>2514</v>
      </c>
      <c r="AN30">
        <v>849</v>
      </c>
      <c r="AO30">
        <v>899</v>
      </c>
      <c r="AP30">
        <v>757</v>
      </c>
      <c r="AQ30">
        <v>410</v>
      </c>
      <c r="AR30">
        <v>171</v>
      </c>
      <c r="AS30">
        <v>1</v>
      </c>
      <c r="AT30">
        <v>14</v>
      </c>
      <c r="AV30" t="s">
        <v>391</v>
      </c>
      <c r="AW30">
        <v>293</v>
      </c>
      <c r="AX30">
        <v>57.153583617700001</v>
      </c>
      <c r="AY30">
        <v>658</v>
      </c>
      <c r="AZ30">
        <v>23</v>
      </c>
      <c r="BA30">
        <v>556</v>
      </c>
      <c r="BB30">
        <v>52</v>
      </c>
      <c r="BC30">
        <v>4</v>
      </c>
      <c r="BD30">
        <v>4</v>
      </c>
      <c r="BE30">
        <v>42</v>
      </c>
      <c r="BF30">
        <v>14</v>
      </c>
      <c r="BG30">
        <v>359</v>
      </c>
      <c r="BH30">
        <v>61</v>
      </c>
      <c r="BJ30" t="s">
        <v>527</v>
      </c>
      <c r="BK30" t="s">
        <v>376</v>
      </c>
      <c r="BL30">
        <v>4069</v>
      </c>
      <c r="BM30">
        <v>911</v>
      </c>
      <c r="BN30">
        <v>96.849348734299994</v>
      </c>
      <c r="BO30">
        <v>106</v>
      </c>
      <c r="BP30">
        <v>106</v>
      </c>
      <c r="BQ30">
        <v>171.20754716979999</v>
      </c>
      <c r="BR30">
        <v>171.20754716979999</v>
      </c>
      <c r="BS30">
        <v>3762</v>
      </c>
      <c r="BT30">
        <v>706</v>
      </c>
      <c r="BU30">
        <v>88.060340244599999</v>
      </c>
      <c r="BV30">
        <v>92</v>
      </c>
      <c r="BW30">
        <v>92</v>
      </c>
      <c r="BX30">
        <v>169.66304347830001</v>
      </c>
      <c r="BY30">
        <v>169.66304347830001</v>
      </c>
      <c r="CA30" t="s">
        <v>380</v>
      </c>
      <c r="CB30" t="s">
        <v>863</v>
      </c>
      <c r="CC30" t="s">
        <v>987</v>
      </c>
      <c r="CD30">
        <v>1737</v>
      </c>
      <c r="CE30">
        <v>299</v>
      </c>
      <c r="CF30">
        <v>85.057570523899997</v>
      </c>
      <c r="CG30">
        <v>60</v>
      </c>
      <c r="CH30">
        <v>60</v>
      </c>
      <c r="CI30">
        <v>103.1833333333</v>
      </c>
      <c r="CJ30">
        <v>103.1833333333</v>
      </c>
      <c r="CL30" t="s">
        <v>380</v>
      </c>
      <c r="CM30" t="s">
        <v>832</v>
      </c>
      <c r="CN30" t="s">
        <v>831</v>
      </c>
      <c r="CO30">
        <v>114</v>
      </c>
      <c r="CP30">
        <v>14</v>
      </c>
      <c r="CQ30">
        <v>74.429824561399997</v>
      </c>
      <c r="CR30">
        <v>4</v>
      </c>
      <c r="CS30">
        <v>4</v>
      </c>
      <c r="CT30">
        <v>117.5</v>
      </c>
      <c r="CU30">
        <v>117.5</v>
      </c>
      <c r="CW30" t="s">
        <v>380</v>
      </c>
      <c r="CX30" t="s">
        <v>848</v>
      </c>
      <c r="CY30" t="s">
        <v>847</v>
      </c>
      <c r="CZ30">
        <v>60</v>
      </c>
      <c r="DA30">
        <v>2</v>
      </c>
      <c r="DB30">
        <v>56.45</v>
      </c>
      <c r="DC30">
        <v>1</v>
      </c>
      <c r="DD30">
        <v>1</v>
      </c>
      <c r="DE30">
        <v>74</v>
      </c>
      <c r="DF30">
        <v>74</v>
      </c>
      <c r="DH30" t="s">
        <v>380</v>
      </c>
      <c r="DI30" t="s">
        <v>816</v>
      </c>
      <c r="DJ30" t="s">
        <v>815</v>
      </c>
      <c r="DK30">
        <v>73</v>
      </c>
      <c r="DL30">
        <v>1</v>
      </c>
      <c r="DM30">
        <v>61.109589041100001</v>
      </c>
      <c r="DN30">
        <v>0</v>
      </c>
      <c r="DO30">
        <v>0</v>
      </c>
      <c r="DP30">
        <v>0</v>
      </c>
      <c r="DQ30">
        <v>0</v>
      </c>
    </row>
    <row r="31" spans="2:121" x14ac:dyDescent="0.2">
      <c r="B31" t="s">
        <v>22</v>
      </c>
      <c r="C31">
        <v>206858</v>
      </c>
      <c r="D31">
        <v>36857</v>
      </c>
      <c r="F31" t="s">
        <v>68</v>
      </c>
      <c r="G31">
        <v>4017</v>
      </c>
      <c r="H31">
        <v>472.33258650729999</v>
      </c>
      <c r="I31">
        <v>5010</v>
      </c>
      <c r="J31">
        <v>1423</v>
      </c>
      <c r="K31">
        <v>5494</v>
      </c>
      <c r="L31">
        <v>4268</v>
      </c>
      <c r="M31">
        <v>578</v>
      </c>
      <c r="N31">
        <v>505</v>
      </c>
      <c r="O31">
        <v>1121</v>
      </c>
      <c r="P31">
        <v>811</v>
      </c>
      <c r="Q31">
        <v>0</v>
      </c>
      <c r="R31">
        <v>3</v>
      </c>
      <c r="T31" t="s">
        <v>468</v>
      </c>
      <c r="U31">
        <v>342787</v>
      </c>
      <c r="V31">
        <v>373.9802442916</v>
      </c>
      <c r="W31">
        <v>340897</v>
      </c>
      <c r="X31">
        <v>70488</v>
      </c>
      <c r="Y31">
        <v>489656</v>
      </c>
      <c r="Z31">
        <v>306567</v>
      </c>
      <c r="AA31">
        <v>84653</v>
      </c>
      <c r="AB31">
        <v>72307</v>
      </c>
      <c r="AC31">
        <v>140957</v>
      </c>
      <c r="AD31">
        <v>84214</v>
      </c>
      <c r="AE31">
        <v>11435</v>
      </c>
      <c r="AF31">
        <v>4448</v>
      </c>
      <c r="AH31" t="s">
        <v>420</v>
      </c>
      <c r="AI31">
        <v>4270</v>
      </c>
      <c r="AJ31">
        <v>440.20725995319998</v>
      </c>
      <c r="AK31">
        <v>3950</v>
      </c>
      <c r="AL31">
        <v>1078</v>
      </c>
      <c r="AM31">
        <v>5467</v>
      </c>
      <c r="AN31">
        <v>3579</v>
      </c>
      <c r="AO31">
        <v>539</v>
      </c>
      <c r="AP31">
        <v>470</v>
      </c>
      <c r="AQ31">
        <v>1477</v>
      </c>
      <c r="AR31">
        <v>848</v>
      </c>
      <c r="AS31">
        <v>6</v>
      </c>
      <c r="AT31">
        <v>117</v>
      </c>
      <c r="AV31" t="s">
        <v>412</v>
      </c>
      <c r="AW31">
        <v>37</v>
      </c>
      <c r="AX31">
        <v>71.702702702699995</v>
      </c>
      <c r="AY31">
        <v>128</v>
      </c>
      <c r="BA31">
        <v>65</v>
      </c>
      <c r="BB31">
        <v>5</v>
      </c>
      <c r="BC31">
        <v>0</v>
      </c>
      <c r="BE31">
        <v>5</v>
      </c>
      <c r="BG31">
        <v>156</v>
      </c>
      <c r="BH31">
        <v>19</v>
      </c>
      <c r="BJ31" t="s">
        <v>529</v>
      </c>
      <c r="BK31" t="s">
        <v>376</v>
      </c>
      <c r="BL31">
        <v>1666</v>
      </c>
      <c r="BM31">
        <v>268</v>
      </c>
      <c r="BN31">
        <v>83.106842737099996</v>
      </c>
      <c r="BO31">
        <v>58</v>
      </c>
      <c r="BP31">
        <v>58</v>
      </c>
      <c r="BQ31">
        <v>106.60344827590001</v>
      </c>
      <c r="BR31">
        <v>106.60344827590001</v>
      </c>
      <c r="BS31">
        <v>2164</v>
      </c>
      <c r="BT31">
        <v>493</v>
      </c>
      <c r="BU31">
        <v>100.4842883549</v>
      </c>
      <c r="BV31">
        <v>66</v>
      </c>
      <c r="BW31">
        <v>66</v>
      </c>
      <c r="BX31">
        <v>113.6212121212</v>
      </c>
      <c r="BY31">
        <v>113.6212121212</v>
      </c>
      <c r="CA31" t="s">
        <v>430</v>
      </c>
      <c r="CB31" t="s">
        <v>863</v>
      </c>
      <c r="CC31" t="s">
        <v>988</v>
      </c>
      <c r="CD31">
        <v>922</v>
      </c>
      <c r="CE31">
        <v>237</v>
      </c>
      <c r="CF31">
        <v>106.3036876356</v>
      </c>
      <c r="CG31">
        <v>25</v>
      </c>
      <c r="CH31">
        <v>25</v>
      </c>
      <c r="CI31">
        <v>167.76</v>
      </c>
      <c r="CJ31">
        <v>167.76</v>
      </c>
      <c r="CL31" t="s">
        <v>430</v>
      </c>
      <c r="CM31" t="s">
        <v>832</v>
      </c>
      <c r="CN31" t="s">
        <v>833</v>
      </c>
      <c r="CO31">
        <v>34</v>
      </c>
      <c r="CP31">
        <v>4</v>
      </c>
      <c r="CQ31">
        <v>86.470588235299999</v>
      </c>
      <c r="CR31">
        <v>2</v>
      </c>
      <c r="CS31">
        <v>2</v>
      </c>
      <c r="CT31">
        <v>79</v>
      </c>
      <c r="CU31">
        <v>79</v>
      </c>
      <c r="CW31" t="s">
        <v>430</v>
      </c>
      <c r="CX31" t="s">
        <v>848</v>
      </c>
      <c r="CY31" t="s">
        <v>849</v>
      </c>
      <c r="CZ31">
        <v>22</v>
      </c>
      <c r="DA31">
        <v>3</v>
      </c>
      <c r="DB31">
        <v>66.181818181799997</v>
      </c>
      <c r="DC31">
        <v>0</v>
      </c>
      <c r="DD31">
        <v>0</v>
      </c>
      <c r="DE31">
        <v>0</v>
      </c>
      <c r="DF31">
        <v>0</v>
      </c>
      <c r="DH31" t="s">
        <v>430</v>
      </c>
      <c r="DI31" t="s">
        <v>816</v>
      </c>
      <c r="DJ31" t="s">
        <v>817</v>
      </c>
      <c r="DK31">
        <v>23</v>
      </c>
      <c r="DL31">
        <v>3</v>
      </c>
      <c r="DM31">
        <v>59.304347826099999</v>
      </c>
      <c r="DN31">
        <v>0</v>
      </c>
      <c r="DO31">
        <v>0</v>
      </c>
      <c r="DP31">
        <v>0</v>
      </c>
      <c r="DQ31">
        <v>0</v>
      </c>
    </row>
    <row r="32" spans="2:121" x14ac:dyDescent="0.2">
      <c r="B32" t="s">
        <v>120</v>
      </c>
      <c r="C32">
        <v>9882</v>
      </c>
      <c r="D32">
        <v>1806</v>
      </c>
      <c r="F32" t="s">
        <v>76</v>
      </c>
      <c r="G32">
        <v>13386</v>
      </c>
      <c r="H32">
        <v>401.71178843569999</v>
      </c>
      <c r="I32">
        <v>7052</v>
      </c>
      <c r="J32">
        <v>1316</v>
      </c>
      <c r="K32">
        <v>18733</v>
      </c>
      <c r="L32">
        <v>13410</v>
      </c>
      <c r="M32">
        <v>3881</v>
      </c>
      <c r="N32">
        <v>3548</v>
      </c>
      <c r="O32">
        <v>4520</v>
      </c>
      <c r="P32">
        <v>3890</v>
      </c>
      <c r="Q32">
        <v>0</v>
      </c>
      <c r="R32">
        <v>150</v>
      </c>
      <c r="AH32" t="s">
        <v>422</v>
      </c>
      <c r="AI32">
        <v>1718</v>
      </c>
      <c r="AJ32">
        <v>386.591967404</v>
      </c>
      <c r="AK32">
        <v>1242</v>
      </c>
      <c r="AL32">
        <v>259</v>
      </c>
      <c r="AM32">
        <v>2444</v>
      </c>
      <c r="AN32">
        <v>1566</v>
      </c>
      <c r="AO32">
        <v>641</v>
      </c>
      <c r="AP32">
        <v>552</v>
      </c>
      <c r="AQ32">
        <v>175</v>
      </c>
      <c r="AR32">
        <v>92</v>
      </c>
      <c r="AS32">
        <v>127</v>
      </c>
      <c r="AT32">
        <v>3</v>
      </c>
      <c r="AV32" t="s">
        <v>422</v>
      </c>
      <c r="AW32">
        <v>87</v>
      </c>
      <c r="AX32">
        <v>118.03448275860001</v>
      </c>
      <c r="AY32">
        <v>108</v>
      </c>
      <c r="AZ32">
        <v>22</v>
      </c>
      <c r="BA32">
        <v>129</v>
      </c>
      <c r="BB32">
        <v>28</v>
      </c>
      <c r="BC32">
        <v>2</v>
      </c>
      <c r="BD32">
        <v>2</v>
      </c>
      <c r="BE32">
        <v>12</v>
      </c>
      <c r="BF32">
        <v>2</v>
      </c>
      <c r="BG32">
        <v>8</v>
      </c>
      <c r="BH32">
        <v>32</v>
      </c>
      <c r="BJ32" t="s">
        <v>544</v>
      </c>
      <c r="BK32" t="s">
        <v>376</v>
      </c>
      <c r="BL32">
        <v>2313</v>
      </c>
      <c r="BM32">
        <v>339</v>
      </c>
      <c r="BN32">
        <v>78.699524427200004</v>
      </c>
      <c r="BO32">
        <v>66</v>
      </c>
      <c r="BP32">
        <v>66</v>
      </c>
      <c r="BQ32">
        <v>131.7272727273</v>
      </c>
      <c r="BR32">
        <v>131.7272727273</v>
      </c>
      <c r="BS32">
        <v>4574</v>
      </c>
      <c r="BT32">
        <v>845</v>
      </c>
      <c r="BU32">
        <v>98.008307826800007</v>
      </c>
      <c r="BV32">
        <v>120</v>
      </c>
      <c r="BW32">
        <v>120</v>
      </c>
      <c r="BX32">
        <v>159.42500000000001</v>
      </c>
      <c r="BY32">
        <v>159.42500000000001</v>
      </c>
      <c r="CA32" t="s">
        <v>421</v>
      </c>
      <c r="CB32" t="s">
        <v>863</v>
      </c>
      <c r="CC32" t="s">
        <v>989</v>
      </c>
      <c r="CD32">
        <v>402</v>
      </c>
      <c r="CE32">
        <v>102</v>
      </c>
      <c r="CF32">
        <v>109.80597014929999</v>
      </c>
      <c r="CG32">
        <v>14</v>
      </c>
      <c r="CH32">
        <v>14</v>
      </c>
      <c r="CI32">
        <v>155.8571428571</v>
      </c>
      <c r="CJ32">
        <v>155.8571428571</v>
      </c>
      <c r="CL32" t="s">
        <v>421</v>
      </c>
      <c r="CM32" t="s">
        <v>832</v>
      </c>
      <c r="CN32" t="s">
        <v>834</v>
      </c>
      <c r="CO32">
        <v>57</v>
      </c>
      <c r="CP32">
        <v>1</v>
      </c>
      <c r="CQ32">
        <v>61.175438596500001</v>
      </c>
      <c r="CR32">
        <v>1</v>
      </c>
      <c r="CS32">
        <v>1</v>
      </c>
      <c r="CT32">
        <v>86</v>
      </c>
      <c r="CU32">
        <v>86</v>
      </c>
      <c r="CW32" t="s">
        <v>421</v>
      </c>
      <c r="CX32" t="s">
        <v>848</v>
      </c>
      <c r="CY32" t="s">
        <v>850</v>
      </c>
      <c r="CZ32">
        <v>20</v>
      </c>
      <c r="DA32">
        <v>0</v>
      </c>
      <c r="DB32">
        <v>55.45</v>
      </c>
      <c r="DC32">
        <v>1</v>
      </c>
      <c r="DD32">
        <v>1</v>
      </c>
      <c r="DE32">
        <v>142</v>
      </c>
      <c r="DF32">
        <v>142</v>
      </c>
      <c r="DH32" t="s">
        <v>421</v>
      </c>
      <c r="DI32" t="s">
        <v>816</v>
      </c>
      <c r="DJ32" t="s">
        <v>818</v>
      </c>
      <c r="DK32">
        <v>31</v>
      </c>
      <c r="DL32">
        <v>1</v>
      </c>
      <c r="DM32">
        <v>51.548387096799999</v>
      </c>
      <c r="DN32">
        <v>1</v>
      </c>
      <c r="DO32">
        <v>1</v>
      </c>
      <c r="DP32">
        <v>124</v>
      </c>
      <c r="DQ32">
        <v>124</v>
      </c>
    </row>
    <row r="33" spans="2:121" x14ac:dyDescent="0.2">
      <c r="B33" t="s">
        <v>128</v>
      </c>
      <c r="C33">
        <v>547</v>
      </c>
      <c r="D33">
        <v>20</v>
      </c>
      <c r="F33" t="s">
        <v>70</v>
      </c>
      <c r="G33">
        <v>811</v>
      </c>
      <c r="H33">
        <v>147.48088779279999</v>
      </c>
      <c r="I33">
        <v>2172</v>
      </c>
      <c r="J33">
        <v>346</v>
      </c>
      <c r="K33">
        <v>3151</v>
      </c>
      <c r="L33">
        <v>577</v>
      </c>
      <c r="M33">
        <v>1603</v>
      </c>
      <c r="N33">
        <v>1066</v>
      </c>
      <c r="O33">
        <v>243</v>
      </c>
      <c r="P33">
        <v>84</v>
      </c>
      <c r="Q33">
        <v>0</v>
      </c>
      <c r="R33">
        <v>0</v>
      </c>
      <c r="AH33" t="s">
        <v>381</v>
      </c>
      <c r="AI33">
        <v>2644</v>
      </c>
      <c r="AJ33">
        <v>271.03706505299999</v>
      </c>
      <c r="AK33">
        <v>4082</v>
      </c>
      <c r="AL33">
        <v>834</v>
      </c>
      <c r="AM33">
        <v>4234</v>
      </c>
      <c r="AN33">
        <v>1982</v>
      </c>
      <c r="AO33">
        <v>878</v>
      </c>
      <c r="AP33">
        <v>733</v>
      </c>
      <c r="AQ33">
        <v>2028</v>
      </c>
      <c r="AR33">
        <v>1079</v>
      </c>
      <c r="AS33">
        <v>553</v>
      </c>
      <c r="AT33">
        <v>5</v>
      </c>
      <c r="AV33" t="s">
        <v>433</v>
      </c>
      <c r="AW33">
        <v>117</v>
      </c>
      <c r="AX33">
        <v>42.487179487200002</v>
      </c>
      <c r="AY33">
        <v>479</v>
      </c>
      <c r="AZ33">
        <v>16</v>
      </c>
      <c r="BA33">
        <v>198</v>
      </c>
      <c r="BB33">
        <v>14</v>
      </c>
      <c r="BC33">
        <v>3</v>
      </c>
      <c r="BD33">
        <v>3</v>
      </c>
      <c r="BE33">
        <v>15</v>
      </c>
      <c r="BF33">
        <v>7</v>
      </c>
      <c r="BG33">
        <v>258</v>
      </c>
      <c r="BH33">
        <v>56</v>
      </c>
      <c r="BJ33" t="s">
        <v>629</v>
      </c>
      <c r="BK33" t="s">
        <v>376</v>
      </c>
      <c r="BL33">
        <v>1336</v>
      </c>
      <c r="BM33">
        <v>272</v>
      </c>
      <c r="BN33">
        <v>87.627994012000002</v>
      </c>
      <c r="BO33">
        <v>15</v>
      </c>
      <c r="BP33">
        <v>15</v>
      </c>
      <c r="BQ33">
        <v>143.6</v>
      </c>
      <c r="BR33">
        <v>143.6</v>
      </c>
      <c r="BS33">
        <v>1346</v>
      </c>
      <c r="BT33">
        <v>288</v>
      </c>
      <c r="BU33">
        <v>93.975482912299995</v>
      </c>
      <c r="BV33">
        <v>19</v>
      </c>
      <c r="BW33">
        <v>19</v>
      </c>
      <c r="BX33">
        <v>163.31578947369999</v>
      </c>
      <c r="BY33">
        <v>163.31578947369999</v>
      </c>
      <c r="CA33" t="s">
        <v>423</v>
      </c>
      <c r="CB33" t="s">
        <v>863</v>
      </c>
      <c r="CC33" t="s">
        <v>990</v>
      </c>
      <c r="CD33">
        <v>1268</v>
      </c>
      <c r="CE33">
        <v>166</v>
      </c>
      <c r="CF33">
        <v>79.888801261799998</v>
      </c>
      <c r="CG33">
        <v>25</v>
      </c>
      <c r="CH33">
        <v>25</v>
      </c>
      <c r="CI33">
        <v>129.84</v>
      </c>
      <c r="CJ33">
        <v>129.84</v>
      </c>
      <c r="CL33" t="s">
        <v>423</v>
      </c>
      <c r="CM33" t="s">
        <v>832</v>
      </c>
      <c r="CN33" t="s">
        <v>835</v>
      </c>
      <c r="CO33">
        <v>57</v>
      </c>
      <c r="CP33">
        <v>3</v>
      </c>
      <c r="CQ33">
        <v>58.736842105299999</v>
      </c>
      <c r="CR33">
        <v>3</v>
      </c>
      <c r="CS33">
        <v>3</v>
      </c>
      <c r="CT33">
        <v>50</v>
      </c>
      <c r="CU33">
        <v>50</v>
      </c>
      <c r="CW33" t="s">
        <v>423</v>
      </c>
      <c r="CX33" t="s">
        <v>848</v>
      </c>
      <c r="CY33" t="s">
        <v>851</v>
      </c>
      <c r="CZ33">
        <v>21</v>
      </c>
      <c r="DA33">
        <v>2</v>
      </c>
      <c r="DB33">
        <v>60.952380952399999</v>
      </c>
      <c r="DC33">
        <v>1</v>
      </c>
      <c r="DD33">
        <v>1</v>
      </c>
      <c r="DE33">
        <v>173</v>
      </c>
      <c r="DF33">
        <v>173</v>
      </c>
      <c r="DH33" t="s">
        <v>423</v>
      </c>
      <c r="DI33" t="s">
        <v>816</v>
      </c>
      <c r="DJ33" t="s">
        <v>819</v>
      </c>
      <c r="DK33">
        <v>18</v>
      </c>
      <c r="DL33">
        <v>2</v>
      </c>
      <c r="DM33">
        <v>78.388888888899999</v>
      </c>
      <c r="DN33">
        <v>1</v>
      </c>
      <c r="DO33">
        <v>1</v>
      </c>
      <c r="DP33">
        <v>154</v>
      </c>
      <c r="DQ33">
        <v>154</v>
      </c>
    </row>
    <row r="34" spans="2:121" x14ac:dyDescent="0.2">
      <c r="B34" t="s">
        <v>92</v>
      </c>
      <c r="C34">
        <v>4</v>
      </c>
      <c r="D34">
        <v>2</v>
      </c>
      <c r="F34" t="s">
        <v>40</v>
      </c>
      <c r="G34">
        <v>6482</v>
      </c>
      <c r="H34">
        <v>522.38799753160004</v>
      </c>
      <c r="I34">
        <v>6549</v>
      </c>
      <c r="J34">
        <v>1734</v>
      </c>
      <c r="K34">
        <v>7742</v>
      </c>
      <c r="L34">
        <v>6025</v>
      </c>
      <c r="M34">
        <v>1332</v>
      </c>
      <c r="N34">
        <v>1279</v>
      </c>
      <c r="O34">
        <v>1924</v>
      </c>
      <c r="P34">
        <v>1454</v>
      </c>
      <c r="Q34">
        <v>1</v>
      </c>
      <c r="R34">
        <v>288</v>
      </c>
      <c r="AH34" t="s">
        <v>412</v>
      </c>
      <c r="AI34">
        <v>1816</v>
      </c>
      <c r="AJ34">
        <v>211.27973568280001</v>
      </c>
      <c r="AK34">
        <v>3067</v>
      </c>
      <c r="AL34">
        <v>718</v>
      </c>
      <c r="AM34">
        <v>2626</v>
      </c>
      <c r="AN34">
        <v>1209</v>
      </c>
      <c r="AO34">
        <v>271</v>
      </c>
      <c r="AP34">
        <v>176</v>
      </c>
      <c r="AQ34">
        <v>609</v>
      </c>
      <c r="AR34">
        <v>281</v>
      </c>
      <c r="AS34">
        <v>2</v>
      </c>
      <c r="AT34">
        <v>19</v>
      </c>
      <c r="AV34" t="s">
        <v>379</v>
      </c>
      <c r="AW34">
        <v>62</v>
      </c>
      <c r="AX34">
        <v>92.354838709700005</v>
      </c>
      <c r="AY34">
        <v>125</v>
      </c>
      <c r="AZ34">
        <v>25</v>
      </c>
      <c r="BA34">
        <v>119</v>
      </c>
      <c r="BB34">
        <v>27</v>
      </c>
      <c r="BC34">
        <v>5</v>
      </c>
      <c r="BD34">
        <v>5</v>
      </c>
      <c r="BE34">
        <v>5</v>
      </c>
      <c r="BF34">
        <v>1</v>
      </c>
      <c r="BG34">
        <v>15</v>
      </c>
      <c r="BH34">
        <v>28</v>
      </c>
      <c r="BJ34" t="s">
        <v>525</v>
      </c>
      <c r="BK34" t="s">
        <v>376</v>
      </c>
      <c r="BL34">
        <v>4722</v>
      </c>
      <c r="BM34">
        <v>723</v>
      </c>
      <c r="BN34">
        <v>91.724904701400007</v>
      </c>
      <c r="BO34">
        <v>102</v>
      </c>
      <c r="BP34">
        <v>102</v>
      </c>
      <c r="BQ34">
        <v>142.4803921569</v>
      </c>
      <c r="BR34">
        <v>142.4803921569</v>
      </c>
      <c r="BS34">
        <v>4288</v>
      </c>
      <c r="BT34">
        <v>565</v>
      </c>
      <c r="BU34">
        <v>82.330923507500003</v>
      </c>
      <c r="BV34">
        <v>97</v>
      </c>
      <c r="BW34">
        <v>97</v>
      </c>
      <c r="BX34">
        <v>135.1237113402</v>
      </c>
      <c r="BY34">
        <v>135.1237113402</v>
      </c>
      <c r="CA34" t="s">
        <v>383</v>
      </c>
      <c r="CB34" t="s">
        <v>863</v>
      </c>
      <c r="CC34" t="s">
        <v>991</v>
      </c>
      <c r="CD34">
        <v>5546</v>
      </c>
      <c r="CE34">
        <v>1008</v>
      </c>
      <c r="CF34">
        <v>96.047962495500002</v>
      </c>
      <c r="CG34">
        <v>120</v>
      </c>
      <c r="CH34">
        <v>120</v>
      </c>
      <c r="CI34">
        <v>133.6</v>
      </c>
      <c r="CJ34">
        <v>133.6</v>
      </c>
      <c r="CL34" t="s">
        <v>383</v>
      </c>
      <c r="CM34" t="s">
        <v>832</v>
      </c>
      <c r="CN34" t="s">
        <v>836</v>
      </c>
      <c r="CO34">
        <v>265</v>
      </c>
      <c r="CP34">
        <v>28</v>
      </c>
      <c r="CQ34">
        <v>75.237735849100005</v>
      </c>
      <c r="CR34">
        <v>12</v>
      </c>
      <c r="CS34">
        <v>12</v>
      </c>
      <c r="CT34">
        <v>91.416666666699996</v>
      </c>
      <c r="CU34">
        <v>91.416666666699996</v>
      </c>
      <c r="CW34" t="s">
        <v>383</v>
      </c>
      <c r="CX34" t="s">
        <v>848</v>
      </c>
      <c r="CY34" t="s">
        <v>852</v>
      </c>
      <c r="CZ34">
        <v>259</v>
      </c>
      <c r="DA34">
        <v>14</v>
      </c>
      <c r="DB34">
        <v>65.0694980695</v>
      </c>
      <c r="DC34">
        <v>4</v>
      </c>
      <c r="DD34">
        <v>4</v>
      </c>
      <c r="DE34">
        <v>140</v>
      </c>
      <c r="DF34">
        <v>140</v>
      </c>
      <c r="DH34" t="s">
        <v>383</v>
      </c>
      <c r="DI34" t="s">
        <v>816</v>
      </c>
      <c r="DJ34" t="s">
        <v>820</v>
      </c>
      <c r="DK34">
        <v>352</v>
      </c>
      <c r="DL34">
        <v>14</v>
      </c>
      <c r="DM34">
        <v>60.394886363600001</v>
      </c>
      <c r="DN34">
        <v>7</v>
      </c>
      <c r="DO34">
        <v>7</v>
      </c>
      <c r="DP34">
        <v>132.57142857139999</v>
      </c>
      <c r="DQ34">
        <v>132.57142857139999</v>
      </c>
    </row>
    <row r="35" spans="2:121" x14ac:dyDescent="0.2">
      <c r="B35" t="s">
        <v>105</v>
      </c>
      <c r="C35">
        <v>701</v>
      </c>
      <c r="D35">
        <v>646</v>
      </c>
      <c r="F35" t="s">
        <v>74</v>
      </c>
      <c r="G35">
        <v>7053</v>
      </c>
      <c r="H35">
        <v>326.16716290940002</v>
      </c>
      <c r="I35">
        <v>13089</v>
      </c>
      <c r="J35">
        <v>1869</v>
      </c>
      <c r="K35">
        <v>15104</v>
      </c>
      <c r="L35">
        <v>6554</v>
      </c>
      <c r="M35">
        <v>1924</v>
      </c>
      <c r="N35">
        <v>1369</v>
      </c>
      <c r="O35">
        <v>1846</v>
      </c>
      <c r="P35">
        <v>1322</v>
      </c>
      <c r="Q35">
        <v>0</v>
      </c>
      <c r="R35">
        <v>67</v>
      </c>
      <c r="AH35" t="s">
        <v>63</v>
      </c>
      <c r="AI35">
        <v>5815</v>
      </c>
      <c r="AJ35">
        <v>257.50197764400002</v>
      </c>
      <c r="AK35">
        <v>9203</v>
      </c>
      <c r="AL35">
        <v>1774</v>
      </c>
      <c r="AM35">
        <v>8935</v>
      </c>
      <c r="AN35">
        <v>4600</v>
      </c>
      <c r="AO35">
        <v>2083</v>
      </c>
      <c r="AP35">
        <v>1606</v>
      </c>
      <c r="AQ35">
        <v>1632</v>
      </c>
      <c r="AR35">
        <v>836</v>
      </c>
      <c r="AS35">
        <v>1150</v>
      </c>
      <c r="AT35">
        <v>20</v>
      </c>
      <c r="AV35" t="s">
        <v>402</v>
      </c>
      <c r="AW35">
        <v>355</v>
      </c>
      <c r="AX35">
        <v>64.599999999999994</v>
      </c>
      <c r="AY35">
        <v>1032</v>
      </c>
      <c r="AZ35">
        <v>64</v>
      </c>
      <c r="BA35">
        <v>668</v>
      </c>
      <c r="BB35">
        <v>43</v>
      </c>
      <c r="BC35">
        <v>3</v>
      </c>
      <c r="BD35">
        <v>3</v>
      </c>
      <c r="BE35">
        <v>48</v>
      </c>
      <c r="BF35">
        <v>10</v>
      </c>
      <c r="BG35">
        <v>506</v>
      </c>
      <c r="BH35">
        <v>69</v>
      </c>
      <c r="BJ35" t="s">
        <v>531</v>
      </c>
      <c r="BK35" t="s">
        <v>376</v>
      </c>
      <c r="BL35">
        <v>2887</v>
      </c>
      <c r="BM35">
        <v>381</v>
      </c>
      <c r="BN35">
        <v>85.3540006928</v>
      </c>
      <c r="BO35">
        <v>78</v>
      </c>
      <c r="BP35">
        <v>78</v>
      </c>
      <c r="BQ35">
        <v>129.76923076919999</v>
      </c>
      <c r="BR35">
        <v>129.76923076919999</v>
      </c>
      <c r="BS35">
        <v>2640</v>
      </c>
      <c r="BT35">
        <v>294</v>
      </c>
      <c r="BU35">
        <v>80.771969697000003</v>
      </c>
      <c r="BV35">
        <v>71</v>
      </c>
      <c r="BW35">
        <v>71</v>
      </c>
      <c r="BX35">
        <v>137.0845070423</v>
      </c>
      <c r="BY35">
        <v>137.0845070423</v>
      </c>
      <c r="CA35" t="s">
        <v>378</v>
      </c>
      <c r="CB35" t="s">
        <v>863</v>
      </c>
      <c r="CC35" t="s">
        <v>992</v>
      </c>
      <c r="CD35">
        <v>4400</v>
      </c>
      <c r="CE35">
        <v>999</v>
      </c>
      <c r="CF35">
        <v>94.749318181800007</v>
      </c>
      <c r="CG35">
        <v>120</v>
      </c>
      <c r="CH35">
        <v>120</v>
      </c>
      <c r="CI35">
        <v>118.5833333333</v>
      </c>
      <c r="CJ35">
        <v>118.5833333333</v>
      </c>
      <c r="CL35" t="s">
        <v>378</v>
      </c>
      <c r="CM35" t="s">
        <v>832</v>
      </c>
      <c r="CN35" t="s">
        <v>837</v>
      </c>
      <c r="CO35">
        <v>264</v>
      </c>
      <c r="CP35">
        <v>21</v>
      </c>
      <c r="CQ35">
        <v>67.212121212100001</v>
      </c>
      <c r="CR35">
        <v>8</v>
      </c>
      <c r="CS35">
        <v>8</v>
      </c>
      <c r="CT35">
        <v>51.25</v>
      </c>
      <c r="CU35">
        <v>51.25</v>
      </c>
      <c r="CW35" t="s">
        <v>378</v>
      </c>
      <c r="CX35" t="s">
        <v>848</v>
      </c>
      <c r="CY35" t="s">
        <v>853</v>
      </c>
      <c r="CZ35">
        <v>106</v>
      </c>
      <c r="DA35">
        <v>8</v>
      </c>
      <c r="DB35">
        <v>69.688679245299994</v>
      </c>
      <c r="DC35">
        <v>0</v>
      </c>
      <c r="DD35">
        <v>0</v>
      </c>
      <c r="DE35">
        <v>0</v>
      </c>
      <c r="DF35">
        <v>0</v>
      </c>
      <c r="DH35" t="s">
        <v>378</v>
      </c>
      <c r="DI35" t="s">
        <v>816</v>
      </c>
      <c r="DJ35" t="s">
        <v>821</v>
      </c>
      <c r="DK35">
        <v>50</v>
      </c>
      <c r="DL35">
        <v>5</v>
      </c>
      <c r="DM35">
        <v>66.760000000000005</v>
      </c>
      <c r="DN35">
        <v>0</v>
      </c>
      <c r="DO35">
        <v>0</v>
      </c>
      <c r="DP35">
        <v>0</v>
      </c>
      <c r="DQ35">
        <v>0</v>
      </c>
    </row>
    <row r="36" spans="2:121" x14ac:dyDescent="0.2">
      <c r="B36" t="s">
        <v>98</v>
      </c>
      <c r="C36">
        <v>405</v>
      </c>
      <c r="D36">
        <v>271</v>
      </c>
      <c r="F36" t="s">
        <v>50</v>
      </c>
      <c r="G36">
        <v>2421</v>
      </c>
      <c r="H36">
        <v>220.38496489049999</v>
      </c>
      <c r="I36">
        <v>2141</v>
      </c>
      <c r="J36">
        <v>335</v>
      </c>
      <c r="K36">
        <v>3727</v>
      </c>
      <c r="L36">
        <v>2041</v>
      </c>
      <c r="M36">
        <v>143</v>
      </c>
      <c r="N36">
        <v>118</v>
      </c>
      <c r="O36">
        <v>927</v>
      </c>
      <c r="P36">
        <v>672</v>
      </c>
      <c r="Q36">
        <v>1</v>
      </c>
      <c r="R36">
        <v>13</v>
      </c>
      <c r="T36" t="s">
        <v>653</v>
      </c>
      <c r="U36" t="s">
        <v>312</v>
      </c>
      <c r="V36" t="s">
        <v>139</v>
      </c>
      <c r="W36" t="s">
        <v>220</v>
      </c>
      <c r="X36" t="s">
        <v>466</v>
      </c>
      <c r="Y36" t="s">
        <v>222</v>
      </c>
      <c r="Z36" t="s">
        <v>223</v>
      </c>
      <c r="AA36" t="s">
        <v>224</v>
      </c>
      <c r="AB36" t="s">
        <v>467</v>
      </c>
      <c r="AC36" t="s">
        <v>226</v>
      </c>
      <c r="AD36" t="s">
        <v>227</v>
      </c>
      <c r="AE36" t="s">
        <v>228</v>
      </c>
      <c r="AF36" t="s">
        <v>229</v>
      </c>
      <c r="AH36" t="s">
        <v>389</v>
      </c>
      <c r="AI36">
        <v>16475</v>
      </c>
      <c r="AJ36">
        <v>320.4080728376</v>
      </c>
      <c r="AK36">
        <v>18823</v>
      </c>
      <c r="AL36">
        <v>4368</v>
      </c>
      <c r="AM36">
        <v>22753</v>
      </c>
      <c r="AN36">
        <v>13797</v>
      </c>
      <c r="AO36">
        <v>4467</v>
      </c>
      <c r="AP36">
        <v>3661</v>
      </c>
      <c r="AQ36">
        <v>7101</v>
      </c>
      <c r="AR36">
        <v>4625</v>
      </c>
      <c r="AS36">
        <v>924</v>
      </c>
      <c r="AT36">
        <v>47</v>
      </c>
      <c r="AV36" t="s">
        <v>390</v>
      </c>
      <c r="AW36">
        <v>796</v>
      </c>
      <c r="AX36">
        <v>101.7261306533</v>
      </c>
      <c r="AY36">
        <v>774</v>
      </c>
      <c r="AZ36">
        <v>193</v>
      </c>
      <c r="BA36">
        <v>1241</v>
      </c>
      <c r="BB36">
        <v>356</v>
      </c>
      <c r="BC36">
        <v>19</v>
      </c>
      <c r="BD36">
        <v>16</v>
      </c>
      <c r="BE36">
        <v>76</v>
      </c>
      <c r="BF36">
        <v>24</v>
      </c>
      <c r="BG36">
        <v>111</v>
      </c>
      <c r="BH36">
        <v>253</v>
      </c>
      <c r="BJ36" t="s">
        <v>376</v>
      </c>
      <c r="BK36" t="s">
        <v>376</v>
      </c>
      <c r="BL36">
        <v>71506</v>
      </c>
      <c r="BM36">
        <v>15225</v>
      </c>
      <c r="BN36">
        <v>96.804701703399999</v>
      </c>
      <c r="BO36">
        <v>1670</v>
      </c>
      <c r="BP36">
        <v>1670</v>
      </c>
      <c r="BQ36">
        <v>134.19580838319999</v>
      </c>
      <c r="BR36">
        <v>134.19580838319999</v>
      </c>
      <c r="BS36">
        <v>70769</v>
      </c>
      <c r="BT36">
        <v>14624</v>
      </c>
      <c r="BU36">
        <v>95.855883225699998</v>
      </c>
      <c r="BV36">
        <v>1670</v>
      </c>
      <c r="BW36">
        <v>1670</v>
      </c>
      <c r="BX36">
        <v>136.35149700599999</v>
      </c>
      <c r="BY36">
        <v>136.35149700599999</v>
      </c>
      <c r="CA36" t="s">
        <v>422</v>
      </c>
      <c r="CB36" t="s">
        <v>863</v>
      </c>
      <c r="CC36" t="s">
        <v>993</v>
      </c>
      <c r="CD36">
        <v>1364</v>
      </c>
      <c r="CE36">
        <v>284</v>
      </c>
      <c r="CF36">
        <v>90.645894428199995</v>
      </c>
      <c r="CG36">
        <v>16</v>
      </c>
      <c r="CH36">
        <v>16</v>
      </c>
      <c r="CI36">
        <v>120</v>
      </c>
      <c r="CJ36">
        <v>120</v>
      </c>
      <c r="CL36" t="s">
        <v>422</v>
      </c>
      <c r="CM36" t="s">
        <v>832</v>
      </c>
      <c r="CN36" t="s">
        <v>838</v>
      </c>
      <c r="CO36">
        <v>63</v>
      </c>
      <c r="CP36">
        <v>7</v>
      </c>
      <c r="CQ36">
        <v>77.126984127</v>
      </c>
      <c r="CR36">
        <v>0</v>
      </c>
      <c r="CS36">
        <v>0</v>
      </c>
      <c r="CT36">
        <v>0</v>
      </c>
      <c r="CU36">
        <v>0</v>
      </c>
      <c r="CW36" t="s">
        <v>422</v>
      </c>
      <c r="CX36" t="s">
        <v>848</v>
      </c>
      <c r="CY36" t="s">
        <v>854</v>
      </c>
      <c r="CZ36">
        <v>21</v>
      </c>
      <c r="DA36">
        <v>1</v>
      </c>
      <c r="DB36">
        <v>47.571428571399998</v>
      </c>
      <c r="DC36">
        <v>0</v>
      </c>
      <c r="DD36">
        <v>0</v>
      </c>
      <c r="DE36">
        <v>0</v>
      </c>
      <c r="DF36">
        <v>0</v>
      </c>
      <c r="DH36" t="s">
        <v>422</v>
      </c>
      <c r="DI36" t="s">
        <v>816</v>
      </c>
      <c r="DJ36" t="s">
        <v>822</v>
      </c>
      <c r="DK36">
        <v>18</v>
      </c>
      <c r="DL36">
        <v>2</v>
      </c>
      <c r="DM36">
        <v>70</v>
      </c>
      <c r="DN36">
        <v>1</v>
      </c>
      <c r="DO36">
        <v>1</v>
      </c>
      <c r="DP36">
        <v>124</v>
      </c>
      <c r="DQ36">
        <v>124</v>
      </c>
    </row>
    <row r="37" spans="2:121" x14ac:dyDescent="0.2">
      <c r="B37" t="s">
        <v>121</v>
      </c>
      <c r="C37">
        <v>3359</v>
      </c>
      <c r="D37">
        <v>1081</v>
      </c>
      <c r="F37" t="s">
        <v>85</v>
      </c>
      <c r="G37">
        <v>816</v>
      </c>
      <c r="H37">
        <v>347.5943627451</v>
      </c>
      <c r="I37">
        <v>788</v>
      </c>
      <c r="J37">
        <v>187</v>
      </c>
      <c r="K37">
        <v>864</v>
      </c>
      <c r="L37">
        <v>424</v>
      </c>
      <c r="M37">
        <v>11</v>
      </c>
      <c r="N37">
        <v>8</v>
      </c>
      <c r="O37">
        <v>188</v>
      </c>
      <c r="P37">
        <v>128</v>
      </c>
      <c r="Q37">
        <v>0</v>
      </c>
      <c r="R37">
        <v>0</v>
      </c>
      <c r="T37" t="s">
        <v>397</v>
      </c>
      <c r="U37">
        <v>2014</v>
      </c>
      <c r="V37">
        <v>60.9558093347</v>
      </c>
      <c r="W37">
        <v>5573</v>
      </c>
      <c r="X37">
        <v>309</v>
      </c>
      <c r="Y37">
        <v>3767</v>
      </c>
      <c r="Z37">
        <v>304</v>
      </c>
      <c r="AA37">
        <v>29</v>
      </c>
      <c r="AB37">
        <v>17</v>
      </c>
      <c r="AC37">
        <v>210</v>
      </c>
      <c r="AD37">
        <v>61</v>
      </c>
      <c r="AE37">
        <v>3341</v>
      </c>
      <c r="AF37">
        <v>448</v>
      </c>
      <c r="AH37" t="s">
        <v>426</v>
      </c>
      <c r="AI37">
        <v>232</v>
      </c>
      <c r="AJ37">
        <v>238.92241379309999</v>
      </c>
      <c r="AK37">
        <v>620</v>
      </c>
      <c r="AL37">
        <v>125</v>
      </c>
      <c r="AM37">
        <v>470</v>
      </c>
      <c r="AN37">
        <v>145</v>
      </c>
      <c r="AO37">
        <v>73</v>
      </c>
      <c r="AP37">
        <v>43</v>
      </c>
      <c r="AQ37">
        <v>111</v>
      </c>
      <c r="AR37">
        <v>48</v>
      </c>
      <c r="AS37">
        <v>0</v>
      </c>
      <c r="AT37">
        <v>0</v>
      </c>
      <c r="AV37" t="s">
        <v>398</v>
      </c>
      <c r="AW37">
        <v>415</v>
      </c>
      <c r="AX37">
        <v>69.775903614499995</v>
      </c>
      <c r="AY37">
        <v>1115</v>
      </c>
      <c r="AZ37">
        <v>69</v>
      </c>
      <c r="BA37">
        <v>787</v>
      </c>
      <c r="BB37">
        <v>94</v>
      </c>
      <c r="BC37">
        <v>18</v>
      </c>
      <c r="BD37">
        <v>8</v>
      </c>
      <c r="BE37">
        <v>47</v>
      </c>
      <c r="BF37">
        <v>12</v>
      </c>
      <c r="BG37">
        <v>499</v>
      </c>
      <c r="BH37">
        <v>74</v>
      </c>
      <c r="BJ37" t="s">
        <v>533</v>
      </c>
      <c r="BK37" t="s">
        <v>376</v>
      </c>
      <c r="BL37">
        <v>6976</v>
      </c>
      <c r="BM37">
        <v>2441</v>
      </c>
      <c r="BN37">
        <v>128.237815367</v>
      </c>
      <c r="BO37">
        <v>209</v>
      </c>
      <c r="BP37">
        <v>209</v>
      </c>
      <c r="BQ37">
        <v>136.30622009570001</v>
      </c>
      <c r="BR37">
        <v>136.30622009570001</v>
      </c>
      <c r="BS37">
        <v>7101</v>
      </c>
      <c r="BT37">
        <v>2549</v>
      </c>
      <c r="BU37">
        <v>130.08984650049999</v>
      </c>
      <c r="BV37">
        <v>207</v>
      </c>
      <c r="BW37">
        <v>207</v>
      </c>
      <c r="BX37">
        <v>136.26086956520001</v>
      </c>
      <c r="BY37">
        <v>136.26086956520001</v>
      </c>
      <c r="CA37" t="s">
        <v>381</v>
      </c>
      <c r="CB37" t="s">
        <v>863</v>
      </c>
      <c r="CC37" t="s">
        <v>994</v>
      </c>
      <c r="CD37">
        <v>4099</v>
      </c>
      <c r="CE37">
        <v>834</v>
      </c>
      <c r="CF37">
        <v>99.161990729400003</v>
      </c>
      <c r="CG37">
        <v>111</v>
      </c>
      <c r="CH37">
        <v>111</v>
      </c>
      <c r="CI37">
        <v>131.49549549549999</v>
      </c>
      <c r="CJ37">
        <v>131.49549549549999</v>
      </c>
      <c r="CL37" t="s">
        <v>381</v>
      </c>
      <c r="CM37" t="s">
        <v>832</v>
      </c>
      <c r="CN37" t="s">
        <v>839</v>
      </c>
      <c r="CO37">
        <v>326</v>
      </c>
      <c r="CP37">
        <v>31</v>
      </c>
      <c r="CQ37">
        <v>68.932515337400005</v>
      </c>
      <c r="CR37">
        <v>7</v>
      </c>
      <c r="CS37">
        <v>7</v>
      </c>
      <c r="CT37">
        <v>60.142857142899999</v>
      </c>
      <c r="CU37">
        <v>60.142857142899999</v>
      </c>
      <c r="CW37" t="s">
        <v>381</v>
      </c>
      <c r="CX37" t="s">
        <v>848</v>
      </c>
      <c r="CY37" t="s">
        <v>855</v>
      </c>
      <c r="CZ37">
        <v>105</v>
      </c>
      <c r="DA37">
        <v>6</v>
      </c>
      <c r="DB37">
        <v>62.4476190476</v>
      </c>
      <c r="DC37">
        <v>0</v>
      </c>
      <c r="DD37">
        <v>0</v>
      </c>
      <c r="DE37">
        <v>0</v>
      </c>
      <c r="DF37">
        <v>0</v>
      </c>
      <c r="DH37" t="s">
        <v>381</v>
      </c>
      <c r="DI37" t="s">
        <v>816</v>
      </c>
      <c r="DJ37" t="s">
        <v>823</v>
      </c>
      <c r="DK37">
        <v>84</v>
      </c>
      <c r="DL37">
        <v>8</v>
      </c>
      <c r="DM37">
        <v>65.452380952400006</v>
      </c>
      <c r="DN37">
        <v>0</v>
      </c>
      <c r="DO37">
        <v>0</v>
      </c>
      <c r="DP37">
        <v>0</v>
      </c>
      <c r="DQ37">
        <v>0</v>
      </c>
    </row>
    <row r="38" spans="2:121" x14ac:dyDescent="0.2">
      <c r="B38" t="s">
        <v>102</v>
      </c>
      <c r="C38">
        <v>15904</v>
      </c>
      <c r="D38">
        <v>2301</v>
      </c>
      <c r="F38" t="s">
        <v>63</v>
      </c>
      <c r="G38">
        <v>3090</v>
      </c>
      <c r="H38">
        <v>263.67055016180001</v>
      </c>
      <c r="I38">
        <v>4616</v>
      </c>
      <c r="J38">
        <v>717</v>
      </c>
      <c r="K38">
        <v>4646</v>
      </c>
      <c r="L38">
        <v>2676</v>
      </c>
      <c r="M38">
        <v>1831</v>
      </c>
      <c r="N38">
        <v>1533</v>
      </c>
      <c r="O38">
        <v>258</v>
      </c>
      <c r="P38">
        <v>190</v>
      </c>
      <c r="Q38">
        <v>0</v>
      </c>
      <c r="R38">
        <v>12</v>
      </c>
      <c r="T38" t="s">
        <v>387</v>
      </c>
      <c r="U38">
        <v>5957</v>
      </c>
      <c r="V38">
        <v>103.468524425</v>
      </c>
      <c r="W38">
        <v>6932</v>
      </c>
      <c r="X38">
        <v>1378</v>
      </c>
      <c r="Y38">
        <v>9864</v>
      </c>
      <c r="Z38">
        <v>2711</v>
      </c>
      <c r="AA38">
        <v>211</v>
      </c>
      <c r="AB38">
        <v>189</v>
      </c>
      <c r="AC38">
        <v>600</v>
      </c>
      <c r="AD38">
        <v>199</v>
      </c>
      <c r="AE38">
        <v>1577</v>
      </c>
      <c r="AF38">
        <v>1631</v>
      </c>
      <c r="AH38" t="s">
        <v>398</v>
      </c>
      <c r="AI38">
        <v>8019</v>
      </c>
      <c r="AJ38">
        <v>471.81705948370001</v>
      </c>
      <c r="AK38">
        <v>8732</v>
      </c>
      <c r="AL38">
        <v>1924</v>
      </c>
      <c r="AM38">
        <v>11523</v>
      </c>
      <c r="AN38">
        <v>7960</v>
      </c>
      <c r="AO38">
        <v>1595</v>
      </c>
      <c r="AP38">
        <v>1479</v>
      </c>
      <c r="AQ38">
        <v>6131</v>
      </c>
      <c r="AR38">
        <v>3476</v>
      </c>
      <c r="AS38">
        <v>158</v>
      </c>
      <c r="AT38">
        <v>344</v>
      </c>
      <c r="AV38" t="s">
        <v>403</v>
      </c>
      <c r="AW38">
        <v>184</v>
      </c>
      <c r="AX38">
        <v>51.2282608696</v>
      </c>
      <c r="AY38">
        <v>365</v>
      </c>
      <c r="AZ38">
        <v>11</v>
      </c>
      <c r="BA38">
        <v>345</v>
      </c>
      <c r="BB38">
        <v>17</v>
      </c>
      <c r="BC38">
        <v>0</v>
      </c>
      <c r="BE38">
        <v>18</v>
      </c>
      <c r="BF38">
        <v>3</v>
      </c>
      <c r="BG38">
        <v>254</v>
      </c>
      <c r="BH38">
        <v>27</v>
      </c>
      <c r="BJ38" t="s">
        <v>536</v>
      </c>
      <c r="BK38" t="s">
        <v>376</v>
      </c>
      <c r="BL38">
        <v>5025</v>
      </c>
      <c r="BM38">
        <v>1444</v>
      </c>
      <c r="BN38">
        <v>119.96577114430001</v>
      </c>
      <c r="BO38">
        <v>83</v>
      </c>
      <c r="BP38">
        <v>83</v>
      </c>
      <c r="BQ38">
        <v>185.68674698800001</v>
      </c>
      <c r="BR38">
        <v>185.68674698800001</v>
      </c>
      <c r="BS38">
        <v>4841</v>
      </c>
      <c r="BT38">
        <v>1575</v>
      </c>
      <c r="BU38">
        <v>126.72381739310001</v>
      </c>
      <c r="BV38">
        <v>75</v>
      </c>
      <c r="BW38">
        <v>75</v>
      </c>
      <c r="BX38">
        <v>198.8</v>
      </c>
      <c r="BY38">
        <v>198.8</v>
      </c>
      <c r="CA38" t="s">
        <v>63</v>
      </c>
      <c r="CB38" t="s">
        <v>863</v>
      </c>
      <c r="CC38" t="s">
        <v>525</v>
      </c>
      <c r="CD38">
        <v>8836</v>
      </c>
      <c r="CE38">
        <v>1713</v>
      </c>
      <c r="CF38">
        <v>96.2246491625</v>
      </c>
      <c r="CG38">
        <v>223</v>
      </c>
      <c r="CH38">
        <v>223</v>
      </c>
      <c r="CI38">
        <v>146.31838565020001</v>
      </c>
      <c r="CJ38">
        <v>146.31838565020001</v>
      </c>
      <c r="CL38" t="s">
        <v>63</v>
      </c>
      <c r="CM38" t="s">
        <v>832</v>
      </c>
      <c r="CN38" t="s">
        <v>840</v>
      </c>
      <c r="CO38">
        <v>692</v>
      </c>
      <c r="CP38">
        <v>79</v>
      </c>
      <c r="CQ38">
        <v>73.742774566500003</v>
      </c>
      <c r="CR38">
        <v>25</v>
      </c>
      <c r="CS38">
        <v>25</v>
      </c>
      <c r="CT38">
        <v>83.24</v>
      </c>
      <c r="CU38">
        <v>83.24</v>
      </c>
      <c r="CW38" t="s">
        <v>63</v>
      </c>
      <c r="CX38" t="s">
        <v>848</v>
      </c>
      <c r="CY38" t="s">
        <v>856</v>
      </c>
      <c r="CZ38">
        <v>249</v>
      </c>
      <c r="DA38">
        <v>14</v>
      </c>
      <c r="DB38">
        <v>59.317269076300001</v>
      </c>
      <c r="DC38">
        <v>3</v>
      </c>
      <c r="DD38">
        <v>3</v>
      </c>
      <c r="DE38">
        <v>129.6666666667</v>
      </c>
      <c r="DF38">
        <v>129.6666666667</v>
      </c>
      <c r="DH38" t="s">
        <v>63</v>
      </c>
      <c r="DI38" t="s">
        <v>816</v>
      </c>
      <c r="DJ38" t="s">
        <v>824</v>
      </c>
      <c r="DK38">
        <v>162</v>
      </c>
      <c r="DL38">
        <v>8</v>
      </c>
      <c r="DM38">
        <v>61.913580246899997</v>
      </c>
      <c r="DN38">
        <v>9</v>
      </c>
      <c r="DO38">
        <v>9</v>
      </c>
      <c r="DP38">
        <v>146.1111111111</v>
      </c>
      <c r="DQ38">
        <v>146.1111111111</v>
      </c>
    </row>
    <row r="39" spans="2:121" x14ac:dyDescent="0.2">
      <c r="B39" t="s">
        <v>130</v>
      </c>
      <c r="C39">
        <v>704</v>
      </c>
      <c r="D39">
        <v>279</v>
      </c>
      <c r="F39" t="s">
        <v>55</v>
      </c>
      <c r="G39">
        <v>7422</v>
      </c>
      <c r="H39">
        <v>387.94112099159997</v>
      </c>
      <c r="I39">
        <v>9333</v>
      </c>
      <c r="J39">
        <v>2451</v>
      </c>
      <c r="K39">
        <v>9173</v>
      </c>
      <c r="L39">
        <v>6491</v>
      </c>
      <c r="M39">
        <v>882</v>
      </c>
      <c r="N39">
        <v>842</v>
      </c>
      <c r="O39">
        <v>4649</v>
      </c>
      <c r="P39">
        <v>3089</v>
      </c>
      <c r="Q39">
        <v>2</v>
      </c>
      <c r="R39">
        <v>34</v>
      </c>
      <c r="T39" t="s">
        <v>376</v>
      </c>
      <c r="U39">
        <v>6162</v>
      </c>
      <c r="V39">
        <v>108.7799415774</v>
      </c>
      <c r="W39">
        <v>7697</v>
      </c>
      <c r="X39">
        <v>2104</v>
      </c>
      <c r="Y39">
        <v>9708</v>
      </c>
      <c r="Z39">
        <v>3022</v>
      </c>
      <c r="AA39">
        <v>387</v>
      </c>
      <c r="AB39">
        <v>373</v>
      </c>
      <c r="AC39">
        <v>786</v>
      </c>
      <c r="AD39">
        <v>254</v>
      </c>
      <c r="AE39">
        <v>816</v>
      </c>
      <c r="AF39">
        <v>2189</v>
      </c>
      <c r="AH39" t="s">
        <v>419</v>
      </c>
      <c r="AI39">
        <v>3907</v>
      </c>
      <c r="AJ39">
        <v>289.1919631431</v>
      </c>
      <c r="AK39">
        <v>6612</v>
      </c>
      <c r="AL39">
        <v>1087</v>
      </c>
      <c r="AM39">
        <v>6595</v>
      </c>
      <c r="AN39">
        <v>2611</v>
      </c>
      <c r="AO39">
        <v>1043</v>
      </c>
      <c r="AP39">
        <v>590</v>
      </c>
      <c r="AQ39">
        <v>1379</v>
      </c>
      <c r="AR39">
        <v>516</v>
      </c>
      <c r="AS39">
        <v>6</v>
      </c>
      <c r="AT39">
        <v>66</v>
      </c>
      <c r="AV39" t="s">
        <v>421</v>
      </c>
      <c r="AW39">
        <v>47</v>
      </c>
      <c r="AX39">
        <v>112.6595744681</v>
      </c>
      <c r="AY39">
        <v>64</v>
      </c>
      <c r="AZ39">
        <v>8</v>
      </c>
      <c r="BA39">
        <v>64</v>
      </c>
      <c r="BB39">
        <v>21</v>
      </c>
      <c r="BC39">
        <v>4</v>
      </c>
      <c r="BD39">
        <v>4</v>
      </c>
      <c r="BE39">
        <v>3</v>
      </c>
      <c r="BF39">
        <v>1</v>
      </c>
      <c r="BG39">
        <v>7</v>
      </c>
      <c r="BH39">
        <v>13</v>
      </c>
      <c r="BJ39" t="s">
        <v>521</v>
      </c>
      <c r="BK39" t="s">
        <v>376</v>
      </c>
      <c r="BL39">
        <v>2306</v>
      </c>
      <c r="BM39">
        <v>348</v>
      </c>
      <c r="BN39">
        <v>67.339982653899995</v>
      </c>
      <c r="BO39">
        <v>133</v>
      </c>
      <c r="BP39">
        <v>133</v>
      </c>
      <c r="BQ39">
        <v>59.774436090199998</v>
      </c>
      <c r="BR39">
        <v>59.774436090199998</v>
      </c>
      <c r="BS39">
        <v>2855</v>
      </c>
      <c r="BT39">
        <v>802</v>
      </c>
      <c r="BU39">
        <v>108.300525394</v>
      </c>
      <c r="BV39">
        <v>156</v>
      </c>
      <c r="BW39">
        <v>156</v>
      </c>
      <c r="BX39">
        <v>82.75</v>
      </c>
      <c r="BY39">
        <v>82.75</v>
      </c>
      <c r="CA39" t="s">
        <v>389</v>
      </c>
      <c r="CB39" t="s">
        <v>863</v>
      </c>
      <c r="CC39" t="s">
        <v>995</v>
      </c>
      <c r="CD39">
        <v>17529</v>
      </c>
      <c r="CE39">
        <v>4256</v>
      </c>
      <c r="CF39">
        <v>101.4087512123</v>
      </c>
      <c r="CG39">
        <v>369</v>
      </c>
      <c r="CH39">
        <v>369</v>
      </c>
      <c r="CI39">
        <v>142.72086720870001</v>
      </c>
      <c r="CJ39">
        <v>142.72086720870001</v>
      </c>
      <c r="CL39" t="s">
        <v>389</v>
      </c>
      <c r="CM39" t="s">
        <v>832</v>
      </c>
      <c r="CN39" t="s">
        <v>841</v>
      </c>
      <c r="CO39">
        <v>671</v>
      </c>
      <c r="CP39">
        <v>93</v>
      </c>
      <c r="CQ39">
        <v>72.861400894200003</v>
      </c>
      <c r="CR39">
        <v>21</v>
      </c>
      <c r="CS39">
        <v>21</v>
      </c>
      <c r="CT39">
        <v>78.333333333300004</v>
      </c>
      <c r="CU39">
        <v>78.333333333300004</v>
      </c>
      <c r="CW39" t="s">
        <v>389</v>
      </c>
      <c r="CX39" t="s">
        <v>848</v>
      </c>
      <c r="CY39" t="s">
        <v>857</v>
      </c>
      <c r="CZ39">
        <v>624</v>
      </c>
      <c r="DA39">
        <v>48</v>
      </c>
      <c r="DB39">
        <v>68.108974359000001</v>
      </c>
      <c r="DC39">
        <v>5</v>
      </c>
      <c r="DD39">
        <v>5</v>
      </c>
      <c r="DE39">
        <v>152</v>
      </c>
      <c r="DF39">
        <v>152</v>
      </c>
      <c r="DH39" t="s">
        <v>389</v>
      </c>
      <c r="DI39" t="s">
        <v>816</v>
      </c>
      <c r="DJ39" t="s">
        <v>825</v>
      </c>
      <c r="DK39">
        <v>1336</v>
      </c>
      <c r="DL39">
        <v>68</v>
      </c>
      <c r="DM39">
        <v>61.642215568899999</v>
      </c>
      <c r="DN39">
        <v>13</v>
      </c>
      <c r="DO39">
        <v>13</v>
      </c>
      <c r="DP39">
        <v>152.07692307689999</v>
      </c>
      <c r="DQ39">
        <v>152.07692307689999</v>
      </c>
    </row>
    <row r="40" spans="2:121" x14ac:dyDescent="0.2">
      <c r="B40" t="s">
        <v>111</v>
      </c>
      <c r="C40">
        <v>6866</v>
      </c>
      <c r="D40">
        <v>5259</v>
      </c>
      <c r="F40" t="s">
        <v>52</v>
      </c>
      <c r="G40">
        <v>4224</v>
      </c>
      <c r="H40">
        <v>378.2990056818</v>
      </c>
      <c r="I40">
        <v>4223</v>
      </c>
      <c r="J40">
        <v>1300</v>
      </c>
      <c r="K40">
        <v>6467</v>
      </c>
      <c r="L40">
        <v>4086</v>
      </c>
      <c r="M40">
        <v>2098</v>
      </c>
      <c r="N40">
        <v>1871</v>
      </c>
      <c r="O40">
        <v>1963</v>
      </c>
      <c r="P40">
        <v>1181</v>
      </c>
      <c r="Q40">
        <v>88</v>
      </c>
      <c r="R40">
        <v>175</v>
      </c>
      <c r="T40" t="s">
        <v>8</v>
      </c>
      <c r="U40">
        <v>153</v>
      </c>
      <c r="V40">
        <v>108.45098039219999</v>
      </c>
      <c r="W40">
        <v>178</v>
      </c>
      <c r="X40">
        <v>73</v>
      </c>
      <c r="Y40">
        <v>324</v>
      </c>
      <c r="Z40">
        <v>154</v>
      </c>
      <c r="AA40">
        <v>16</v>
      </c>
      <c r="AB40">
        <v>14</v>
      </c>
      <c r="AC40">
        <v>18</v>
      </c>
      <c r="AD40">
        <v>10</v>
      </c>
      <c r="AE40">
        <v>63</v>
      </c>
      <c r="AF40">
        <v>16</v>
      </c>
      <c r="AH40" t="s">
        <v>416</v>
      </c>
      <c r="AI40">
        <v>8819</v>
      </c>
      <c r="AJ40">
        <v>404.60460369660001</v>
      </c>
      <c r="AK40">
        <v>4936</v>
      </c>
      <c r="AL40">
        <v>1511</v>
      </c>
      <c r="AM40">
        <v>12190</v>
      </c>
      <c r="AN40">
        <v>8482</v>
      </c>
      <c r="AO40">
        <v>3745</v>
      </c>
      <c r="AP40">
        <v>3110</v>
      </c>
      <c r="AQ40">
        <v>1909</v>
      </c>
      <c r="AR40">
        <v>703</v>
      </c>
      <c r="AS40">
        <v>4</v>
      </c>
      <c r="AT40">
        <v>77</v>
      </c>
      <c r="AV40" t="s">
        <v>423</v>
      </c>
      <c r="AW40">
        <v>104</v>
      </c>
      <c r="AX40">
        <v>123.35576923079999</v>
      </c>
      <c r="AY40">
        <v>92</v>
      </c>
      <c r="AZ40">
        <v>16</v>
      </c>
      <c r="BA40">
        <v>172</v>
      </c>
      <c r="BB40">
        <v>65</v>
      </c>
      <c r="BC40">
        <v>4</v>
      </c>
      <c r="BD40">
        <v>3</v>
      </c>
      <c r="BE40">
        <v>17</v>
      </c>
      <c r="BF40">
        <v>4</v>
      </c>
      <c r="BG40">
        <v>15</v>
      </c>
      <c r="BH40">
        <v>25</v>
      </c>
      <c r="BJ40" t="s">
        <v>542</v>
      </c>
      <c r="BK40" t="s">
        <v>376</v>
      </c>
      <c r="BL40">
        <v>10808</v>
      </c>
      <c r="BM40">
        <v>1741</v>
      </c>
      <c r="BN40">
        <v>85.096502590699998</v>
      </c>
      <c r="BO40">
        <v>196</v>
      </c>
      <c r="BP40">
        <v>196</v>
      </c>
      <c r="BQ40">
        <v>127.37755102040001</v>
      </c>
      <c r="BR40">
        <v>127.37755102040001</v>
      </c>
      <c r="BS40">
        <v>10731</v>
      </c>
      <c r="BT40">
        <v>1509</v>
      </c>
      <c r="BU40">
        <v>81.152641878699995</v>
      </c>
      <c r="BV40">
        <v>203</v>
      </c>
      <c r="BW40">
        <v>203</v>
      </c>
      <c r="BX40">
        <v>124.5418719212</v>
      </c>
      <c r="BY40">
        <v>124.5418719212</v>
      </c>
      <c r="CA40" t="s">
        <v>382</v>
      </c>
      <c r="CB40" t="s">
        <v>863</v>
      </c>
      <c r="CC40" t="s">
        <v>996</v>
      </c>
      <c r="CD40">
        <v>8883</v>
      </c>
      <c r="CE40">
        <v>2666</v>
      </c>
      <c r="CF40">
        <v>117.0897219408</v>
      </c>
      <c r="CG40">
        <v>223</v>
      </c>
      <c r="CH40">
        <v>223</v>
      </c>
      <c r="CI40">
        <v>146.69955156949999</v>
      </c>
      <c r="CJ40">
        <v>146.69955156949999</v>
      </c>
      <c r="CL40" t="s">
        <v>382</v>
      </c>
      <c r="CM40" t="s">
        <v>832</v>
      </c>
      <c r="CN40" t="s">
        <v>842</v>
      </c>
      <c r="CO40">
        <v>854</v>
      </c>
      <c r="CP40">
        <v>91</v>
      </c>
      <c r="CQ40">
        <v>68.839578454299996</v>
      </c>
      <c r="CR40">
        <v>24</v>
      </c>
      <c r="CS40">
        <v>24</v>
      </c>
      <c r="CT40">
        <v>59.916666666700003</v>
      </c>
      <c r="CU40">
        <v>59.916666666700003</v>
      </c>
      <c r="CW40" t="s">
        <v>382</v>
      </c>
      <c r="CX40" t="s">
        <v>848</v>
      </c>
      <c r="CY40" t="s">
        <v>858</v>
      </c>
      <c r="CZ40">
        <v>199</v>
      </c>
      <c r="DA40">
        <v>12</v>
      </c>
      <c r="DB40">
        <v>68.246231155800004</v>
      </c>
      <c r="DC40">
        <v>2</v>
      </c>
      <c r="DD40">
        <v>2</v>
      </c>
      <c r="DE40">
        <v>166</v>
      </c>
      <c r="DF40">
        <v>166</v>
      </c>
      <c r="DH40" t="s">
        <v>382</v>
      </c>
      <c r="DI40" t="s">
        <v>816</v>
      </c>
      <c r="DJ40" t="s">
        <v>826</v>
      </c>
      <c r="DK40">
        <v>135</v>
      </c>
      <c r="DL40">
        <v>7</v>
      </c>
      <c r="DM40">
        <v>69.037037037000005</v>
      </c>
      <c r="DN40">
        <v>1</v>
      </c>
      <c r="DO40">
        <v>1</v>
      </c>
      <c r="DP40">
        <v>106</v>
      </c>
      <c r="DQ40">
        <v>106</v>
      </c>
    </row>
    <row r="41" spans="2:121" x14ac:dyDescent="0.2">
      <c r="B41" t="s">
        <v>118</v>
      </c>
      <c r="C41">
        <v>6255</v>
      </c>
      <c r="D41">
        <v>227</v>
      </c>
      <c r="F41" t="s">
        <v>25</v>
      </c>
      <c r="G41">
        <v>12875</v>
      </c>
      <c r="H41">
        <v>326.08302912620002</v>
      </c>
      <c r="I41">
        <v>17347</v>
      </c>
      <c r="J41">
        <v>3271</v>
      </c>
      <c r="K41">
        <v>18068</v>
      </c>
      <c r="L41">
        <v>12001</v>
      </c>
      <c r="M41">
        <v>4592</v>
      </c>
      <c r="N41">
        <v>3985</v>
      </c>
      <c r="O41">
        <v>16997</v>
      </c>
      <c r="P41">
        <v>8105</v>
      </c>
      <c r="Q41">
        <v>64</v>
      </c>
      <c r="R41">
        <v>23</v>
      </c>
      <c r="T41" t="s">
        <v>392</v>
      </c>
      <c r="U41">
        <v>1201</v>
      </c>
      <c r="V41">
        <v>53.833472106599999</v>
      </c>
      <c r="W41">
        <v>2983</v>
      </c>
      <c r="X41">
        <v>86</v>
      </c>
      <c r="Y41">
        <v>2294</v>
      </c>
      <c r="Z41">
        <v>196</v>
      </c>
      <c r="AA41">
        <v>25</v>
      </c>
      <c r="AB41">
        <v>23</v>
      </c>
      <c r="AC41">
        <v>122</v>
      </c>
      <c r="AD41">
        <v>57</v>
      </c>
      <c r="AE41">
        <v>2374</v>
      </c>
      <c r="AF41">
        <v>440</v>
      </c>
      <c r="AH41" t="s">
        <v>8</v>
      </c>
      <c r="AI41">
        <v>4482</v>
      </c>
      <c r="AJ41">
        <v>384.47411869699999</v>
      </c>
      <c r="AK41">
        <v>4071</v>
      </c>
      <c r="AL41">
        <v>1594</v>
      </c>
      <c r="AM41">
        <v>5800</v>
      </c>
      <c r="AN41">
        <v>4037</v>
      </c>
      <c r="AO41">
        <v>698</v>
      </c>
      <c r="AP41">
        <v>597</v>
      </c>
      <c r="AQ41">
        <v>1325</v>
      </c>
      <c r="AR41">
        <v>819</v>
      </c>
      <c r="AS41">
        <v>388</v>
      </c>
      <c r="AT41">
        <v>139</v>
      </c>
      <c r="AV41" t="s">
        <v>417</v>
      </c>
      <c r="AW41">
        <v>425</v>
      </c>
      <c r="AX41">
        <v>38.774117647099999</v>
      </c>
      <c r="AY41">
        <v>1384</v>
      </c>
      <c r="AZ41">
        <v>36</v>
      </c>
      <c r="BA41">
        <v>911</v>
      </c>
      <c r="BB41">
        <v>71</v>
      </c>
      <c r="BC41">
        <v>9</v>
      </c>
      <c r="BD41">
        <v>7</v>
      </c>
      <c r="BE41">
        <v>46</v>
      </c>
      <c r="BF41">
        <v>30</v>
      </c>
      <c r="BG41">
        <v>894</v>
      </c>
      <c r="BH41">
        <v>230</v>
      </c>
      <c r="BJ41" t="s">
        <v>634</v>
      </c>
      <c r="BK41" t="s">
        <v>376</v>
      </c>
      <c r="BL41">
        <v>1221</v>
      </c>
      <c r="BM41">
        <v>144</v>
      </c>
      <c r="BN41">
        <v>78.416052416100001</v>
      </c>
      <c r="BO41">
        <v>23</v>
      </c>
      <c r="BP41">
        <v>23</v>
      </c>
      <c r="BQ41">
        <v>134.6086956522</v>
      </c>
      <c r="BR41">
        <v>134.6086956522</v>
      </c>
      <c r="BS41">
        <v>3948</v>
      </c>
      <c r="BT41">
        <v>865</v>
      </c>
      <c r="BU41">
        <v>105.4108409321</v>
      </c>
      <c r="BV41">
        <v>74</v>
      </c>
      <c r="BW41">
        <v>74</v>
      </c>
      <c r="BX41">
        <v>167.67567567570001</v>
      </c>
      <c r="BY41">
        <v>167.67567567570001</v>
      </c>
      <c r="CA41" t="s">
        <v>379</v>
      </c>
      <c r="CB41" t="s">
        <v>863</v>
      </c>
      <c r="CC41" t="s">
        <v>997</v>
      </c>
      <c r="CD41">
        <v>903</v>
      </c>
      <c r="CE41">
        <v>186</v>
      </c>
      <c r="CF41">
        <v>83.750830564799998</v>
      </c>
      <c r="CG41">
        <v>26</v>
      </c>
      <c r="CH41">
        <v>26</v>
      </c>
      <c r="CI41">
        <v>113.30769230769999</v>
      </c>
      <c r="CJ41">
        <v>113.30769230769999</v>
      </c>
      <c r="CL41" t="s">
        <v>379</v>
      </c>
      <c r="CM41" t="s">
        <v>832</v>
      </c>
      <c r="CN41" t="s">
        <v>843</v>
      </c>
      <c r="CO41">
        <v>76</v>
      </c>
      <c r="CP41">
        <v>6</v>
      </c>
      <c r="CQ41">
        <v>72.328947368399994</v>
      </c>
      <c r="CR41">
        <v>1</v>
      </c>
      <c r="CS41">
        <v>1</v>
      </c>
      <c r="CT41">
        <v>32</v>
      </c>
      <c r="CU41">
        <v>32</v>
      </c>
      <c r="CW41" t="s">
        <v>379</v>
      </c>
      <c r="CX41" t="s">
        <v>848</v>
      </c>
      <c r="CY41" t="s">
        <v>859</v>
      </c>
      <c r="CZ41">
        <v>13</v>
      </c>
      <c r="DA41">
        <v>0</v>
      </c>
      <c r="DB41">
        <v>67.384615384599996</v>
      </c>
      <c r="DC41">
        <v>0</v>
      </c>
      <c r="DD41">
        <v>0</v>
      </c>
      <c r="DE41">
        <v>0</v>
      </c>
      <c r="DF41">
        <v>0</v>
      </c>
      <c r="DH41" t="s">
        <v>379</v>
      </c>
      <c r="DI41" t="s">
        <v>816</v>
      </c>
      <c r="DJ41" t="s">
        <v>827</v>
      </c>
      <c r="DK41">
        <v>10</v>
      </c>
      <c r="DL41">
        <v>0</v>
      </c>
      <c r="DM41">
        <v>55.1</v>
      </c>
      <c r="DN41">
        <v>0</v>
      </c>
      <c r="DO41">
        <v>0</v>
      </c>
      <c r="DP41">
        <v>0</v>
      </c>
      <c r="DQ41">
        <v>0</v>
      </c>
    </row>
    <row r="42" spans="2:121" x14ac:dyDescent="0.2">
      <c r="B42" t="s">
        <v>119</v>
      </c>
      <c r="C42">
        <v>14334</v>
      </c>
      <c r="D42">
        <v>3633</v>
      </c>
      <c r="F42" t="s">
        <v>78</v>
      </c>
      <c r="G42">
        <v>4799</v>
      </c>
      <c r="H42">
        <v>276.41967076470002</v>
      </c>
      <c r="I42">
        <v>5015</v>
      </c>
      <c r="J42">
        <v>739</v>
      </c>
      <c r="K42">
        <v>7240</v>
      </c>
      <c r="L42">
        <v>4612</v>
      </c>
      <c r="M42">
        <v>2274</v>
      </c>
      <c r="N42">
        <v>2113</v>
      </c>
      <c r="O42">
        <v>5443</v>
      </c>
      <c r="P42">
        <v>4540</v>
      </c>
      <c r="Q42">
        <v>42</v>
      </c>
      <c r="R42">
        <v>96</v>
      </c>
      <c r="T42" t="s">
        <v>411</v>
      </c>
      <c r="U42">
        <v>990</v>
      </c>
      <c r="V42">
        <v>44.869696969700001</v>
      </c>
      <c r="W42">
        <v>3817</v>
      </c>
      <c r="X42">
        <v>119</v>
      </c>
      <c r="Y42">
        <v>1794</v>
      </c>
      <c r="Z42">
        <v>114</v>
      </c>
      <c r="AA42">
        <v>18</v>
      </c>
      <c r="AB42">
        <v>16</v>
      </c>
      <c r="AC42">
        <v>106</v>
      </c>
      <c r="AD42">
        <v>49</v>
      </c>
      <c r="AE42">
        <v>2055</v>
      </c>
      <c r="AF42">
        <v>462</v>
      </c>
      <c r="AH42" t="s">
        <v>382</v>
      </c>
      <c r="AI42">
        <v>7822</v>
      </c>
      <c r="AJ42">
        <v>397.45972896960001</v>
      </c>
      <c r="AK42">
        <v>9116</v>
      </c>
      <c r="AL42">
        <v>2627</v>
      </c>
      <c r="AM42">
        <v>11771</v>
      </c>
      <c r="AN42">
        <v>7912</v>
      </c>
      <c r="AO42">
        <v>973</v>
      </c>
      <c r="AP42">
        <v>748</v>
      </c>
      <c r="AQ42">
        <v>5792</v>
      </c>
      <c r="AR42">
        <v>3019</v>
      </c>
      <c r="AS42">
        <v>1043</v>
      </c>
      <c r="AT42">
        <v>9</v>
      </c>
      <c r="AV42" t="s">
        <v>418</v>
      </c>
      <c r="AW42">
        <v>150</v>
      </c>
      <c r="AX42">
        <v>79.226666666699998</v>
      </c>
      <c r="AY42">
        <v>212</v>
      </c>
      <c r="AZ42">
        <v>9</v>
      </c>
      <c r="BA42">
        <v>254</v>
      </c>
      <c r="BB42">
        <v>31</v>
      </c>
      <c r="BC42">
        <v>4</v>
      </c>
      <c r="BD42">
        <v>4</v>
      </c>
      <c r="BE42">
        <v>14</v>
      </c>
      <c r="BF42">
        <v>4</v>
      </c>
      <c r="BG42">
        <v>222</v>
      </c>
      <c r="BH42">
        <v>23</v>
      </c>
      <c r="BJ42" t="s">
        <v>636</v>
      </c>
      <c r="BK42" t="s">
        <v>376</v>
      </c>
      <c r="BL42">
        <v>365</v>
      </c>
      <c r="BM42">
        <v>77</v>
      </c>
      <c r="BN42">
        <v>83.698630136999995</v>
      </c>
      <c r="BO42">
        <v>9</v>
      </c>
      <c r="BP42">
        <v>9</v>
      </c>
      <c r="BQ42">
        <v>116.1111111111</v>
      </c>
      <c r="BR42">
        <v>116.1111111111</v>
      </c>
      <c r="BS42">
        <v>566</v>
      </c>
      <c r="BT42">
        <v>152</v>
      </c>
      <c r="BU42">
        <v>112.4293286219</v>
      </c>
      <c r="BV42">
        <v>12</v>
      </c>
      <c r="BW42">
        <v>12</v>
      </c>
      <c r="BX42">
        <v>163.3333333333</v>
      </c>
      <c r="BY42">
        <v>163.3333333333</v>
      </c>
      <c r="CA42" t="s">
        <v>424</v>
      </c>
      <c r="CB42" t="s">
        <v>863</v>
      </c>
      <c r="CC42" t="s">
        <v>998</v>
      </c>
      <c r="CD42">
        <v>388</v>
      </c>
      <c r="CE42">
        <v>84</v>
      </c>
      <c r="CF42">
        <v>87.847938144300002</v>
      </c>
      <c r="CG42">
        <v>9</v>
      </c>
      <c r="CH42">
        <v>9</v>
      </c>
      <c r="CI42">
        <v>124.8888888889</v>
      </c>
      <c r="CJ42">
        <v>124.8888888889</v>
      </c>
      <c r="CL42" t="s">
        <v>424</v>
      </c>
      <c r="CM42" t="s">
        <v>832</v>
      </c>
      <c r="CN42" t="s">
        <v>844</v>
      </c>
      <c r="CO42">
        <v>16</v>
      </c>
      <c r="CP42">
        <v>3</v>
      </c>
      <c r="CQ42">
        <v>80.5</v>
      </c>
      <c r="CR42">
        <v>2</v>
      </c>
      <c r="CS42">
        <v>2</v>
      </c>
      <c r="CT42">
        <v>65</v>
      </c>
      <c r="CU42">
        <v>65</v>
      </c>
      <c r="CW42" t="s">
        <v>424</v>
      </c>
      <c r="CX42" t="s">
        <v>848</v>
      </c>
      <c r="CY42" t="s">
        <v>860</v>
      </c>
      <c r="CZ42">
        <v>7</v>
      </c>
      <c r="DA42">
        <v>0</v>
      </c>
      <c r="DB42">
        <v>42</v>
      </c>
      <c r="DC42">
        <v>0</v>
      </c>
      <c r="DD42">
        <v>0</v>
      </c>
      <c r="DE42">
        <v>0</v>
      </c>
      <c r="DF42">
        <v>0</v>
      </c>
      <c r="DH42" t="s">
        <v>424</v>
      </c>
      <c r="DI42" t="s">
        <v>816</v>
      </c>
      <c r="DJ42" t="s">
        <v>828</v>
      </c>
      <c r="DK42">
        <v>6</v>
      </c>
      <c r="DL42">
        <v>0</v>
      </c>
      <c r="DM42">
        <v>59.333333333299997</v>
      </c>
      <c r="DN42">
        <v>0</v>
      </c>
      <c r="DO42">
        <v>0</v>
      </c>
      <c r="DP42">
        <v>0</v>
      </c>
      <c r="DQ42">
        <v>0</v>
      </c>
    </row>
    <row r="43" spans="2:121" x14ac:dyDescent="0.2">
      <c r="B43" t="s">
        <v>133</v>
      </c>
      <c r="C43">
        <v>63883</v>
      </c>
      <c r="D43">
        <v>57419</v>
      </c>
      <c r="F43" t="s">
        <v>69</v>
      </c>
      <c r="G43">
        <v>7883</v>
      </c>
      <c r="H43">
        <v>407.8753012812</v>
      </c>
      <c r="I43">
        <v>4623</v>
      </c>
      <c r="J43">
        <v>1502</v>
      </c>
      <c r="K43">
        <v>10105</v>
      </c>
      <c r="L43">
        <v>7527</v>
      </c>
      <c r="M43">
        <v>3891</v>
      </c>
      <c r="N43">
        <v>3303</v>
      </c>
      <c r="O43">
        <v>1466</v>
      </c>
      <c r="P43">
        <v>569</v>
      </c>
      <c r="Q43">
        <v>0</v>
      </c>
      <c r="R43">
        <v>75</v>
      </c>
      <c r="AH43" t="s">
        <v>434</v>
      </c>
      <c r="AI43">
        <v>2541</v>
      </c>
      <c r="AJ43">
        <v>275.74144037780002</v>
      </c>
      <c r="AK43">
        <v>3013</v>
      </c>
      <c r="AL43">
        <v>649</v>
      </c>
      <c r="AM43">
        <v>4462</v>
      </c>
      <c r="AN43">
        <v>2893</v>
      </c>
      <c r="AO43">
        <v>728</v>
      </c>
      <c r="AP43">
        <v>646</v>
      </c>
      <c r="AQ43">
        <v>1218</v>
      </c>
      <c r="AR43">
        <v>653</v>
      </c>
      <c r="AS43">
        <v>246</v>
      </c>
      <c r="AT43">
        <v>5</v>
      </c>
      <c r="AV43" t="s">
        <v>63</v>
      </c>
      <c r="AW43">
        <v>1079</v>
      </c>
      <c r="AX43">
        <v>110.92863762739999</v>
      </c>
      <c r="AY43">
        <v>1597</v>
      </c>
      <c r="AZ43">
        <v>478</v>
      </c>
      <c r="BA43">
        <v>1757</v>
      </c>
      <c r="BB43">
        <v>584</v>
      </c>
      <c r="BC43">
        <v>44</v>
      </c>
      <c r="BD43">
        <v>42</v>
      </c>
      <c r="BE43">
        <v>100</v>
      </c>
      <c r="BF43">
        <v>39</v>
      </c>
      <c r="BG43">
        <v>113</v>
      </c>
      <c r="BH43">
        <v>338</v>
      </c>
      <c r="BJ43" t="s">
        <v>650</v>
      </c>
      <c r="BK43" t="s">
        <v>376</v>
      </c>
      <c r="BL43">
        <v>799</v>
      </c>
      <c r="BM43">
        <v>187</v>
      </c>
      <c r="BN43">
        <v>99.526908635799998</v>
      </c>
      <c r="BO43">
        <v>19</v>
      </c>
      <c r="BP43">
        <v>19</v>
      </c>
      <c r="BQ43">
        <v>164.1052631579</v>
      </c>
      <c r="BR43">
        <v>164.1052631579</v>
      </c>
      <c r="BS43">
        <v>653</v>
      </c>
      <c r="BT43">
        <v>91</v>
      </c>
      <c r="BU43">
        <v>82.627871362899995</v>
      </c>
      <c r="BV43">
        <v>15</v>
      </c>
      <c r="BW43">
        <v>15</v>
      </c>
      <c r="BX43">
        <v>146</v>
      </c>
      <c r="BY43">
        <v>146</v>
      </c>
      <c r="CA43" t="s">
        <v>385</v>
      </c>
      <c r="CB43" t="s">
        <v>863</v>
      </c>
      <c r="CC43" t="s">
        <v>999</v>
      </c>
      <c r="CD43">
        <v>10885</v>
      </c>
      <c r="CE43">
        <v>1952</v>
      </c>
      <c r="CF43">
        <v>89.676894809399997</v>
      </c>
      <c r="CG43">
        <v>224</v>
      </c>
      <c r="CH43">
        <v>224</v>
      </c>
      <c r="CI43">
        <v>131.95982142860001</v>
      </c>
      <c r="CJ43">
        <v>131.95982142860001</v>
      </c>
      <c r="CL43" t="s">
        <v>385</v>
      </c>
      <c r="CM43" t="s">
        <v>832</v>
      </c>
      <c r="CN43" t="s">
        <v>845</v>
      </c>
      <c r="CO43">
        <v>505</v>
      </c>
      <c r="CP43">
        <v>70</v>
      </c>
      <c r="CQ43">
        <v>78.077227722800004</v>
      </c>
      <c r="CR43">
        <v>11</v>
      </c>
      <c r="CS43">
        <v>11</v>
      </c>
      <c r="CT43">
        <v>72.454545454500007</v>
      </c>
      <c r="CU43">
        <v>72.454545454500007</v>
      </c>
      <c r="CW43" t="s">
        <v>385</v>
      </c>
      <c r="CX43" t="s">
        <v>848</v>
      </c>
      <c r="CY43" t="s">
        <v>861</v>
      </c>
      <c r="CZ43">
        <v>665</v>
      </c>
      <c r="DA43">
        <v>67</v>
      </c>
      <c r="DB43">
        <v>69.425563909800005</v>
      </c>
      <c r="DC43">
        <v>12</v>
      </c>
      <c r="DD43">
        <v>12</v>
      </c>
      <c r="DE43">
        <v>176.1666666667</v>
      </c>
      <c r="DF43">
        <v>176.1666666667</v>
      </c>
      <c r="DH43" t="s">
        <v>385</v>
      </c>
      <c r="DI43" t="s">
        <v>816</v>
      </c>
      <c r="DJ43" t="s">
        <v>829</v>
      </c>
      <c r="DK43">
        <v>1267</v>
      </c>
      <c r="DL43">
        <v>74</v>
      </c>
      <c r="DM43">
        <v>61.745067087599999</v>
      </c>
      <c r="DN43">
        <v>12</v>
      </c>
      <c r="DO43">
        <v>12</v>
      </c>
      <c r="DP43">
        <v>132.6666666667</v>
      </c>
      <c r="DQ43">
        <v>132.6666666667</v>
      </c>
    </row>
    <row r="44" spans="2:121" x14ac:dyDescent="0.2">
      <c r="B44" t="s">
        <v>132</v>
      </c>
      <c r="C44">
        <v>9634</v>
      </c>
      <c r="D44">
        <v>6845</v>
      </c>
      <c r="F44" t="s">
        <v>35</v>
      </c>
      <c r="G44">
        <v>2041</v>
      </c>
      <c r="H44">
        <v>449.39637432630002</v>
      </c>
      <c r="I44">
        <v>981</v>
      </c>
      <c r="J44">
        <v>73</v>
      </c>
      <c r="K44">
        <v>2714</v>
      </c>
      <c r="L44">
        <v>1904</v>
      </c>
      <c r="M44">
        <v>1883</v>
      </c>
      <c r="N44">
        <v>1780</v>
      </c>
      <c r="O44">
        <v>272</v>
      </c>
      <c r="P44">
        <v>101</v>
      </c>
      <c r="Q44">
        <v>0</v>
      </c>
      <c r="R44">
        <v>2</v>
      </c>
      <c r="AH44" t="s">
        <v>379</v>
      </c>
      <c r="AI44">
        <v>470</v>
      </c>
      <c r="AJ44">
        <v>220.83191489359999</v>
      </c>
      <c r="AK44">
        <v>885</v>
      </c>
      <c r="AL44">
        <v>188</v>
      </c>
      <c r="AM44">
        <v>988</v>
      </c>
      <c r="AN44">
        <v>339</v>
      </c>
      <c r="AO44">
        <v>309</v>
      </c>
      <c r="AP44">
        <v>272</v>
      </c>
      <c r="AQ44">
        <v>137</v>
      </c>
      <c r="AR44">
        <v>50</v>
      </c>
      <c r="AS44">
        <v>147</v>
      </c>
      <c r="AT44">
        <v>0</v>
      </c>
      <c r="AV44" t="s">
        <v>401</v>
      </c>
      <c r="AW44">
        <v>292</v>
      </c>
      <c r="AX44">
        <v>66.893835616399997</v>
      </c>
      <c r="AY44">
        <v>830</v>
      </c>
      <c r="AZ44">
        <v>52</v>
      </c>
      <c r="BA44">
        <v>513</v>
      </c>
      <c r="BB44">
        <v>46</v>
      </c>
      <c r="BC44">
        <v>3</v>
      </c>
      <c r="BD44">
        <v>1</v>
      </c>
      <c r="BE44">
        <v>34</v>
      </c>
      <c r="BF44">
        <v>12</v>
      </c>
      <c r="BG44">
        <v>473</v>
      </c>
      <c r="BH44">
        <v>57</v>
      </c>
      <c r="BJ44" t="s">
        <v>550</v>
      </c>
      <c r="BK44" t="s">
        <v>376</v>
      </c>
      <c r="BL44">
        <v>18338</v>
      </c>
      <c r="BM44">
        <v>4191</v>
      </c>
      <c r="BN44">
        <v>98.129021703600003</v>
      </c>
      <c r="BO44">
        <v>365</v>
      </c>
      <c r="BP44">
        <v>365</v>
      </c>
      <c r="BQ44">
        <v>149.80000000000001</v>
      </c>
      <c r="BR44">
        <v>149.80000000000001</v>
      </c>
      <c r="BS44">
        <v>14948</v>
      </c>
      <c r="BT44">
        <v>2769</v>
      </c>
      <c r="BU44">
        <v>88.577267861899998</v>
      </c>
      <c r="BV44">
        <v>287</v>
      </c>
      <c r="BW44">
        <v>287</v>
      </c>
      <c r="BX44">
        <v>147.81533101049999</v>
      </c>
      <c r="BY44">
        <v>147.81533101049999</v>
      </c>
      <c r="CA44" t="s">
        <v>386</v>
      </c>
      <c r="CB44" t="s">
        <v>863</v>
      </c>
      <c r="CC44" t="s">
        <v>1000</v>
      </c>
      <c r="CD44">
        <v>2377</v>
      </c>
      <c r="CE44">
        <v>368</v>
      </c>
      <c r="CF44">
        <v>83.660075725699997</v>
      </c>
      <c r="CG44">
        <v>59</v>
      </c>
      <c r="CH44">
        <v>59</v>
      </c>
      <c r="CI44">
        <v>128.64406779660001</v>
      </c>
      <c r="CJ44">
        <v>128.64406779660001</v>
      </c>
      <c r="CL44" t="s">
        <v>386</v>
      </c>
      <c r="CM44" t="s">
        <v>832</v>
      </c>
      <c r="CN44" t="s">
        <v>846</v>
      </c>
      <c r="CO44">
        <v>151</v>
      </c>
      <c r="CP44">
        <v>19</v>
      </c>
      <c r="CQ44">
        <v>77.039735099300003</v>
      </c>
      <c r="CR44">
        <v>8</v>
      </c>
      <c r="CS44">
        <v>8</v>
      </c>
      <c r="CT44">
        <v>53.5</v>
      </c>
      <c r="CU44">
        <v>53.5</v>
      </c>
      <c r="CW44" t="s">
        <v>386</v>
      </c>
      <c r="CX44" t="s">
        <v>848</v>
      </c>
      <c r="CY44" t="s">
        <v>862</v>
      </c>
      <c r="CZ44">
        <v>24</v>
      </c>
      <c r="DA44">
        <v>3</v>
      </c>
      <c r="DB44">
        <v>62.125</v>
      </c>
      <c r="DC44">
        <v>0</v>
      </c>
      <c r="DD44">
        <v>0</v>
      </c>
      <c r="DE44">
        <v>0</v>
      </c>
      <c r="DF44">
        <v>0</v>
      </c>
      <c r="DH44" t="s">
        <v>386</v>
      </c>
      <c r="DI44" t="s">
        <v>816</v>
      </c>
      <c r="DJ44" t="s">
        <v>830</v>
      </c>
      <c r="DK44">
        <v>27</v>
      </c>
      <c r="DL44">
        <v>2</v>
      </c>
      <c r="DM44">
        <v>85.962962962999995</v>
      </c>
      <c r="DN44">
        <v>0</v>
      </c>
      <c r="DO44">
        <v>0</v>
      </c>
      <c r="DP44">
        <v>0</v>
      </c>
      <c r="DQ44">
        <v>0</v>
      </c>
    </row>
    <row r="45" spans="2:121" x14ac:dyDescent="0.2">
      <c r="B45" t="s">
        <v>106</v>
      </c>
      <c r="C45">
        <v>186</v>
      </c>
      <c r="D45">
        <v>185</v>
      </c>
      <c r="F45" t="s">
        <v>66</v>
      </c>
      <c r="G45">
        <v>5461</v>
      </c>
      <c r="H45">
        <v>378.70023805160002</v>
      </c>
      <c r="I45">
        <v>9399</v>
      </c>
      <c r="J45">
        <v>2815</v>
      </c>
      <c r="K45">
        <v>8497</v>
      </c>
      <c r="L45">
        <v>5629</v>
      </c>
      <c r="M45">
        <v>839</v>
      </c>
      <c r="N45">
        <v>438</v>
      </c>
      <c r="O45">
        <v>7034</v>
      </c>
      <c r="P45">
        <v>3695</v>
      </c>
      <c r="Q45">
        <v>9631</v>
      </c>
      <c r="R45">
        <v>0</v>
      </c>
      <c r="AH45" t="s">
        <v>390</v>
      </c>
      <c r="AI45">
        <v>11340</v>
      </c>
      <c r="AJ45">
        <v>344.58112874779999</v>
      </c>
      <c r="AK45">
        <v>9805</v>
      </c>
      <c r="AL45">
        <v>2113</v>
      </c>
      <c r="AM45">
        <v>16119</v>
      </c>
      <c r="AN45">
        <v>10857</v>
      </c>
      <c r="AO45">
        <v>2192</v>
      </c>
      <c r="AP45">
        <v>1916</v>
      </c>
      <c r="AQ45">
        <v>2784</v>
      </c>
      <c r="AR45">
        <v>1543</v>
      </c>
      <c r="AS45">
        <v>453</v>
      </c>
      <c r="AT45">
        <v>65</v>
      </c>
      <c r="AV45" t="s">
        <v>428</v>
      </c>
      <c r="AW45">
        <v>9</v>
      </c>
      <c r="AX45">
        <v>34.555555555600002</v>
      </c>
      <c r="AY45">
        <v>31</v>
      </c>
      <c r="AZ45">
        <v>1</v>
      </c>
      <c r="BA45">
        <v>18</v>
      </c>
      <c r="BB45">
        <v>2</v>
      </c>
      <c r="BC45">
        <v>0</v>
      </c>
      <c r="BE45">
        <v>0</v>
      </c>
      <c r="BG45">
        <v>42</v>
      </c>
      <c r="BH45">
        <v>4</v>
      </c>
      <c r="BJ45" t="s">
        <v>8</v>
      </c>
      <c r="BK45" t="s">
        <v>8</v>
      </c>
      <c r="BL45">
        <v>349</v>
      </c>
      <c r="BM45">
        <v>162</v>
      </c>
      <c r="BN45">
        <v>154.20630372490001</v>
      </c>
      <c r="BO45">
        <v>16</v>
      </c>
      <c r="BP45">
        <v>16</v>
      </c>
      <c r="BQ45">
        <v>186.0625</v>
      </c>
      <c r="BR45">
        <v>186.0625</v>
      </c>
      <c r="BS45">
        <v>504</v>
      </c>
      <c r="BT45">
        <v>12</v>
      </c>
      <c r="BU45">
        <v>45.347222222200003</v>
      </c>
      <c r="BV45">
        <v>1</v>
      </c>
      <c r="BW45">
        <v>1</v>
      </c>
      <c r="BX45">
        <v>100</v>
      </c>
      <c r="BY45">
        <v>100</v>
      </c>
      <c r="CA45" t="s">
        <v>376</v>
      </c>
      <c r="CB45" t="s">
        <v>863</v>
      </c>
      <c r="CD45">
        <v>69539</v>
      </c>
      <c r="CE45">
        <v>15154</v>
      </c>
      <c r="CF45">
        <v>98.125239074500001</v>
      </c>
      <c r="CG45">
        <v>1624</v>
      </c>
      <c r="CH45">
        <v>1624</v>
      </c>
      <c r="CI45">
        <v>136.58682266010001</v>
      </c>
      <c r="CJ45">
        <v>136.58682266010001</v>
      </c>
      <c r="CL45" t="s">
        <v>376</v>
      </c>
      <c r="CM45" t="s">
        <v>832</v>
      </c>
      <c r="CO45">
        <v>4145</v>
      </c>
      <c r="CP45">
        <v>470</v>
      </c>
      <c r="CQ45">
        <v>72.335102533200001</v>
      </c>
      <c r="CR45">
        <v>129</v>
      </c>
      <c r="CS45">
        <v>129</v>
      </c>
      <c r="CT45">
        <v>72.426356589099996</v>
      </c>
      <c r="CU45">
        <v>72.426356589099996</v>
      </c>
      <c r="CW45" t="s">
        <v>376</v>
      </c>
      <c r="CX45" t="s">
        <v>848</v>
      </c>
      <c r="CZ45">
        <v>2395</v>
      </c>
      <c r="DA45">
        <v>180</v>
      </c>
      <c r="DB45">
        <v>66.266388309000007</v>
      </c>
      <c r="DC45">
        <v>29</v>
      </c>
      <c r="DD45">
        <v>29</v>
      </c>
      <c r="DE45">
        <v>156.68965517239999</v>
      </c>
      <c r="DF45">
        <v>156.68965517239999</v>
      </c>
      <c r="DH45" t="s">
        <v>376</v>
      </c>
      <c r="DI45" t="s">
        <v>816</v>
      </c>
      <c r="DK45">
        <v>3592</v>
      </c>
      <c r="DL45">
        <v>195</v>
      </c>
      <c r="DM45">
        <v>62.180400890900003</v>
      </c>
      <c r="DN45">
        <v>45</v>
      </c>
      <c r="DO45">
        <v>45</v>
      </c>
      <c r="DP45">
        <v>140.44444444440001</v>
      </c>
      <c r="DQ45">
        <v>140.44444444440001</v>
      </c>
    </row>
    <row r="46" spans="2:121" x14ac:dyDescent="0.2">
      <c r="B46" t="s">
        <v>114</v>
      </c>
      <c r="C46">
        <v>543</v>
      </c>
      <c r="D46">
        <v>472</v>
      </c>
      <c r="F46" t="s">
        <v>81</v>
      </c>
      <c r="G46">
        <v>1483</v>
      </c>
      <c r="H46">
        <v>243.3486176669</v>
      </c>
      <c r="I46">
        <v>1073</v>
      </c>
      <c r="J46">
        <v>130</v>
      </c>
      <c r="K46">
        <v>2205</v>
      </c>
      <c r="L46">
        <v>1321</v>
      </c>
      <c r="M46">
        <v>998</v>
      </c>
      <c r="N46">
        <v>861</v>
      </c>
      <c r="O46">
        <v>697</v>
      </c>
      <c r="P46">
        <v>627</v>
      </c>
      <c r="Q46">
        <v>1</v>
      </c>
      <c r="R46">
        <v>1</v>
      </c>
      <c r="AH46" t="s">
        <v>427</v>
      </c>
      <c r="AI46">
        <v>396</v>
      </c>
      <c r="AJ46">
        <v>226.81060606060001</v>
      </c>
      <c r="AK46">
        <v>854</v>
      </c>
      <c r="AL46">
        <v>200</v>
      </c>
      <c r="AM46">
        <v>1003</v>
      </c>
      <c r="AN46">
        <v>251</v>
      </c>
      <c r="AO46">
        <v>353</v>
      </c>
      <c r="AP46">
        <v>213</v>
      </c>
      <c r="AQ46">
        <v>120</v>
      </c>
      <c r="AR46">
        <v>57</v>
      </c>
      <c r="AS46">
        <v>1</v>
      </c>
      <c r="AT46">
        <v>2</v>
      </c>
      <c r="AV46" t="s">
        <v>396</v>
      </c>
      <c r="AW46">
        <v>161</v>
      </c>
      <c r="AX46">
        <v>79.534161490700001</v>
      </c>
      <c r="AY46">
        <v>250</v>
      </c>
      <c r="AZ46">
        <v>10</v>
      </c>
      <c r="BA46">
        <v>275</v>
      </c>
      <c r="BB46">
        <v>39</v>
      </c>
      <c r="BC46">
        <v>4</v>
      </c>
      <c r="BD46">
        <v>4</v>
      </c>
      <c r="BE46">
        <v>16</v>
      </c>
      <c r="BF46">
        <v>3</v>
      </c>
      <c r="BG46">
        <v>289</v>
      </c>
      <c r="BH46">
        <v>27</v>
      </c>
      <c r="BJ46" t="s">
        <v>693</v>
      </c>
      <c r="BK46" t="s">
        <v>8</v>
      </c>
      <c r="BL46">
        <v>349</v>
      </c>
      <c r="BM46">
        <v>162</v>
      </c>
      <c r="BN46">
        <v>154.20630372490001</v>
      </c>
      <c r="BO46">
        <v>16</v>
      </c>
      <c r="BP46">
        <v>16</v>
      </c>
      <c r="BQ46">
        <v>186.0625</v>
      </c>
      <c r="BR46">
        <v>186.0625</v>
      </c>
      <c r="BS46">
        <v>504</v>
      </c>
      <c r="BT46">
        <v>12</v>
      </c>
      <c r="BU46">
        <v>45.347222222200003</v>
      </c>
      <c r="BV46">
        <v>1</v>
      </c>
      <c r="BW46">
        <v>1</v>
      </c>
      <c r="BX46">
        <v>100</v>
      </c>
      <c r="BY46">
        <v>100</v>
      </c>
      <c r="CA46" t="s">
        <v>8</v>
      </c>
      <c r="CB46" t="s">
        <v>693</v>
      </c>
      <c r="CC46" t="s">
        <v>693</v>
      </c>
      <c r="CD46">
        <v>3644</v>
      </c>
      <c r="CE46">
        <v>1395</v>
      </c>
      <c r="CF46">
        <v>139.78622392969999</v>
      </c>
      <c r="CG46">
        <v>50</v>
      </c>
      <c r="CH46">
        <v>50</v>
      </c>
      <c r="CI46">
        <v>182.16</v>
      </c>
      <c r="CJ46">
        <v>182.16</v>
      </c>
      <c r="CL46" t="s">
        <v>8</v>
      </c>
      <c r="CM46" t="s">
        <v>865</v>
      </c>
      <c r="CN46" t="s">
        <v>865</v>
      </c>
      <c r="CO46">
        <v>185</v>
      </c>
      <c r="CP46">
        <v>30</v>
      </c>
      <c r="CQ46">
        <v>78.345945945899999</v>
      </c>
      <c r="CR46">
        <v>6</v>
      </c>
      <c r="CS46">
        <v>6</v>
      </c>
      <c r="CT46">
        <v>39.666666666700003</v>
      </c>
      <c r="CU46">
        <v>39.666666666700003</v>
      </c>
      <c r="CW46" t="s">
        <v>8</v>
      </c>
      <c r="CX46" t="s">
        <v>866</v>
      </c>
      <c r="CY46" t="s">
        <v>866</v>
      </c>
      <c r="CZ46">
        <v>33</v>
      </c>
      <c r="DA46">
        <v>2</v>
      </c>
      <c r="DB46">
        <v>60.272727272700003</v>
      </c>
      <c r="DC46">
        <v>0</v>
      </c>
      <c r="DD46">
        <v>0</v>
      </c>
      <c r="DE46">
        <v>0</v>
      </c>
      <c r="DF46">
        <v>0</v>
      </c>
      <c r="DH46" t="s">
        <v>8</v>
      </c>
      <c r="DI46" t="s">
        <v>864</v>
      </c>
      <c r="DJ46" t="s">
        <v>864</v>
      </c>
      <c r="DK46">
        <v>79</v>
      </c>
      <c r="DL46">
        <v>4</v>
      </c>
      <c r="DM46">
        <v>59.962025316499997</v>
      </c>
      <c r="DN46">
        <v>0</v>
      </c>
      <c r="DO46">
        <v>0</v>
      </c>
      <c r="DP46">
        <v>0</v>
      </c>
      <c r="DQ46">
        <v>0</v>
      </c>
    </row>
    <row r="47" spans="2:121" x14ac:dyDescent="0.2">
      <c r="B47" t="s">
        <v>107</v>
      </c>
      <c r="C47">
        <v>18529</v>
      </c>
      <c r="D47">
        <v>13729</v>
      </c>
      <c r="F47" t="s">
        <v>84</v>
      </c>
      <c r="G47">
        <v>1397</v>
      </c>
      <c r="H47">
        <v>160.1932712956</v>
      </c>
      <c r="I47">
        <v>2773</v>
      </c>
      <c r="J47">
        <v>525</v>
      </c>
      <c r="K47">
        <v>2220</v>
      </c>
      <c r="L47">
        <v>986</v>
      </c>
      <c r="M47">
        <v>459</v>
      </c>
      <c r="N47">
        <v>255</v>
      </c>
      <c r="O47">
        <v>143</v>
      </c>
      <c r="P47">
        <v>61</v>
      </c>
      <c r="Q47">
        <v>0</v>
      </c>
      <c r="R47">
        <v>11</v>
      </c>
      <c r="AH47" t="s">
        <v>391</v>
      </c>
      <c r="AI47">
        <v>8069</v>
      </c>
      <c r="AJ47">
        <v>270.110422605</v>
      </c>
      <c r="AK47">
        <v>9587</v>
      </c>
      <c r="AL47">
        <v>1996</v>
      </c>
      <c r="AM47">
        <v>11796</v>
      </c>
      <c r="AN47">
        <v>6870</v>
      </c>
      <c r="AO47">
        <v>1653</v>
      </c>
      <c r="AP47">
        <v>1416</v>
      </c>
      <c r="AQ47">
        <v>1906</v>
      </c>
      <c r="AR47">
        <v>1149</v>
      </c>
      <c r="AS47">
        <v>132</v>
      </c>
      <c r="AT47">
        <v>229</v>
      </c>
      <c r="AV47" t="s">
        <v>430</v>
      </c>
      <c r="AW47">
        <v>56</v>
      </c>
      <c r="AX47">
        <v>111.2321428571</v>
      </c>
      <c r="AY47">
        <v>72</v>
      </c>
      <c r="AZ47">
        <v>22</v>
      </c>
      <c r="BA47">
        <v>82</v>
      </c>
      <c r="BB47">
        <v>31</v>
      </c>
      <c r="BC47">
        <v>5</v>
      </c>
      <c r="BD47">
        <v>5</v>
      </c>
      <c r="BE47">
        <v>12</v>
      </c>
      <c r="BF47">
        <v>3</v>
      </c>
      <c r="BG47">
        <v>6</v>
      </c>
      <c r="BH47">
        <v>25</v>
      </c>
      <c r="BJ47" t="s">
        <v>593</v>
      </c>
      <c r="BK47" t="s">
        <v>411</v>
      </c>
      <c r="BL47">
        <v>3145</v>
      </c>
      <c r="BM47">
        <v>634</v>
      </c>
      <c r="BN47">
        <v>91.742130365700007</v>
      </c>
      <c r="BO47">
        <v>32</v>
      </c>
      <c r="BP47">
        <v>32</v>
      </c>
      <c r="BQ47">
        <v>166.40625</v>
      </c>
      <c r="BR47">
        <v>166.40625</v>
      </c>
      <c r="BS47">
        <v>2840</v>
      </c>
      <c r="BT47">
        <v>532</v>
      </c>
      <c r="BU47">
        <v>88.395774647899998</v>
      </c>
      <c r="BV47">
        <v>30</v>
      </c>
      <c r="BW47">
        <v>30</v>
      </c>
      <c r="BX47">
        <v>169.5666666667</v>
      </c>
      <c r="BY47">
        <v>169.5666666667</v>
      </c>
      <c r="CA47" t="s">
        <v>8</v>
      </c>
      <c r="CB47" t="s">
        <v>693</v>
      </c>
      <c r="CC47" t="s">
        <v>693</v>
      </c>
      <c r="CD47">
        <v>3644</v>
      </c>
      <c r="CE47">
        <v>1395</v>
      </c>
      <c r="CF47">
        <v>139.78622392969999</v>
      </c>
      <c r="CG47">
        <v>50</v>
      </c>
      <c r="CH47">
        <v>50</v>
      </c>
      <c r="CI47">
        <v>182.16</v>
      </c>
      <c r="CJ47">
        <v>182.16</v>
      </c>
      <c r="CL47" t="s">
        <v>8</v>
      </c>
      <c r="CM47" t="s">
        <v>865</v>
      </c>
      <c r="CN47" t="s">
        <v>865</v>
      </c>
      <c r="CO47">
        <v>185</v>
      </c>
      <c r="CP47">
        <v>30</v>
      </c>
      <c r="CQ47">
        <v>78.345945945899999</v>
      </c>
      <c r="CR47">
        <v>6</v>
      </c>
      <c r="CS47">
        <v>6</v>
      </c>
      <c r="CT47">
        <v>39.666666666700003</v>
      </c>
      <c r="CU47">
        <v>39.666666666700003</v>
      </c>
      <c r="CW47" t="s">
        <v>8</v>
      </c>
      <c r="CX47" t="s">
        <v>866</v>
      </c>
      <c r="CZ47">
        <v>33</v>
      </c>
      <c r="DA47">
        <v>2</v>
      </c>
      <c r="DB47">
        <v>60.272727272700003</v>
      </c>
      <c r="DC47">
        <v>0</v>
      </c>
      <c r="DD47">
        <v>0</v>
      </c>
      <c r="DE47">
        <v>0</v>
      </c>
      <c r="DF47">
        <v>0</v>
      </c>
      <c r="DH47" t="s">
        <v>8</v>
      </c>
      <c r="DI47" t="s">
        <v>864</v>
      </c>
      <c r="DK47">
        <v>79</v>
      </c>
      <c r="DL47">
        <v>4</v>
      </c>
      <c r="DM47">
        <v>59.962025316499997</v>
      </c>
      <c r="DN47">
        <v>0</v>
      </c>
      <c r="DO47">
        <v>0</v>
      </c>
      <c r="DP47">
        <v>0</v>
      </c>
      <c r="DQ47">
        <v>0</v>
      </c>
    </row>
    <row r="48" spans="2:121" x14ac:dyDescent="0.2">
      <c r="B48" t="s">
        <v>21</v>
      </c>
      <c r="C48">
        <v>41495</v>
      </c>
      <c r="D48">
        <v>10767</v>
      </c>
      <c r="F48" t="s">
        <v>75</v>
      </c>
      <c r="G48">
        <v>2168</v>
      </c>
      <c r="H48">
        <v>250.5387453875</v>
      </c>
      <c r="I48">
        <v>2966</v>
      </c>
      <c r="J48">
        <v>644</v>
      </c>
      <c r="K48">
        <v>3569</v>
      </c>
      <c r="L48">
        <v>2535</v>
      </c>
      <c r="M48">
        <v>685</v>
      </c>
      <c r="N48">
        <v>624</v>
      </c>
      <c r="O48">
        <v>878</v>
      </c>
      <c r="P48">
        <v>533</v>
      </c>
      <c r="Q48">
        <v>0</v>
      </c>
      <c r="R48">
        <v>5</v>
      </c>
      <c r="AH48" t="s">
        <v>417</v>
      </c>
      <c r="AI48">
        <v>33512</v>
      </c>
      <c r="AJ48">
        <v>336.16647767960001</v>
      </c>
      <c r="AK48">
        <v>37790</v>
      </c>
      <c r="AL48">
        <v>7399</v>
      </c>
      <c r="AM48">
        <v>46370</v>
      </c>
      <c r="AN48">
        <v>28098</v>
      </c>
      <c r="AO48">
        <v>5026</v>
      </c>
      <c r="AP48">
        <v>4129</v>
      </c>
      <c r="AQ48">
        <v>9057</v>
      </c>
      <c r="AR48">
        <v>4661</v>
      </c>
      <c r="AS48">
        <v>28</v>
      </c>
      <c r="AT48">
        <v>447</v>
      </c>
      <c r="AV48" t="s">
        <v>426</v>
      </c>
      <c r="AW48">
        <v>20</v>
      </c>
      <c r="AX48">
        <v>30.7</v>
      </c>
      <c r="AY48">
        <v>41</v>
      </c>
      <c r="BA48">
        <v>29</v>
      </c>
      <c r="BC48">
        <v>0</v>
      </c>
      <c r="BE48">
        <v>0</v>
      </c>
      <c r="BG48">
        <v>48</v>
      </c>
      <c r="BH48">
        <v>8</v>
      </c>
      <c r="BJ48" t="s">
        <v>652</v>
      </c>
      <c r="BK48" t="s">
        <v>411</v>
      </c>
      <c r="BL48">
        <v>1115</v>
      </c>
      <c r="BM48">
        <v>82</v>
      </c>
      <c r="BN48">
        <v>68.419730941699996</v>
      </c>
      <c r="BO48">
        <v>8</v>
      </c>
      <c r="BP48">
        <v>8</v>
      </c>
      <c r="BQ48">
        <v>95.25</v>
      </c>
      <c r="BR48">
        <v>95.25</v>
      </c>
      <c r="BS48">
        <v>1246</v>
      </c>
      <c r="BT48">
        <v>141</v>
      </c>
      <c r="BU48">
        <v>75.306581059400003</v>
      </c>
      <c r="BV48">
        <v>8</v>
      </c>
      <c r="BW48">
        <v>8</v>
      </c>
      <c r="BX48">
        <v>95.25</v>
      </c>
      <c r="BY48">
        <v>95.25</v>
      </c>
      <c r="CA48" t="s">
        <v>8</v>
      </c>
      <c r="CB48" t="s">
        <v>693</v>
      </c>
      <c r="CC48" t="s">
        <v>693</v>
      </c>
      <c r="CD48">
        <v>3644</v>
      </c>
      <c r="CE48">
        <v>1395</v>
      </c>
      <c r="CF48">
        <v>139.78622392969999</v>
      </c>
      <c r="CG48">
        <v>50</v>
      </c>
      <c r="CH48">
        <v>50</v>
      </c>
      <c r="CI48">
        <v>182.16</v>
      </c>
      <c r="CJ48">
        <v>182.16</v>
      </c>
      <c r="CL48" t="s">
        <v>8</v>
      </c>
      <c r="CM48" t="s">
        <v>865</v>
      </c>
      <c r="CN48" t="s">
        <v>865</v>
      </c>
      <c r="CO48">
        <v>185</v>
      </c>
      <c r="CP48">
        <v>30</v>
      </c>
      <c r="CQ48">
        <v>78.345945945899999</v>
      </c>
      <c r="CR48">
        <v>6</v>
      </c>
      <c r="CS48">
        <v>6</v>
      </c>
      <c r="CT48">
        <v>39.666666666700003</v>
      </c>
      <c r="CU48">
        <v>39.666666666700003</v>
      </c>
      <c r="CW48" t="s">
        <v>431</v>
      </c>
      <c r="CX48" t="s">
        <v>888</v>
      </c>
      <c r="CY48" t="s">
        <v>887</v>
      </c>
      <c r="CZ48">
        <v>19</v>
      </c>
      <c r="DA48">
        <v>1</v>
      </c>
      <c r="DB48">
        <v>54.947368421100002</v>
      </c>
      <c r="DC48">
        <v>1</v>
      </c>
      <c r="DD48">
        <v>1</v>
      </c>
      <c r="DE48">
        <v>73</v>
      </c>
      <c r="DF48">
        <v>73</v>
      </c>
      <c r="DH48" t="s">
        <v>431</v>
      </c>
      <c r="DI48" t="s">
        <v>868</v>
      </c>
      <c r="DJ48" t="s">
        <v>867</v>
      </c>
      <c r="DK48">
        <v>54</v>
      </c>
      <c r="DL48">
        <v>2</v>
      </c>
      <c r="DM48">
        <v>52.5</v>
      </c>
      <c r="DN48">
        <v>1</v>
      </c>
      <c r="DO48">
        <v>1</v>
      </c>
      <c r="DP48">
        <v>105</v>
      </c>
      <c r="DQ48">
        <v>105</v>
      </c>
    </row>
    <row r="49" spans="2:121" x14ac:dyDescent="0.2">
      <c r="B49" t="s">
        <v>123</v>
      </c>
      <c r="C49">
        <v>3422</v>
      </c>
      <c r="D49">
        <v>912</v>
      </c>
      <c r="F49" t="s">
        <v>437</v>
      </c>
      <c r="G49">
        <v>37427</v>
      </c>
      <c r="H49">
        <v>498.02955085899998</v>
      </c>
      <c r="I49">
        <v>607</v>
      </c>
      <c r="J49">
        <v>194</v>
      </c>
      <c r="K49">
        <v>37895</v>
      </c>
      <c r="L49">
        <v>36982</v>
      </c>
      <c r="M49">
        <v>73</v>
      </c>
      <c r="N49">
        <v>69</v>
      </c>
      <c r="O49">
        <v>1370</v>
      </c>
      <c r="P49">
        <v>1217</v>
      </c>
      <c r="Q49">
        <v>0</v>
      </c>
      <c r="R49">
        <v>2</v>
      </c>
      <c r="AH49" t="s">
        <v>413</v>
      </c>
      <c r="AI49">
        <v>2065</v>
      </c>
      <c r="AJ49">
        <v>324.96610169489998</v>
      </c>
      <c r="AK49">
        <v>1931</v>
      </c>
      <c r="AL49">
        <v>405</v>
      </c>
      <c r="AM49">
        <v>3142</v>
      </c>
      <c r="AN49">
        <v>1772</v>
      </c>
      <c r="AO49">
        <v>497</v>
      </c>
      <c r="AP49">
        <v>439</v>
      </c>
      <c r="AQ49">
        <v>221</v>
      </c>
      <c r="AR49">
        <v>100</v>
      </c>
      <c r="AS49">
        <v>0</v>
      </c>
      <c r="AT49">
        <v>5</v>
      </c>
      <c r="AV49" t="s">
        <v>385</v>
      </c>
      <c r="AW49">
        <v>693</v>
      </c>
      <c r="AX49">
        <v>109.55555555559999</v>
      </c>
      <c r="AY49">
        <v>669</v>
      </c>
      <c r="AZ49">
        <v>166</v>
      </c>
      <c r="BA49">
        <v>1048</v>
      </c>
      <c r="BB49">
        <v>351</v>
      </c>
      <c r="BC49">
        <v>154</v>
      </c>
      <c r="BD49">
        <v>151</v>
      </c>
      <c r="BE49">
        <v>83</v>
      </c>
      <c r="BF49">
        <v>32</v>
      </c>
      <c r="BG49">
        <v>106</v>
      </c>
      <c r="BH49">
        <v>283</v>
      </c>
      <c r="BJ49" t="s">
        <v>608</v>
      </c>
      <c r="BK49" t="s">
        <v>411</v>
      </c>
      <c r="BL49">
        <v>1488</v>
      </c>
      <c r="BM49">
        <v>315</v>
      </c>
      <c r="BN49">
        <v>85.012768817199998</v>
      </c>
      <c r="BO49">
        <v>54</v>
      </c>
      <c r="BP49">
        <v>54</v>
      </c>
      <c r="BQ49">
        <v>99.944444444400006</v>
      </c>
      <c r="BR49">
        <v>99.944444444400006</v>
      </c>
      <c r="BS49">
        <v>1571</v>
      </c>
      <c r="BT49">
        <v>408</v>
      </c>
      <c r="BU49">
        <v>96.653087205600002</v>
      </c>
      <c r="BV49">
        <v>55</v>
      </c>
      <c r="BW49">
        <v>55</v>
      </c>
      <c r="BX49">
        <v>105.8727272727</v>
      </c>
      <c r="BY49">
        <v>105.8727272727</v>
      </c>
      <c r="CA49" t="s">
        <v>8</v>
      </c>
      <c r="CB49" t="s">
        <v>693</v>
      </c>
      <c r="CD49">
        <v>3644</v>
      </c>
      <c r="CE49">
        <v>1395</v>
      </c>
      <c r="CF49">
        <v>139.78622392969999</v>
      </c>
      <c r="CG49">
        <v>50</v>
      </c>
      <c r="CH49">
        <v>50</v>
      </c>
      <c r="CI49">
        <v>182.16</v>
      </c>
      <c r="CJ49">
        <v>182.16</v>
      </c>
      <c r="CL49" t="s">
        <v>8</v>
      </c>
      <c r="CM49" t="s">
        <v>865</v>
      </c>
      <c r="CO49">
        <v>185</v>
      </c>
      <c r="CP49">
        <v>30</v>
      </c>
      <c r="CQ49">
        <v>78.345945945899999</v>
      </c>
      <c r="CR49">
        <v>6</v>
      </c>
      <c r="CS49">
        <v>6</v>
      </c>
      <c r="CT49">
        <v>39.666666666700003</v>
      </c>
      <c r="CU49">
        <v>39.666666666700003</v>
      </c>
      <c r="CW49" t="s">
        <v>433</v>
      </c>
      <c r="CX49" t="s">
        <v>888</v>
      </c>
      <c r="CY49" t="s">
        <v>889</v>
      </c>
      <c r="CZ49">
        <v>199</v>
      </c>
      <c r="DA49">
        <v>17</v>
      </c>
      <c r="DB49">
        <v>69.402010050300007</v>
      </c>
      <c r="DC49">
        <v>4</v>
      </c>
      <c r="DD49">
        <v>4</v>
      </c>
      <c r="DE49">
        <v>156.25</v>
      </c>
      <c r="DF49">
        <v>156.25</v>
      </c>
      <c r="DH49" t="s">
        <v>433</v>
      </c>
      <c r="DI49" t="s">
        <v>868</v>
      </c>
      <c r="DJ49" t="s">
        <v>869</v>
      </c>
      <c r="DK49">
        <v>133</v>
      </c>
      <c r="DL49">
        <v>8</v>
      </c>
      <c r="DM49">
        <v>68.488721804500003</v>
      </c>
      <c r="DN49">
        <v>2</v>
      </c>
      <c r="DO49">
        <v>2</v>
      </c>
      <c r="DP49">
        <v>62</v>
      </c>
      <c r="DQ49">
        <v>62</v>
      </c>
    </row>
    <row r="50" spans="2:121" x14ac:dyDescent="0.2">
      <c r="B50" t="s">
        <v>131</v>
      </c>
      <c r="C50">
        <v>21661</v>
      </c>
      <c r="D50">
        <v>3591</v>
      </c>
      <c r="F50" t="s">
        <v>45</v>
      </c>
      <c r="G50">
        <v>3017</v>
      </c>
      <c r="H50">
        <v>237.6373881339</v>
      </c>
      <c r="I50">
        <v>7120</v>
      </c>
      <c r="J50">
        <v>1792</v>
      </c>
      <c r="K50">
        <v>6269</v>
      </c>
      <c r="L50">
        <v>2609</v>
      </c>
      <c r="M50">
        <v>957</v>
      </c>
      <c r="N50">
        <v>796</v>
      </c>
      <c r="O50">
        <v>764</v>
      </c>
      <c r="P50">
        <v>415</v>
      </c>
      <c r="Q50">
        <v>2</v>
      </c>
      <c r="R50">
        <v>205</v>
      </c>
      <c r="AH50" t="s">
        <v>424</v>
      </c>
      <c r="AI50">
        <v>434</v>
      </c>
      <c r="AJ50">
        <v>365.45852534559998</v>
      </c>
      <c r="AK50">
        <v>398</v>
      </c>
      <c r="AL50">
        <v>82</v>
      </c>
      <c r="AM50">
        <v>784</v>
      </c>
      <c r="AN50">
        <v>440</v>
      </c>
      <c r="AO50">
        <v>180</v>
      </c>
      <c r="AP50">
        <v>121</v>
      </c>
      <c r="AQ50">
        <v>96</v>
      </c>
      <c r="AR50">
        <v>59</v>
      </c>
      <c r="AS50">
        <v>50</v>
      </c>
      <c r="AT50">
        <v>1</v>
      </c>
      <c r="AV50" t="s">
        <v>380</v>
      </c>
      <c r="AW50">
        <v>152</v>
      </c>
      <c r="AX50">
        <v>99.046052631600006</v>
      </c>
      <c r="AY50">
        <v>271</v>
      </c>
      <c r="AZ50">
        <v>80</v>
      </c>
      <c r="BA50">
        <v>236</v>
      </c>
      <c r="BB50">
        <v>65</v>
      </c>
      <c r="BC50">
        <v>5</v>
      </c>
      <c r="BD50">
        <v>5</v>
      </c>
      <c r="BE50">
        <v>28</v>
      </c>
      <c r="BF50">
        <v>7</v>
      </c>
      <c r="BG50">
        <v>20</v>
      </c>
      <c r="BH50">
        <v>70</v>
      </c>
      <c r="BJ50" t="s">
        <v>648</v>
      </c>
      <c r="BK50" t="s">
        <v>411</v>
      </c>
      <c r="BL50">
        <v>2638</v>
      </c>
      <c r="BM50">
        <v>436</v>
      </c>
      <c r="BN50">
        <v>89.927975739199994</v>
      </c>
      <c r="BO50">
        <v>26</v>
      </c>
      <c r="BP50">
        <v>26</v>
      </c>
      <c r="BQ50">
        <v>163.80769230769999</v>
      </c>
      <c r="BR50">
        <v>163.80769230769999</v>
      </c>
      <c r="BS50">
        <v>2533</v>
      </c>
      <c r="BT50">
        <v>337</v>
      </c>
      <c r="BU50">
        <v>84.288195815199998</v>
      </c>
      <c r="BV50">
        <v>23</v>
      </c>
      <c r="BW50">
        <v>23</v>
      </c>
      <c r="BX50">
        <v>155.73913043479999</v>
      </c>
      <c r="BY50">
        <v>155.73913043479999</v>
      </c>
      <c r="CA50" t="s">
        <v>431</v>
      </c>
      <c r="CB50" t="s">
        <v>897</v>
      </c>
      <c r="CC50" t="s">
        <v>1022</v>
      </c>
      <c r="CD50">
        <v>1134</v>
      </c>
      <c r="CE50">
        <v>87</v>
      </c>
      <c r="CF50">
        <v>67.606701939999994</v>
      </c>
      <c r="CG50">
        <v>20</v>
      </c>
      <c r="CH50">
        <v>20</v>
      </c>
      <c r="CI50">
        <v>70.8</v>
      </c>
      <c r="CJ50">
        <v>70.8</v>
      </c>
      <c r="CL50" t="s">
        <v>431</v>
      </c>
      <c r="CM50" t="s">
        <v>878</v>
      </c>
      <c r="CN50" t="s">
        <v>877</v>
      </c>
      <c r="CO50">
        <v>23</v>
      </c>
      <c r="CP50">
        <v>4</v>
      </c>
      <c r="CQ50">
        <v>79.478260869600007</v>
      </c>
      <c r="CR50">
        <v>3</v>
      </c>
      <c r="CS50">
        <v>3</v>
      </c>
      <c r="CT50">
        <v>72</v>
      </c>
      <c r="CU50">
        <v>72</v>
      </c>
      <c r="CW50" t="s">
        <v>414</v>
      </c>
      <c r="CX50" t="s">
        <v>888</v>
      </c>
      <c r="CY50" t="s">
        <v>890</v>
      </c>
      <c r="CZ50">
        <v>1458</v>
      </c>
      <c r="DA50">
        <v>114</v>
      </c>
      <c r="DB50">
        <v>61.271604938300001</v>
      </c>
      <c r="DC50">
        <v>29</v>
      </c>
      <c r="DD50">
        <v>29</v>
      </c>
      <c r="DE50">
        <v>93.137931034499999</v>
      </c>
      <c r="DF50">
        <v>93.137931034499999</v>
      </c>
      <c r="DH50" t="s">
        <v>414</v>
      </c>
      <c r="DI50" t="s">
        <v>868</v>
      </c>
      <c r="DJ50" t="s">
        <v>870</v>
      </c>
      <c r="DK50">
        <v>847</v>
      </c>
      <c r="DL50">
        <v>48</v>
      </c>
      <c r="DM50">
        <v>59.181818181799997</v>
      </c>
      <c r="DN50">
        <v>15</v>
      </c>
      <c r="DO50">
        <v>15</v>
      </c>
      <c r="DP50">
        <v>124.53333333330001</v>
      </c>
      <c r="DQ50">
        <v>124.53333333330001</v>
      </c>
    </row>
    <row r="51" spans="2:121" x14ac:dyDescent="0.2">
      <c r="B51" t="s">
        <v>104</v>
      </c>
      <c r="C51">
        <v>219955</v>
      </c>
      <c r="D51">
        <v>153224</v>
      </c>
      <c r="F51" t="s">
        <v>79</v>
      </c>
      <c r="G51">
        <v>2872</v>
      </c>
      <c r="H51">
        <v>266.05745125350001</v>
      </c>
      <c r="I51">
        <v>10332</v>
      </c>
      <c r="J51">
        <v>1847</v>
      </c>
      <c r="K51">
        <v>10646</v>
      </c>
      <c r="L51">
        <v>2391</v>
      </c>
      <c r="M51">
        <v>459</v>
      </c>
      <c r="N51">
        <v>312</v>
      </c>
      <c r="O51">
        <v>946</v>
      </c>
      <c r="P51">
        <v>606</v>
      </c>
      <c r="Q51">
        <v>11</v>
      </c>
      <c r="R51">
        <v>0</v>
      </c>
      <c r="AH51" t="s">
        <v>385</v>
      </c>
      <c r="AI51">
        <v>18061</v>
      </c>
      <c r="AJ51">
        <v>475.19461823820001</v>
      </c>
      <c r="AK51">
        <v>12789</v>
      </c>
      <c r="AL51">
        <v>2098</v>
      </c>
      <c r="AM51">
        <v>22570</v>
      </c>
      <c r="AN51">
        <v>15834</v>
      </c>
      <c r="AO51">
        <v>5914</v>
      </c>
      <c r="AP51">
        <v>5446</v>
      </c>
      <c r="AQ51">
        <v>5764</v>
      </c>
      <c r="AR51">
        <v>4191</v>
      </c>
      <c r="AS51">
        <v>753</v>
      </c>
      <c r="AT51">
        <v>34</v>
      </c>
      <c r="AV51" t="s">
        <v>413</v>
      </c>
      <c r="AW51">
        <v>30</v>
      </c>
      <c r="AX51">
        <v>69.366666666699999</v>
      </c>
      <c r="AY51">
        <v>162</v>
      </c>
      <c r="AZ51">
        <v>2</v>
      </c>
      <c r="BA51">
        <v>63</v>
      </c>
      <c r="BB51">
        <v>4</v>
      </c>
      <c r="BC51">
        <v>0</v>
      </c>
      <c r="BE51">
        <v>4</v>
      </c>
      <c r="BF51">
        <v>2</v>
      </c>
      <c r="BG51">
        <v>81</v>
      </c>
      <c r="BH51">
        <v>20</v>
      </c>
      <c r="BJ51" t="s">
        <v>600</v>
      </c>
      <c r="BK51" t="s">
        <v>411</v>
      </c>
      <c r="BL51">
        <v>9372</v>
      </c>
      <c r="BM51">
        <v>2429</v>
      </c>
      <c r="BN51">
        <v>102.9652155356</v>
      </c>
      <c r="BO51">
        <v>230</v>
      </c>
      <c r="BP51">
        <v>230</v>
      </c>
      <c r="BQ51">
        <v>147.23478260869999</v>
      </c>
      <c r="BR51">
        <v>147.23478260869999</v>
      </c>
      <c r="BS51">
        <v>7716</v>
      </c>
      <c r="BT51">
        <v>1253</v>
      </c>
      <c r="BU51">
        <v>79.518144116100004</v>
      </c>
      <c r="BV51">
        <v>197</v>
      </c>
      <c r="BW51">
        <v>197</v>
      </c>
      <c r="BX51">
        <v>131.421319797</v>
      </c>
      <c r="BY51">
        <v>131.421319797</v>
      </c>
      <c r="CA51" t="s">
        <v>433</v>
      </c>
      <c r="CB51" t="s">
        <v>897</v>
      </c>
      <c r="CC51" t="s">
        <v>1023</v>
      </c>
      <c r="CD51">
        <v>6240</v>
      </c>
      <c r="CE51">
        <v>1156</v>
      </c>
      <c r="CF51">
        <v>90.460737179500001</v>
      </c>
      <c r="CG51">
        <v>168</v>
      </c>
      <c r="CH51">
        <v>168</v>
      </c>
      <c r="CI51">
        <v>124.8333333333</v>
      </c>
      <c r="CJ51">
        <v>124.8333333333</v>
      </c>
      <c r="CL51" t="s">
        <v>433</v>
      </c>
      <c r="CM51" t="s">
        <v>878</v>
      </c>
      <c r="CN51" t="s">
        <v>879</v>
      </c>
      <c r="CO51">
        <v>523</v>
      </c>
      <c r="CP51">
        <v>26</v>
      </c>
      <c r="CQ51">
        <v>53.053537284900003</v>
      </c>
      <c r="CR51">
        <v>23</v>
      </c>
      <c r="CS51">
        <v>23</v>
      </c>
      <c r="CT51">
        <v>53.217391304300001</v>
      </c>
      <c r="CU51">
        <v>53.217391304300001</v>
      </c>
      <c r="CW51" t="s">
        <v>435</v>
      </c>
      <c r="CX51" t="s">
        <v>888</v>
      </c>
      <c r="CY51" t="s">
        <v>891</v>
      </c>
      <c r="CZ51">
        <v>30</v>
      </c>
      <c r="DA51">
        <v>2</v>
      </c>
      <c r="DB51">
        <v>65</v>
      </c>
      <c r="DC51">
        <v>0</v>
      </c>
      <c r="DD51">
        <v>0</v>
      </c>
      <c r="DE51">
        <v>0</v>
      </c>
      <c r="DF51">
        <v>0</v>
      </c>
      <c r="DH51" t="s">
        <v>435</v>
      </c>
      <c r="DI51" t="s">
        <v>868</v>
      </c>
      <c r="DJ51" t="s">
        <v>871</v>
      </c>
      <c r="DK51">
        <v>90</v>
      </c>
      <c r="DL51">
        <v>4</v>
      </c>
      <c r="DM51">
        <v>51.444444444399998</v>
      </c>
      <c r="DN51">
        <v>1</v>
      </c>
      <c r="DO51">
        <v>1</v>
      </c>
      <c r="DP51">
        <v>93</v>
      </c>
      <c r="DQ51">
        <v>93</v>
      </c>
    </row>
    <row r="52" spans="2:121" x14ac:dyDescent="0.2">
      <c r="B52" t="s">
        <v>109</v>
      </c>
      <c r="C52">
        <v>1258</v>
      </c>
      <c r="D52">
        <v>240</v>
      </c>
      <c r="F52" t="s">
        <v>56</v>
      </c>
      <c r="G52">
        <v>9002</v>
      </c>
      <c r="H52">
        <v>509.63185958679998</v>
      </c>
      <c r="I52">
        <v>6038</v>
      </c>
      <c r="J52">
        <v>2382</v>
      </c>
      <c r="K52">
        <v>13546</v>
      </c>
      <c r="L52">
        <v>9187</v>
      </c>
      <c r="M52">
        <v>3112</v>
      </c>
      <c r="N52">
        <v>3030</v>
      </c>
      <c r="O52">
        <v>559</v>
      </c>
      <c r="P52">
        <v>338</v>
      </c>
      <c r="Q52">
        <v>75</v>
      </c>
      <c r="R52">
        <v>255</v>
      </c>
      <c r="AH52" t="s">
        <v>83</v>
      </c>
      <c r="AI52">
        <v>13880</v>
      </c>
      <c r="AJ52">
        <v>402.35122478390002</v>
      </c>
      <c r="AK52">
        <v>6927</v>
      </c>
      <c r="AL52">
        <v>1379</v>
      </c>
      <c r="AM52">
        <v>20195</v>
      </c>
      <c r="AN52">
        <v>13501</v>
      </c>
      <c r="AO52">
        <v>3477</v>
      </c>
      <c r="AP52">
        <v>3158</v>
      </c>
      <c r="AQ52">
        <v>4987</v>
      </c>
      <c r="AR52">
        <v>3950</v>
      </c>
      <c r="AS52">
        <v>11</v>
      </c>
      <c r="AT52">
        <v>146</v>
      </c>
      <c r="AV52" t="s">
        <v>399</v>
      </c>
      <c r="AW52">
        <v>205</v>
      </c>
      <c r="AX52">
        <v>61.507317073199999</v>
      </c>
      <c r="AY52">
        <v>592</v>
      </c>
      <c r="AZ52">
        <v>45</v>
      </c>
      <c r="BA52">
        <v>407</v>
      </c>
      <c r="BB52">
        <v>42</v>
      </c>
      <c r="BC52">
        <v>2</v>
      </c>
      <c r="BD52">
        <v>2</v>
      </c>
      <c r="BE52">
        <v>20</v>
      </c>
      <c r="BF52">
        <v>10</v>
      </c>
      <c r="BG52">
        <v>285</v>
      </c>
      <c r="BH52">
        <v>48</v>
      </c>
      <c r="BJ52" t="s">
        <v>622</v>
      </c>
      <c r="BK52" t="s">
        <v>411</v>
      </c>
      <c r="BL52">
        <v>850</v>
      </c>
      <c r="BM52">
        <v>258</v>
      </c>
      <c r="BN52">
        <v>113.09647058820001</v>
      </c>
      <c r="BO52">
        <v>14</v>
      </c>
      <c r="BP52">
        <v>14</v>
      </c>
      <c r="BQ52">
        <v>135</v>
      </c>
      <c r="BR52">
        <v>135</v>
      </c>
      <c r="BS52">
        <v>1411</v>
      </c>
      <c r="BT52">
        <v>706</v>
      </c>
      <c r="BU52">
        <v>165.63855421689999</v>
      </c>
      <c r="BV52">
        <v>24</v>
      </c>
      <c r="BW52">
        <v>24</v>
      </c>
      <c r="BX52">
        <v>182.1666666667</v>
      </c>
      <c r="BY52">
        <v>182.1666666667</v>
      </c>
      <c r="CA52" t="s">
        <v>414</v>
      </c>
      <c r="CB52" t="s">
        <v>897</v>
      </c>
      <c r="CC52" t="s">
        <v>1024</v>
      </c>
      <c r="CD52">
        <v>30046</v>
      </c>
      <c r="CE52">
        <v>6442</v>
      </c>
      <c r="CF52">
        <v>94.596685082899995</v>
      </c>
      <c r="CG52">
        <v>698</v>
      </c>
      <c r="CH52">
        <v>698</v>
      </c>
      <c r="CI52">
        <v>149.09742120339999</v>
      </c>
      <c r="CJ52">
        <v>149.09742120339999</v>
      </c>
      <c r="CL52" t="s">
        <v>414</v>
      </c>
      <c r="CM52" t="s">
        <v>878</v>
      </c>
      <c r="CN52" t="s">
        <v>880</v>
      </c>
      <c r="CO52">
        <v>2331</v>
      </c>
      <c r="CP52">
        <v>104</v>
      </c>
      <c r="CQ52">
        <v>48.689403689400002</v>
      </c>
      <c r="CR52">
        <v>102</v>
      </c>
      <c r="CS52">
        <v>102</v>
      </c>
      <c r="CT52">
        <v>56.921568627500001</v>
      </c>
      <c r="CU52">
        <v>56.921568627500001</v>
      </c>
      <c r="CW52" t="s">
        <v>415</v>
      </c>
      <c r="CX52" t="s">
        <v>888</v>
      </c>
      <c r="CY52" t="s">
        <v>892</v>
      </c>
      <c r="CZ52">
        <v>38</v>
      </c>
      <c r="DA52">
        <v>1</v>
      </c>
      <c r="DB52">
        <v>52</v>
      </c>
      <c r="DC52">
        <v>0</v>
      </c>
      <c r="DD52">
        <v>0</v>
      </c>
      <c r="DE52">
        <v>0</v>
      </c>
      <c r="DF52">
        <v>0</v>
      </c>
      <c r="DH52" t="s">
        <v>415</v>
      </c>
      <c r="DI52" t="s">
        <v>868</v>
      </c>
      <c r="DJ52" t="s">
        <v>872</v>
      </c>
      <c r="DK52">
        <v>55</v>
      </c>
      <c r="DL52">
        <v>1</v>
      </c>
      <c r="DM52">
        <v>57.2363636364</v>
      </c>
      <c r="DN52">
        <v>1</v>
      </c>
      <c r="DO52">
        <v>1</v>
      </c>
      <c r="DP52">
        <v>96</v>
      </c>
      <c r="DQ52">
        <v>96</v>
      </c>
    </row>
    <row r="53" spans="2:121" x14ac:dyDescent="0.2">
      <c r="B53" t="s">
        <v>126</v>
      </c>
      <c r="C53">
        <v>529</v>
      </c>
      <c r="D53">
        <v>524</v>
      </c>
      <c r="F53" t="s">
        <v>43</v>
      </c>
      <c r="G53">
        <v>7370</v>
      </c>
      <c r="H53">
        <v>422.93677069199998</v>
      </c>
      <c r="I53">
        <v>6886</v>
      </c>
      <c r="J53">
        <v>2037</v>
      </c>
      <c r="K53">
        <v>9668</v>
      </c>
      <c r="L53">
        <v>7166</v>
      </c>
      <c r="M53">
        <v>2073</v>
      </c>
      <c r="N53">
        <v>1793</v>
      </c>
      <c r="O53">
        <v>3323</v>
      </c>
      <c r="P53">
        <v>2453</v>
      </c>
      <c r="Q53">
        <v>0</v>
      </c>
      <c r="R53">
        <v>67</v>
      </c>
      <c r="AH53" t="s">
        <v>386</v>
      </c>
      <c r="AI53">
        <v>2447</v>
      </c>
      <c r="AJ53">
        <v>256.2272170004</v>
      </c>
      <c r="AK53">
        <v>2317</v>
      </c>
      <c r="AL53">
        <v>391</v>
      </c>
      <c r="AM53">
        <v>3783</v>
      </c>
      <c r="AN53">
        <v>2120</v>
      </c>
      <c r="AO53">
        <v>240</v>
      </c>
      <c r="AP53">
        <v>190</v>
      </c>
      <c r="AQ53">
        <v>1152</v>
      </c>
      <c r="AR53">
        <v>721</v>
      </c>
      <c r="AS53">
        <v>272</v>
      </c>
      <c r="AT53">
        <v>18</v>
      </c>
      <c r="AV53" t="s">
        <v>408</v>
      </c>
      <c r="AW53">
        <v>88</v>
      </c>
      <c r="AX53">
        <v>40.7954545455</v>
      </c>
      <c r="AY53">
        <v>322</v>
      </c>
      <c r="AZ53">
        <v>9</v>
      </c>
      <c r="BA53">
        <v>143</v>
      </c>
      <c r="BB53">
        <v>4</v>
      </c>
      <c r="BC53">
        <v>1</v>
      </c>
      <c r="BD53">
        <v>1</v>
      </c>
      <c r="BE53">
        <v>3</v>
      </c>
      <c r="BF53">
        <v>1</v>
      </c>
      <c r="BG53">
        <v>377</v>
      </c>
      <c r="BH53">
        <v>34</v>
      </c>
      <c r="BJ53" t="s">
        <v>598</v>
      </c>
      <c r="BK53" t="s">
        <v>411</v>
      </c>
      <c r="BL53">
        <v>10960</v>
      </c>
      <c r="BM53">
        <v>2427</v>
      </c>
      <c r="BN53">
        <v>95.575273722600002</v>
      </c>
      <c r="BO53">
        <v>251</v>
      </c>
      <c r="BP53">
        <v>251</v>
      </c>
      <c r="BQ53">
        <v>153.6454183267</v>
      </c>
      <c r="BR53">
        <v>153.6454183267</v>
      </c>
      <c r="BS53">
        <v>8288</v>
      </c>
      <c r="BT53">
        <v>970</v>
      </c>
      <c r="BU53">
        <v>71.681587837799995</v>
      </c>
      <c r="BV53">
        <v>154</v>
      </c>
      <c r="BW53">
        <v>154</v>
      </c>
      <c r="BX53">
        <v>133.9090909091</v>
      </c>
      <c r="BY53">
        <v>133.9090909091</v>
      </c>
      <c r="CA53" t="s">
        <v>435</v>
      </c>
      <c r="CB53" t="s">
        <v>897</v>
      </c>
      <c r="CC53" t="s">
        <v>1025</v>
      </c>
      <c r="CD53">
        <v>2114</v>
      </c>
      <c r="CE53">
        <v>319</v>
      </c>
      <c r="CF53">
        <v>86.505676442799995</v>
      </c>
      <c r="CG53">
        <v>31</v>
      </c>
      <c r="CH53">
        <v>31</v>
      </c>
      <c r="CI53">
        <v>104.77419354840001</v>
      </c>
      <c r="CJ53">
        <v>104.77419354840001</v>
      </c>
      <c r="CL53" t="s">
        <v>435</v>
      </c>
      <c r="CM53" t="s">
        <v>878</v>
      </c>
      <c r="CN53" t="s">
        <v>881</v>
      </c>
      <c r="CO53">
        <v>68</v>
      </c>
      <c r="CP53">
        <v>2</v>
      </c>
      <c r="CQ53">
        <v>52.044117647100002</v>
      </c>
      <c r="CR53">
        <v>4</v>
      </c>
      <c r="CS53">
        <v>4</v>
      </c>
      <c r="CT53">
        <v>55.25</v>
      </c>
      <c r="CU53">
        <v>55.25</v>
      </c>
      <c r="CW53" t="s">
        <v>420</v>
      </c>
      <c r="CX53" t="s">
        <v>888</v>
      </c>
      <c r="CY53" t="s">
        <v>893</v>
      </c>
      <c r="CZ53">
        <v>100</v>
      </c>
      <c r="DA53">
        <v>8</v>
      </c>
      <c r="DB53">
        <v>68.260000000000005</v>
      </c>
      <c r="DC53">
        <v>0</v>
      </c>
      <c r="DD53">
        <v>0</v>
      </c>
      <c r="DE53">
        <v>0</v>
      </c>
      <c r="DF53">
        <v>0</v>
      </c>
      <c r="DH53" t="s">
        <v>420</v>
      </c>
      <c r="DI53" t="s">
        <v>868</v>
      </c>
      <c r="DJ53" t="s">
        <v>873</v>
      </c>
      <c r="DK53">
        <v>98</v>
      </c>
      <c r="DL53">
        <v>7</v>
      </c>
      <c r="DM53">
        <v>59.530612244899999</v>
      </c>
      <c r="DN53">
        <v>2</v>
      </c>
      <c r="DO53">
        <v>2</v>
      </c>
      <c r="DP53">
        <v>132.5</v>
      </c>
      <c r="DQ53">
        <v>132.5</v>
      </c>
    </row>
    <row r="54" spans="2:121" x14ac:dyDescent="0.2">
      <c r="F54" t="s">
        <v>51</v>
      </c>
      <c r="G54">
        <v>9243</v>
      </c>
      <c r="H54">
        <v>516.96267445629996</v>
      </c>
      <c r="I54">
        <v>4834</v>
      </c>
      <c r="J54">
        <v>813</v>
      </c>
      <c r="K54">
        <v>15025</v>
      </c>
      <c r="L54">
        <v>8264</v>
      </c>
      <c r="M54">
        <v>1016</v>
      </c>
      <c r="N54">
        <v>828</v>
      </c>
      <c r="O54">
        <v>1584</v>
      </c>
      <c r="P54">
        <v>1144</v>
      </c>
      <c r="Q54">
        <v>3</v>
      </c>
      <c r="R54">
        <v>213</v>
      </c>
      <c r="AH54" t="s">
        <v>403</v>
      </c>
      <c r="AI54">
        <v>4988</v>
      </c>
      <c r="AJ54">
        <v>242.81234963910001</v>
      </c>
      <c r="AK54">
        <v>3948</v>
      </c>
      <c r="AL54">
        <v>757</v>
      </c>
      <c r="AM54">
        <v>6740</v>
      </c>
      <c r="AN54">
        <v>4368</v>
      </c>
      <c r="AO54">
        <v>430</v>
      </c>
      <c r="AP54">
        <v>286</v>
      </c>
      <c r="AQ54">
        <v>751</v>
      </c>
      <c r="AR54">
        <v>374</v>
      </c>
      <c r="AS54">
        <v>63</v>
      </c>
      <c r="AT54">
        <v>9</v>
      </c>
      <c r="AV54" t="s">
        <v>431</v>
      </c>
      <c r="AW54">
        <v>10</v>
      </c>
      <c r="AX54">
        <v>32.299999999999997</v>
      </c>
      <c r="AY54">
        <v>9</v>
      </c>
      <c r="BA54">
        <v>16</v>
      </c>
      <c r="BB54">
        <v>2</v>
      </c>
      <c r="BC54">
        <v>0</v>
      </c>
      <c r="BE54">
        <v>0</v>
      </c>
      <c r="BG54">
        <v>20</v>
      </c>
      <c r="BH54">
        <v>3</v>
      </c>
      <c r="BJ54" t="s">
        <v>411</v>
      </c>
      <c r="BK54" t="s">
        <v>411</v>
      </c>
      <c r="BL54">
        <v>61351</v>
      </c>
      <c r="BM54">
        <v>13149</v>
      </c>
      <c r="BN54">
        <v>92.891639908100004</v>
      </c>
      <c r="BO54">
        <v>1667</v>
      </c>
      <c r="BP54">
        <v>1667</v>
      </c>
      <c r="BQ54">
        <v>117.6016796641</v>
      </c>
      <c r="BR54">
        <v>117.6016796641</v>
      </c>
      <c r="BS54">
        <v>58318</v>
      </c>
      <c r="BT54">
        <v>11164</v>
      </c>
      <c r="BU54">
        <v>88.164734730299998</v>
      </c>
      <c r="BV54">
        <v>1620</v>
      </c>
      <c r="BW54">
        <v>1620</v>
      </c>
      <c r="BX54">
        <v>115.2067901235</v>
      </c>
      <c r="BY54">
        <v>115.2067901235</v>
      </c>
      <c r="CA54" t="s">
        <v>415</v>
      </c>
      <c r="CB54" t="s">
        <v>897</v>
      </c>
      <c r="CC54" t="s">
        <v>1026</v>
      </c>
      <c r="CD54">
        <v>1562</v>
      </c>
      <c r="CE54">
        <v>328</v>
      </c>
      <c r="CF54">
        <v>85.464148527500001</v>
      </c>
      <c r="CG54">
        <v>55</v>
      </c>
      <c r="CH54">
        <v>55</v>
      </c>
      <c r="CI54">
        <v>94.145454545500002</v>
      </c>
      <c r="CJ54">
        <v>94.145454545500002</v>
      </c>
      <c r="CL54" t="s">
        <v>415</v>
      </c>
      <c r="CM54" t="s">
        <v>878</v>
      </c>
      <c r="CN54" t="s">
        <v>882</v>
      </c>
      <c r="CO54">
        <v>94</v>
      </c>
      <c r="CP54">
        <v>6</v>
      </c>
      <c r="CQ54">
        <v>45.329787234000001</v>
      </c>
      <c r="CR54">
        <v>5</v>
      </c>
      <c r="CS54">
        <v>5</v>
      </c>
      <c r="CT54">
        <v>40.6</v>
      </c>
      <c r="CU54">
        <v>40.6</v>
      </c>
      <c r="CW54" t="s">
        <v>412</v>
      </c>
      <c r="CX54" t="s">
        <v>888</v>
      </c>
      <c r="CY54" t="s">
        <v>894</v>
      </c>
      <c r="CZ54">
        <v>61</v>
      </c>
      <c r="DA54">
        <v>15</v>
      </c>
      <c r="DB54">
        <v>98.508196721299996</v>
      </c>
      <c r="DC54">
        <v>2</v>
      </c>
      <c r="DD54">
        <v>2</v>
      </c>
      <c r="DE54">
        <v>138</v>
      </c>
      <c r="DF54">
        <v>138</v>
      </c>
      <c r="DH54" t="s">
        <v>412</v>
      </c>
      <c r="DI54" t="s">
        <v>868</v>
      </c>
      <c r="DJ54" t="s">
        <v>874</v>
      </c>
      <c r="DK54">
        <v>69</v>
      </c>
      <c r="DL54">
        <v>5</v>
      </c>
      <c r="DM54">
        <v>62.028985507199998</v>
      </c>
      <c r="DN54">
        <v>0</v>
      </c>
      <c r="DO54">
        <v>0</v>
      </c>
      <c r="DP54">
        <v>0</v>
      </c>
      <c r="DQ54">
        <v>0</v>
      </c>
    </row>
    <row r="55" spans="2:121" x14ac:dyDescent="0.2">
      <c r="F55" t="s">
        <v>53</v>
      </c>
      <c r="G55">
        <v>2573</v>
      </c>
      <c r="H55">
        <v>132.8181111543</v>
      </c>
      <c r="I55">
        <v>1798</v>
      </c>
      <c r="J55">
        <v>231</v>
      </c>
      <c r="K55">
        <v>4487</v>
      </c>
      <c r="L55">
        <v>1015</v>
      </c>
      <c r="M55">
        <v>626</v>
      </c>
      <c r="N55">
        <v>468</v>
      </c>
      <c r="O55">
        <v>336</v>
      </c>
      <c r="P55">
        <v>184</v>
      </c>
      <c r="Q55">
        <v>0</v>
      </c>
      <c r="R55">
        <v>14</v>
      </c>
      <c r="AH55" t="s">
        <v>428</v>
      </c>
      <c r="AI55">
        <v>561</v>
      </c>
      <c r="AJ55">
        <v>322.7005347594</v>
      </c>
      <c r="AK55">
        <v>883</v>
      </c>
      <c r="AL55">
        <v>160</v>
      </c>
      <c r="AM55">
        <v>1014</v>
      </c>
      <c r="AN55">
        <v>504</v>
      </c>
      <c r="AO55">
        <v>163</v>
      </c>
      <c r="AP55">
        <v>129</v>
      </c>
      <c r="AQ55">
        <v>148</v>
      </c>
      <c r="AR55">
        <v>60</v>
      </c>
      <c r="AS55">
        <v>3</v>
      </c>
      <c r="AT55">
        <v>5</v>
      </c>
      <c r="AV55" t="s">
        <v>386</v>
      </c>
      <c r="AW55">
        <v>226</v>
      </c>
      <c r="AX55">
        <v>113.7256637168</v>
      </c>
      <c r="AY55">
        <v>210</v>
      </c>
      <c r="AZ55">
        <v>51</v>
      </c>
      <c r="BA55">
        <v>328</v>
      </c>
      <c r="BB55">
        <v>110</v>
      </c>
      <c r="BC55">
        <v>8</v>
      </c>
      <c r="BD55">
        <v>7</v>
      </c>
      <c r="BE55">
        <v>32</v>
      </c>
      <c r="BF55">
        <v>10</v>
      </c>
      <c r="BG55">
        <v>34</v>
      </c>
      <c r="BH55">
        <v>69</v>
      </c>
      <c r="BJ55" t="s">
        <v>602</v>
      </c>
      <c r="BK55" t="s">
        <v>411</v>
      </c>
      <c r="BL55">
        <v>5173</v>
      </c>
      <c r="BM55">
        <v>955</v>
      </c>
      <c r="BN55">
        <v>90.045621496199999</v>
      </c>
      <c r="BO55">
        <v>158</v>
      </c>
      <c r="BP55">
        <v>158</v>
      </c>
      <c r="BQ55">
        <v>125.7784810127</v>
      </c>
      <c r="BR55">
        <v>125.7784810127</v>
      </c>
      <c r="BS55">
        <v>6963</v>
      </c>
      <c r="BT55">
        <v>1448</v>
      </c>
      <c r="BU55">
        <v>100.03777107569999</v>
      </c>
      <c r="BV55">
        <v>211</v>
      </c>
      <c r="BW55">
        <v>211</v>
      </c>
      <c r="BX55">
        <v>141.76777251179999</v>
      </c>
      <c r="BY55">
        <v>141.76777251179999</v>
      </c>
      <c r="CA55" t="s">
        <v>420</v>
      </c>
      <c r="CB55" t="s">
        <v>897</v>
      </c>
      <c r="CC55" t="s">
        <v>1027</v>
      </c>
      <c r="CD55">
        <v>3827</v>
      </c>
      <c r="CE55">
        <v>1086</v>
      </c>
      <c r="CF55">
        <v>107.6519466945</v>
      </c>
      <c r="CG55">
        <v>54</v>
      </c>
      <c r="CH55">
        <v>54</v>
      </c>
      <c r="CI55">
        <v>166.4814814815</v>
      </c>
      <c r="CJ55">
        <v>166.4814814815</v>
      </c>
      <c r="CL55" t="s">
        <v>420</v>
      </c>
      <c r="CM55" t="s">
        <v>878</v>
      </c>
      <c r="CN55" t="s">
        <v>883</v>
      </c>
      <c r="CO55">
        <v>239</v>
      </c>
      <c r="CP55">
        <v>12</v>
      </c>
      <c r="CQ55">
        <v>50.786610878700003</v>
      </c>
      <c r="CR55">
        <v>15</v>
      </c>
      <c r="CS55">
        <v>15</v>
      </c>
      <c r="CT55">
        <v>63</v>
      </c>
      <c r="CU55">
        <v>63</v>
      </c>
      <c r="CW55" t="s">
        <v>416</v>
      </c>
      <c r="CX55" t="s">
        <v>888</v>
      </c>
      <c r="CY55" t="s">
        <v>895</v>
      </c>
      <c r="CZ55">
        <v>108</v>
      </c>
      <c r="DA55">
        <v>8</v>
      </c>
      <c r="DB55">
        <v>62.712962963000003</v>
      </c>
      <c r="DC55">
        <v>3</v>
      </c>
      <c r="DD55">
        <v>3</v>
      </c>
      <c r="DE55">
        <v>110.3333333333</v>
      </c>
      <c r="DF55">
        <v>110.3333333333</v>
      </c>
      <c r="DH55" t="s">
        <v>416</v>
      </c>
      <c r="DI55" t="s">
        <v>868</v>
      </c>
      <c r="DJ55" t="s">
        <v>875</v>
      </c>
      <c r="DK55">
        <v>47</v>
      </c>
      <c r="DL55">
        <v>4</v>
      </c>
      <c r="DM55">
        <v>58.1914893617</v>
      </c>
      <c r="DN55">
        <v>1</v>
      </c>
      <c r="DO55">
        <v>1</v>
      </c>
      <c r="DP55">
        <v>99</v>
      </c>
      <c r="DQ55">
        <v>99</v>
      </c>
    </row>
    <row r="56" spans="2:121" x14ac:dyDescent="0.2">
      <c r="F56" t="s">
        <v>65</v>
      </c>
      <c r="G56">
        <v>11129</v>
      </c>
      <c r="H56">
        <v>382.72657022189998</v>
      </c>
      <c r="I56">
        <v>10933</v>
      </c>
      <c r="J56">
        <v>2380</v>
      </c>
      <c r="K56">
        <v>14603</v>
      </c>
      <c r="L56">
        <v>11047</v>
      </c>
      <c r="M56">
        <v>5171</v>
      </c>
      <c r="N56">
        <v>4894</v>
      </c>
      <c r="O56">
        <v>2820</v>
      </c>
      <c r="P56">
        <v>1907</v>
      </c>
      <c r="Q56">
        <v>0</v>
      </c>
      <c r="R56">
        <v>45</v>
      </c>
      <c r="BJ56" t="s">
        <v>610</v>
      </c>
      <c r="BK56" t="s">
        <v>411</v>
      </c>
      <c r="BL56">
        <v>4970</v>
      </c>
      <c r="BM56">
        <v>1525</v>
      </c>
      <c r="BN56">
        <v>106.67122736420001</v>
      </c>
      <c r="BO56">
        <v>120</v>
      </c>
      <c r="BP56">
        <v>120</v>
      </c>
      <c r="BQ56">
        <v>150.0416666667</v>
      </c>
      <c r="BR56">
        <v>150.0416666667</v>
      </c>
      <c r="BS56">
        <v>4646</v>
      </c>
      <c r="BT56">
        <v>1246</v>
      </c>
      <c r="BU56">
        <v>103.2089969867</v>
      </c>
      <c r="BV56">
        <v>114</v>
      </c>
      <c r="BW56">
        <v>114</v>
      </c>
      <c r="BX56">
        <v>148.51754385960001</v>
      </c>
      <c r="BY56">
        <v>148.51754385960001</v>
      </c>
      <c r="CA56" t="s">
        <v>412</v>
      </c>
      <c r="CB56" t="s">
        <v>897</v>
      </c>
      <c r="CC56" t="s">
        <v>1028</v>
      </c>
      <c r="CD56">
        <v>3013</v>
      </c>
      <c r="CE56">
        <v>674</v>
      </c>
      <c r="CF56">
        <v>97.982741453700001</v>
      </c>
      <c r="CG56">
        <v>36</v>
      </c>
      <c r="CH56">
        <v>36</v>
      </c>
      <c r="CI56">
        <v>183.0277777778</v>
      </c>
      <c r="CJ56">
        <v>183.0277777778</v>
      </c>
      <c r="CL56" t="s">
        <v>412</v>
      </c>
      <c r="CM56" t="s">
        <v>878</v>
      </c>
      <c r="CN56" t="s">
        <v>884</v>
      </c>
      <c r="CO56">
        <v>167</v>
      </c>
      <c r="CP56">
        <v>14</v>
      </c>
      <c r="CQ56">
        <v>54.970059880199997</v>
      </c>
      <c r="CR56">
        <v>9</v>
      </c>
      <c r="CS56">
        <v>9</v>
      </c>
      <c r="CT56">
        <v>32.111111111100001</v>
      </c>
      <c r="CU56">
        <v>32.111111111100001</v>
      </c>
      <c r="CW56" t="s">
        <v>83</v>
      </c>
      <c r="CX56" t="s">
        <v>888</v>
      </c>
      <c r="CY56" t="s">
        <v>896</v>
      </c>
      <c r="CZ56">
        <v>285</v>
      </c>
      <c r="DA56">
        <v>13</v>
      </c>
      <c r="DB56">
        <v>51.480701754400002</v>
      </c>
      <c r="DC56">
        <v>4</v>
      </c>
      <c r="DD56">
        <v>4</v>
      </c>
      <c r="DE56">
        <v>164.5</v>
      </c>
      <c r="DF56">
        <v>164.5</v>
      </c>
      <c r="DH56" t="s">
        <v>83</v>
      </c>
      <c r="DI56" t="s">
        <v>868</v>
      </c>
      <c r="DJ56" t="s">
        <v>876</v>
      </c>
      <c r="DK56">
        <v>526</v>
      </c>
      <c r="DL56">
        <v>29</v>
      </c>
      <c r="DM56">
        <v>54.258555133100003</v>
      </c>
      <c r="DN56">
        <v>11</v>
      </c>
      <c r="DO56">
        <v>11</v>
      </c>
      <c r="DP56">
        <v>115.45454545450001</v>
      </c>
      <c r="DQ56">
        <v>115.45454545450001</v>
      </c>
    </row>
    <row r="57" spans="2:121" x14ac:dyDescent="0.2">
      <c r="F57" t="s">
        <v>67</v>
      </c>
      <c r="G57">
        <v>5068</v>
      </c>
      <c r="H57">
        <v>261.59944751379999</v>
      </c>
      <c r="I57">
        <v>4931</v>
      </c>
      <c r="J57">
        <v>880</v>
      </c>
      <c r="K57">
        <v>6085</v>
      </c>
      <c r="L57">
        <v>3579</v>
      </c>
      <c r="M57">
        <v>288</v>
      </c>
      <c r="N57">
        <v>208</v>
      </c>
      <c r="O57">
        <v>2376</v>
      </c>
      <c r="P57">
        <v>1832</v>
      </c>
      <c r="Q57">
        <v>2</v>
      </c>
      <c r="R57">
        <v>69</v>
      </c>
      <c r="BJ57" t="s">
        <v>618</v>
      </c>
      <c r="BK57" t="s">
        <v>411</v>
      </c>
      <c r="BL57">
        <v>3622</v>
      </c>
      <c r="BM57">
        <v>1027</v>
      </c>
      <c r="BN57">
        <v>106.1739370514</v>
      </c>
      <c r="BO57">
        <v>51</v>
      </c>
      <c r="BP57">
        <v>51</v>
      </c>
      <c r="BQ57">
        <v>172.2156862745</v>
      </c>
      <c r="BR57">
        <v>172.2156862745</v>
      </c>
      <c r="BS57">
        <v>2907</v>
      </c>
      <c r="BT57">
        <v>445</v>
      </c>
      <c r="BU57">
        <v>82.000687994499998</v>
      </c>
      <c r="BV57">
        <v>39</v>
      </c>
      <c r="BW57">
        <v>39</v>
      </c>
      <c r="BX57">
        <v>150.71794871789999</v>
      </c>
      <c r="BY57">
        <v>150.71794871789999</v>
      </c>
      <c r="CA57" t="s">
        <v>416</v>
      </c>
      <c r="CB57" t="s">
        <v>897</v>
      </c>
      <c r="CC57" t="s">
        <v>1029</v>
      </c>
      <c r="CD57">
        <v>4995</v>
      </c>
      <c r="CE57">
        <v>1509</v>
      </c>
      <c r="CF57">
        <v>106.5565565566</v>
      </c>
      <c r="CG57">
        <v>127</v>
      </c>
      <c r="CH57">
        <v>127</v>
      </c>
      <c r="CI57">
        <v>153.77952755909999</v>
      </c>
      <c r="CJ57">
        <v>153.77952755909999</v>
      </c>
      <c r="CL57" t="s">
        <v>416</v>
      </c>
      <c r="CM57" t="s">
        <v>878</v>
      </c>
      <c r="CN57" t="s">
        <v>885</v>
      </c>
      <c r="CO57">
        <v>367</v>
      </c>
      <c r="CP57">
        <v>22</v>
      </c>
      <c r="CQ57">
        <v>55.326975476800001</v>
      </c>
      <c r="CR57">
        <v>17</v>
      </c>
      <c r="CS57">
        <v>17</v>
      </c>
      <c r="CT57">
        <v>57</v>
      </c>
      <c r="CU57">
        <v>57</v>
      </c>
      <c r="CW57" t="s">
        <v>411</v>
      </c>
      <c r="CX57" t="s">
        <v>888</v>
      </c>
      <c r="CZ57">
        <v>2298</v>
      </c>
      <c r="DA57">
        <v>179</v>
      </c>
      <c r="DB57">
        <v>61.964751958199997</v>
      </c>
      <c r="DC57">
        <v>43</v>
      </c>
      <c r="DD57">
        <v>43</v>
      </c>
      <c r="DE57">
        <v>108.4651162791</v>
      </c>
      <c r="DF57">
        <v>108.4651162791</v>
      </c>
      <c r="DH57" t="s">
        <v>411</v>
      </c>
      <c r="DI57" t="s">
        <v>868</v>
      </c>
      <c r="DK57">
        <v>1919</v>
      </c>
      <c r="DL57">
        <v>108</v>
      </c>
      <c r="DM57">
        <v>57.966649296500002</v>
      </c>
      <c r="DN57">
        <v>34</v>
      </c>
      <c r="DO57">
        <v>34</v>
      </c>
      <c r="DP57">
        <v>115.29411764709999</v>
      </c>
      <c r="DQ57">
        <v>115.29411764709999</v>
      </c>
    </row>
    <row r="58" spans="2:121" x14ac:dyDescent="0.2">
      <c r="F58" t="s">
        <v>57</v>
      </c>
      <c r="G58">
        <v>1633</v>
      </c>
      <c r="H58">
        <v>381.00061236990001</v>
      </c>
      <c r="I58">
        <v>1153</v>
      </c>
      <c r="J58">
        <v>237</v>
      </c>
      <c r="K58">
        <v>2062</v>
      </c>
      <c r="L58">
        <v>1458</v>
      </c>
      <c r="M58">
        <v>503</v>
      </c>
      <c r="N58">
        <v>479</v>
      </c>
      <c r="O58">
        <v>92</v>
      </c>
      <c r="P58">
        <v>67</v>
      </c>
      <c r="Q58">
        <v>0</v>
      </c>
      <c r="R58">
        <v>1</v>
      </c>
      <c r="BJ58" t="s">
        <v>631</v>
      </c>
      <c r="BK58" t="s">
        <v>411</v>
      </c>
      <c r="BL58">
        <v>10231</v>
      </c>
      <c r="BM58">
        <v>1671</v>
      </c>
      <c r="BN58">
        <v>81.601016518400002</v>
      </c>
      <c r="BO58">
        <v>193</v>
      </c>
      <c r="BP58">
        <v>193</v>
      </c>
      <c r="BQ58">
        <v>135.74093264250001</v>
      </c>
      <c r="BR58">
        <v>135.74093264250001</v>
      </c>
      <c r="BS58">
        <v>10684</v>
      </c>
      <c r="BT58">
        <v>2436</v>
      </c>
      <c r="BU58">
        <v>93.473979782900003</v>
      </c>
      <c r="BV58">
        <v>239</v>
      </c>
      <c r="BW58">
        <v>239</v>
      </c>
      <c r="BX58">
        <v>150.5774058577</v>
      </c>
      <c r="BY58">
        <v>150.5774058577</v>
      </c>
      <c r="CA58" t="s">
        <v>83</v>
      </c>
      <c r="CB58" t="s">
        <v>897</v>
      </c>
      <c r="CC58" t="s">
        <v>1030</v>
      </c>
      <c r="CD58">
        <v>6395</v>
      </c>
      <c r="CE58">
        <v>1378</v>
      </c>
      <c r="CF58">
        <v>95.671931196200006</v>
      </c>
      <c r="CG58">
        <v>238</v>
      </c>
      <c r="CH58">
        <v>238</v>
      </c>
      <c r="CI58">
        <v>109.6134453782</v>
      </c>
      <c r="CJ58">
        <v>109.6134453782</v>
      </c>
      <c r="CL58" t="s">
        <v>83</v>
      </c>
      <c r="CM58" t="s">
        <v>878</v>
      </c>
      <c r="CN58" t="s">
        <v>886</v>
      </c>
      <c r="CO58">
        <v>532</v>
      </c>
      <c r="CP58">
        <v>34</v>
      </c>
      <c r="CQ58">
        <v>54.171052631599999</v>
      </c>
      <c r="CR58">
        <v>23</v>
      </c>
      <c r="CS58">
        <v>23</v>
      </c>
      <c r="CT58">
        <v>68</v>
      </c>
      <c r="CU58">
        <v>68</v>
      </c>
      <c r="CW58" t="s">
        <v>395</v>
      </c>
      <c r="CX58" t="s">
        <v>915</v>
      </c>
      <c r="CY58" t="s">
        <v>914</v>
      </c>
      <c r="CZ58">
        <v>191</v>
      </c>
      <c r="DA58">
        <v>16</v>
      </c>
      <c r="DB58">
        <v>60.371727748700003</v>
      </c>
      <c r="DC58">
        <v>2</v>
      </c>
      <c r="DD58">
        <v>2</v>
      </c>
      <c r="DE58">
        <v>153.5</v>
      </c>
      <c r="DF58">
        <v>153.5</v>
      </c>
      <c r="DH58" t="s">
        <v>395</v>
      </c>
      <c r="DI58" t="s">
        <v>899</v>
      </c>
      <c r="DJ58" t="s">
        <v>898</v>
      </c>
      <c r="DK58">
        <v>201</v>
      </c>
      <c r="DL58">
        <v>15</v>
      </c>
      <c r="DM58">
        <v>70.940298507500003</v>
      </c>
      <c r="DN58">
        <v>2</v>
      </c>
      <c r="DO58">
        <v>2</v>
      </c>
      <c r="DP58">
        <v>119.5</v>
      </c>
      <c r="DQ58">
        <v>119.5</v>
      </c>
    </row>
    <row r="59" spans="2:121" x14ac:dyDescent="0.2">
      <c r="F59" t="s">
        <v>49</v>
      </c>
      <c r="G59">
        <v>13580</v>
      </c>
      <c r="H59">
        <v>343.49521354929999</v>
      </c>
      <c r="I59">
        <v>17184</v>
      </c>
      <c r="J59">
        <v>3947</v>
      </c>
      <c r="K59">
        <v>17931</v>
      </c>
      <c r="L59">
        <v>12300</v>
      </c>
      <c r="M59">
        <v>1860</v>
      </c>
      <c r="N59">
        <v>1491</v>
      </c>
      <c r="O59">
        <v>3080</v>
      </c>
      <c r="P59">
        <v>2292</v>
      </c>
      <c r="Q59">
        <v>0</v>
      </c>
      <c r="R59">
        <v>241</v>
      </c>
      <c r="BJ59" t="s">
        <v>604</v>
      </c>
      <c r="BK59" t="s">
        <v>411</v>
      </c>
      <c r="BL59">
        <v>7787</v>
      </c>
      <c r="BM59">
        <v>1390</v>
      </c>
      <c r="BN59">
        <v>83.0150250417</v>
      </c>
      <c r="BO59">
        <v>530</v>
      </c>
      <c r="BP59">
        <v>530</v>
      </c>
      <c r="BQ59">
        <v>62.492452830200001</v>
      </c>
      <c r="BR59">
        <v>62.492452830200001</v>
      </c>
      <c r="BS59">
        <v>7513</v>
      </c>
      <c r="BT59">
        <v>1242</v>
      </c>
      <c r="BU59">
        <v>76.783175828599994</v>
      </c>
      <c r="BV59">
        <v>526</v>
      </c>
      <c r="BW59">
        <v>526</v>
      </c>
      <c r="BX59">
        <v>60.431558935399998</v>
      </c>
      <c r="BY59">
        <v>60.431558935399998</v>
      </c>
      <c r="CA59" t="s">
        <v>411</v>
      </c>
      <c r="CB59" t="s">
        <v>897</v>
      </c>
      <c r="CD59">
        <v>59326</v>
      </c>
      <c r="CE59">
        <v>12979</v>
      </c>
      <c r="CF59">
        <v>95.254003303800005</v>
      </c>
      <c r="CG59">
        <v>1427</v>
      </c>
      <c r="CH59">
        <v>1427</v>
      </c>
      <c r="CI59">
        <v>137.40784863350001</v>
      </c>
      <c r="CJ59">
        <v>137.40784863350001</v>
      </c>
      <c r="CL59" t="s">
        <v>411</v>
      </c>
      <c r="CM59" t="s">
        <v>878</v>
      </c>
      <c r="CO59">
        <v>4344</v>
      </c>
      <c r="CP59">
        <v>224</v>
      </c>
      <c r="CQ59">
        <v>50.946593001799997</v>
      </c>
      <c r="CR59">
        <v>201</v>
      </c>
      <c r="CS59">
        <v>201</v>
      </c>
      <c r="CT59">
        <v>56.900497512400001</v>
      </c>
      <c r="CU59">
        <v>56.900497512400001</v>
      </c>
      <c r="CW59" t="s">
        <v>432</v>
      </c>
      <c r="CX59" t="s">
        <v>915</v>
      </c>
      <c r="CY59" t="s">
        <v>916</v>
      </c>
      <c r="CZ59">
        <v>805</v>
      </c>
      <c r="DA59">
        <v>68</v>
      </c>
      <c r="DB59">
        <v>67.636024844700003</v>
      </c>
      <c r="DC59">
        <v>12</v>
      </c>
      <c r="DD59">
        <v>12</v>
      </c>
      <c r="DE59">
        <v>158.1666666667</v>
      </c>
      <c r="DF59">
        <v>158.1666666667</v>
      </c>
      <c r="DH59" t="s">
        <v>432</v>
      </c>
      <c r="DI59" t="s">
        <v>899</v>
      </c>
      <c r="DJ59" t="s">
        <v>900</v>
      </c>
      <c r="DK59">
        <v>1068</v>
      </c>
      <c r="DL59">
        <v>78</v>
      </c>
      <c r="DM59">
        <v>66.391385767800003</v>
      </c>
      <c r="DN59">
        <v>27</v>
      </c>
      <c r="DO59">
        <v>27</v>
      </c>
      <c r="DP59">
        <v>129.85185185189999</v>
      </c>
      <c r="DQ59">
        <v>129.85185185189999</v>
      </c>
    </row>
    <row r="60" spans="2:121" x14ac:dyDescent="0.2">
      <c r="F60" t="s">
        <v>141</v>
      </c>
      <c r="G60">
        <v>406</v>
      </c>
      <c r="H60">
        <v>353.19458128079998</v>
      </c>
      <c r="I60">
        <v>366</v>
      </c>
      <c r="J60">
        <v>77</v>
      </c>
      <c r="K60">
        <v>555</v>
      </c>
      <c r="L60">
        <v>388</v>
      </c>
      <c r="M60">
        <v>66</v>
      </c>
      <c r="N60">
        <v>56</v>
      </c>
      <c r="O60">
        <v>77</v>
      </c>
      <c r="P60">
        <v>56</v>
      </c>
      <c r="Q60">
        <v>0</v>
      </c>
      <c r="R60">
        <v>1</v>
      </c>
      <c r="BJ60" t="s">
        <v>546</v>
      </c>
      <c r="BK60" t="s">
        <v>387</v>
      </c>
      <c r="BL60">
        <v>17042</v>
      </c>
      <c r="BM60">
        <v>3311</v>
      </c>
      <c r="BN60">
        <v>91.995657786600006</v>
      </c>
      <c r="BO60">
        <v>363</v>
      </c>
      <c r="BP60">
        <v>363</v>
      </c>
      <c r="BQ60">
        <v>161.54820936639999</v>
      </c>
      <c r="BR60">
        <v>161.54820936639999</v>
      </c>
      <c r="BS60">
        <v>16453</v>
      </c>
      <c r="BT60">
        <v>2685</v>
      </c>
      <c r="BU60">
        <v>85.354828906600005</v>
      </c>
      <c r="BV60">
        <v>333</v>
      </c>
      <c r="BW60">
        <v>333</v>
      </c>
      <c r="BX60">
        <v>149.9159159159</v>
      </c>
      <c r="BY60">
        <v>149.9159159159</v>
      </c>
      <c r="CA60" t="s">
        <v>395</v>
      </c>
      <c r="CB60" t="s">
        <v>922</v>
      </c>
      <c r="CC60" t="s">
        <v>1031</v>
      </c>
      <c r="CD60">
        <v>7839</v>
      </c>
      <c r="CE60">
        <v>1032</v>
      </c>
      <c r="CF60">
        <v>85.777267508600005</v>
      </c>
      <c r="CG60">
        <v>180</v>
      </c>
      <c r="CH60">
        <v>180</v>
      </c>
      <c r="CI60">
        <v>133.51111111110001</v>
      </c>
      <c r="CJ60">
        <v>133.51111111110001</v>
      </c>
      <c r="CL60" t="s">
        <v>395</v>
      </c>
      <c r="CM60" t="s">
        <v>907</v>
      </c>
      <c r="CN60" t="s">
        <v>906</v>
      </c>
      <c r="CO60">
        <v>656</v>
      </c>
      <c r="CP60">
        <v>43</v>
      </c>
      <c r="CQ60">
        <v>52.076219512199998</v>
      </c>
      <c r="CR60">
        <v>15</v>
      </c>
      <c r="CS60">
        <v>15</v>
      </c>
      <c r="CT60">
        <v>41.4</v>
      </c>
      <c r="CU60">
        <v>41.4</v>
      </c>
      <c r="CW60" t="s">
        <v>388</v>
      </c>
      <c r="CX60" t="s">
        <v>915</v>
      </c>
      <c r="CY60" t="s">
        <v>917</v>
      </c>
      <c r="CZ60">
        <v>462</v>
      </c>
      <c r="DA60">
        <v>57</v>
      </c>
      <c r="DB60">
        <v>72.675324675300004</v>
      </c>
      <c r="DC60">
        <v>8</v>
      </c>
      <c r="DD60">
        <v>8</v>
      </c>
      <c r="DE60">
        <v>176.75</v>
      </c>
      <c r="DF60">
        <v>176.75</v>
      </c>
      <c r="DH60" t="s">
        <v>388</v>
      </c>
      <c r="DI60" t="s">
        <v>899</v>
      </c>
      <c r="DJ60" t="s">
        <v>901</v>
      </c>
      <c r="DK60">
        <v>573</v>
      </c>
      <c r="DL60">
        <v>40</v>
      </c>
      <c r="DM60">
        <v>66.153577661400007</v>
      </c>
      <c r="DN60">
        <v>12</v>
      </c>
      <c r="DO60">
        <v>12</v>
      </c>
      <c r="DP60">
        <v>141.8333333333</v>
      </c>
      <c r="DQ60">
        <v>141.8333333333</v>
      </c>
    </row>
    <row r="61" spans="2:121" x14ac:dyDescent="0.2">
      <c r="F61" t="s">
        <v>59</v>
      </c>
      <c r="G61">
        <v>6740</v>
      </c>
      <c r="H61">
        <v>235.4857566766</v>
      </c>
      <c r="I61">
        <v>6028</v>
      </c>
      <c r="J61">
        <v>1010</v>
      </c>
      <c r="K61">
        <v>8923</v>
      </c>
      <c r="L61">
        <v>5111</v>
      </c>
      <c r="M61">
        <v>418</v>
      </c>
      <c r="N61">
        <v>239</v>
      </c>
      <c r="O61">
        <v>452</v>
      </c>
      <c r="P61">
        <v>167</v>
      </c>
      <c r="Q61">
        <v>1089</v>
      </c>
      <c r="R61">
        <v>0</v>
      </c>
      <c r="BJ61" t="s">
        <v>554</v>
      </c>
      <c r="BK61" t="s">
        <v>387</v>
      </c>
      <c r="BL61">
        <v>8696</v>
      </c>
      <c r="BM61">
        <v>1950</v>
      </c>
      <c r="BN61">
        <v>96.743100276000007</v>
      </c>
      <c r="BO61">
        <v>249</v>
      </c>
      <c r="BP61">
        <v>249</v>
      </c>
      <c r="BQ61">
        <v>145.00803212849999</v>
      </c>
      <c r="BR61">
        <v>145.00803212849999</v>
      </c>
      <c r="BS61">
        <v>8599</v>
      </c>
      <c r="BT61">
        <v>2011</v>
      </c>
      <c r="BU61">
        <v>98.485288987100006</v>
      </c>
      <c r="BV61">
        <v>245</v>
      </c>
      <c r="BW61">
        <v>245</v>
      </c>
      <c r="BX61">
        <v>148.23673469389999</v>
      </c>
      <c r="BY61">
        <v>148.23673469389999</v>
      </c>
      <c r="CA61" t="s">
        <v>432</v>
      </c>
      <c r="CB61" t="s">
        <v>922</v>
      </c>
      <c r="CC61" t="s">
        <v>1032</v>
      </c>
      <c r="CD61">
        <v>22741</v>
      </c>
      <c r="CE61">
        <v>5966</v>
      </c>
      <c r="CF61">
        <v>108.08966184419999</v>
      </c>
      <c r="CG61">
        <v>475</v>
      </c>
      <c r="CH61">
        <v>475</v>
      </c>
      <c r="CI61">
        <v>153.78105263160001</v>
      </c>
      <c r="CJ61">
        <v>153.78105263160001</v>
      </c>
      <c r="CL61" t="s">
        <v>432</v>
      </c>
      <c r="CM61" t="s">
        <v>907</v>
      </c>
      <c r="CN61" t="s">
        <v>908</v>
      </c>
      <c r="CO61">
        <v>1389</v>
      </c>
      <c r="CP61">
        <v>128</v>
      </c>
      <c r="CQ61">
        <v>66.609071274300007</v>
      </c>
      <c r="CR61">
        <v>49</v>
      </c>
      <c r="CS61">
        <v>49</v>
      </c>
      <c r="CT61">
        <v>54.020408163299997</v>
      </c>
      <c r="CU61">
        <v>54.020408163299997</v>
      </c>
      <c r="CW61" t="s">
        <v>400</v>
      </c>
      <c r="CX61" t="s">
        <v>915</v>
      </c>
      <c r="CY61" t="s">
        <v>918</v>
      </c>
      <c r="CZ61">
        <v>93</v>
      </c>
      <c r="DA61">
        <v>8</v>
      </c>
      <c r="DB61">
        <v>66.559139784899997</v>
      </c>
      <c r="DC61">
        <v>2</v>
      </c>
      <c r="DD61">
        <v>2</v>
      </c>
      <c r="DE61">
        <v>99.5</v>
      </c>
      <c r="DF61">
        <v>99.5</v>
      </c>
      <c r="DH61" t="s">
        <v>400</v>
      </c>
      <c r="DI61" t="s">
        <v>899</v>
      </c>
      <c r="DJ61" t="s">
        <v>902</v>
      </c>
      <c r="DK61">
        <v>178</v>
      </c>
      <c r="DL61">
        <v>11</v>
      </c>
      <c r="DM61">
        <v>61.960674157299998</v>
      </c>
      <c r="DN61">
        <v>2</v>
      </c>
      <c r="DO61">
        <v>2</v>
      </c>
      <c r="DP61">
        <v>111</v>
      </c>
      <c r="DQ61">
        <v>111</v>
      </c>
    </row>
    <row r="62" spans="2:121" x14ac:dyDescent="0.2">
      <c r="BJ62" t="s">
        <v>570</v>
      </c>
      <c r="BK62" t="s">
        <v>387</v>
      </c>
      <c r="BL62">
        <v>6464</v>
      </c>
      <c r="BM62">
        <v>2311</v>
      </c>
      <c r="BN62">
        <v>145.56698638610001</v>
      </c>
      <c r="BO62">
        <v>143</v>
      </c>
      <c r="BP62">
        <v>143</v>
      </c>
      <c r="BQ62">
        <v>161.25174825170001</v>
      </c>
      <c r="BR62">
        <v>161.25174825170001</v>
      </c>
      <c r="BS62">
        <v>7103</v>
      </c>
      <c r="BT62">
        <v>2674</v>
      </c>
      <c r="BU62">
        <v>145.89159510069999</v>
      </c>
      <c r="BV62">
        <v>149</v>
      </c>
      <c r="BW62">
        <v>149</v>
      </c>
      <c r="BX62">
        <v>164.7046979866</v>
      </c>
      <c r="BY62">
        <v>164.7046979866</v>
      </c>
      <c r="CA62" t="s">
        <v>388</v>
      </c>
      <c r="CB62" t="s">
        <v>922</v>
      </c>
      <c r="CC62" t="s">
        <v>1033</v>
      </c>
      <c r="CD62">
        <v>17798</v>
      </c>
      <c r="CE62">
        <v>3433</v>
      </c>
      <c r="CF62">
        <v>92.105686032099996</v>
      </c>
      <c r="CG62">
        <v>414</v>
      </c>
      <c r="CH62">
        <v>414</v>
      </c>
      <c r="CI62">
        <v>149.09178743960001</v>
      </c>
      <c r="CJ62">
        <v>149.09178743960001</v>
      </c>
      <c r="CL62" t="s">
        <v>388</v>
      </c>
      <c r="CM62" t="s">
        <v>907</v>
      </c>
      <c r="CN62" t="s">
        <v>909</v>
      </c>
      <c r="CO62">
        <v>693</v>
      </c>
      <c r="CP62">
        <v>86</v>
      </c>
      <c r="CQ62">
        <v>77.246753246799997</v>
      </c>
      <c r="CR62">
        <v>32</v>
      </c>
      <c r="CS62">
        <v>32</v>
      </c>
      <c r="CT62">
        <v>58.1875</v>
      </c>
      <c r="CU62">
        <v>58.1875</v>
      </c>
      <c r="CW62" t="s">
        <v>434</v>
      </c>
      <c r="CX62" t="s">
        <v>915</v>
      </c>
      <c r="CY62" t="s">
        <v>919</v>
      </c>
      <c r="CZ62">
        <v>19</v>
      </c>
      <c r="DA62">
        <v>1</v>
      </c>
      <c r="DB62">
        <v>42.684210526299999</v>
      </c>
      <c r="DC62">
        <v>0</v>
      </c>
      <c r="DD62">
        <v>0</v>
      </c>
      <c r="DE62">
        <v>0</v>
      </c>
      <c r="DF62">
        <v>0</v>
      </c>
      <c r="DH62" t="s">
        <v>434</v>
      </c>
      <c r="DI62" t="s">
        <v>899</v>
      </c>
      <c r="DJ62" t="s">
        <v>903</v>
      </c>
      <c r="DK62">
        <v>15</v>
      </c>
      <c r="DL62">
        <v>1</v>
      </c>
      <c r="DM62">
        <v>60</v>
      </c>
      <c r="DN62">
        <v>0</v>
      </c>
      <c r="DO62">
        <v>0</v>
      </c>
      <c r="DP62">
        <v>0</v>
      </c>
      <c r="DQ62">
        <v>0</v>
      </c>
    </row>
    <row r="63" spans="2:121" x14ac:dyDescent="0.2">
      <c r="BJ63" t="s">
        <v>560</v>
      </c>
      <c r="BK63" t="s">
        <v>387</v>
      </c>
      <c r="BL63">
        <v>7738</v>
      </c>
      <c r="BM63">
        <v>882</v>
      </c>
      <c r="BN63">
        <v>81.370250710799993</v>
      </c>
      <c r="BO63">
        <v>173</v>
      </c>
      <c r="BP63">
        <v>173</v>
      </c>
      <c r="BQ63">
        <v>136.1040462428</v>
      </c>
      <c r="BR63">
        <v>136.1040462428</v>
      </c>
      <c r="BS63">
        <v>7613</v>
      </c>
      <c r="BT63">
        <v>699</v>
      </c>
      <c r="BU63">
        <v>76.661500065699997</v>
      </c>
      <c r="BV63">
        <v>175</v>
      </c>
      <c r="BW63">
        <v>175</v>
      </c>
      <c r="BX63">
        <v>133.68</v>
      </c>
      <c r="BY63">
        <v>133.68</v>
      </c>
      <c r="CA63" t="s">
        <v>400</v>
      </c>
      <c r="CB63" t="s">
        <v>922</v>
      </c>
      <c r="CC63" t="s">
        <v>1034</v>
      </c>
      <c r="CD63">
        <v>4520</v>
      </c>
      <c r="CE63">
        <v>838</v>
      </c>
      <c r="CF63">
        <v>96.6139380531</v>
      </c>
      <c r="CG63">
        <v>138</v>
      </c>
      <c r="CH63">
        <v>138</v>
      </c>
      <c r="CI63">
        <v>130.8405797101</v>
      </c>
      <c r="CJ63">
        <v>130.8405797101</v>
      </c>
      <c r="CL63" t="s">
        <v>400</v>
      </c>
      <c r="CM63" t="s">
        <v>907</v>
      </c>
      <c r="CN63" t="s">
        <v>910</v>
      </c>
      <c r="CO63">
        <v>365</v>
      </c>
      <c r="CP63">
        <v>34</v>
      </c>
      <c r="CQ63">
        <v>61.9506849315</v>
      </c>
      <c r="CR63">
        <v>2</v>
      </c>
      <c r="CS63">
        <v>2</v>
      </c>
      <c r="CT63">
        <v>57.5</v>
      </c>
      <c r="CU63">
        <v>57.5</v>
      </c>
      <c r="CW63" t="s">
        <v>390</v>
      </c>
      <c r="CX63" t="s">
        <v>915</v>
      </c>
      <c r="CY63" t="s">
        <v>920</v>
      </c>
      <c r="CZ63">
        <v>271</v>
      </c>
      <c r="DA63">
        <v>21</v>
      </c>
      <c r="DB63">
        <v>70.560885608899994</v>
      </c>
      <c r="DC63">
        <v>3</v>
      </c>
      <c r="DD63">
        <v>3</v>
      </c>
      <c r="DE63">
        <v>126.3333333333</v>
      </c>
      <c r="DF63">
        <v>126.3333333333</v>
      </c>
      <c r="DH63" t="s">
        <v>390</v>
      </c>
      <c r="DI63" t="s">
        <v>899</v>
      </c>
      <c r="DJ63" t="s">
        <v>904</v>
      </c>
      <c r="DK63">
        <v>285</v>
      </c>
      <c r="DL63">
        <v>22</v>
      </c>
      <c r="DM63">
        <v>61.4035087719</v>
      </c>
      <c r="DN63">
        <v>2</v>
      </c>
      <c r="DO63">
        <v>2</v>
      </c>
      <c r="DP63">
        <v>121</v>
      </c>
      <c r="DQ63">
        <v>121</v>
      </c>
    </row>
    <row r="64" spans="2:121" x14ac:dyDescent="0.2">
      <c r="BJ64" t="s">
        <v>556</v>
      </c>
      <c r="BK64" t="s">
        <v>387</v>
      </c>
      <c r="BL64">
        <v>9539</v>
      </c>
      <c r="BM64">
        <v>1865</v>
      </c>
      <c r="BN64">
        <v>87.721878603600004</v>
      </c>
      <c r="BO64">
        <v>304</v>
      </c>
      <c r="BP64">
        <v>304</v>
      </c>
      <c r="BQ64">
        <v>106.3881578947</v>
      </c>
      <c r="BR64">
        <v>106.3881578947</v>
      </c>
      <c r="BS64">
        <v>9783</v>
      </c>
      <c r="BT64">
        <v>2190</v>
      </c>
      <c r="BU64">
        <v>96.930389451099998</v>
      </c>
      <c r="BV64">
        <v>319</v>
      </c>
      <c r="BW64">
        <v>319</v>
      </c>
      <c r="BX64">
        <v>121.73354231970001</v>
      </c>
      <c r="BY64">
        <v>121.73354231970001</v>
      </c>
      <c r="CA64" t="s">
        <v>434</v>
      </c>
      <c r="CB64" t="s">
        <v>922</v>
      </c>
      <c r="CC64" t="s">
        <v>1035</v>
      </c>
      <c r="CD64">
        <v>2956</v>
      </c>
      <c r="CE64">
        <v>632</v>
      </c>
      <c r="CF64">
        <v>101.1065629229</v>
      </c>
      <c r="CG64">
        <v>41</v>
      </c>
      <c r="CH64">
        <v>41</v>
      </c>
      <c r="CI64">
        <v>145.8780487805</v>
      </c>
      <c r="CJ64">
        <v>145.8780487805</v>
      </c>
      <c r="CL64" t="s">
        <v>434</v>
      </c>
      <c r="CM64" t="s">
        <v>907</v>
      </c>
      <c r="CN64" t="s">
        <v>911</v>
      </c>
      <c r="CO64">
        <v>258</v>
      </c>
      <c r="CP64">
        <v>36</v>
      </c>
      <c r="CQ64">
        <v>77.236434108500006</v>
      </c>
      <c r="CR64">
        <v>10</v>
      </c>
      <c r="CS64">
        <v>10</v>
      </c>
      <c r="CT64">
        <v>68.7</v>
      </c>
      <c r="CU64">
        <v>68.7</v>
      </c>
      <c r="CW64" t="s">
        <v>391</v>
      </c>
      <c r="CX64" t="s">
        <v>915</v>
      </c>
      <c r="CY64" t="s">
        <v>921</v>
      </c>
      <c r="CZ64">
        <v>231</v>
      </c>
      <c r="DA64">
        <v>20</v>
      </c>
      <c r="DB64">
        <v>67.385281385300004</v>
      </c>
      <c r="DC64">
        <v>3</v>
      </c>
      <c r="DD64">
        <v>3</v>
      </c>
      <c r="DE64">
        <v>185.3333333333</v>
      </c>
      <c r="DF64">
        <v>185.3333333333</v>
      </c>
      <c r="DH64" t="s">
        <v>391</v>
      </c>
      <c r="DI64" t="s">
        <v>899</v>
      </c>
      <c r="DJ64" t="s">
        <v>905</v>
      </c>
      <c r="DK64">
        <v>458</v>
      </c>
      <c r="DL64">
        <v>35</v>
      </c>
      <c r="DM64">
        <v>62.910480349300002</v>
      </c>
      <c r="DN64">
        <v>12</v>
      </c>
      <c r="DO64">
        <v>12</v>
      </c>
      <c r="DP64">
        <v>137.3333333333</v>
      </c>
      <c r="DQ64">
        <v>137.3333333333</v>
      </c>
    </row>
    <row r="65" spans="62:121" x14ac:dyDescent="0.2">
      <c r="BJ65" t="s">
        <v>620</v>
      </c>
      <c r="BK65" t="s">
        <v>387</v>
      </c>
      <c r="BL65">
        <v>2978</v>
      </c>
      <c r="BM65">
        <v>648</v>
      </c>
      <c r="BN65">
        <v>100.67662860980001</v>
      </c>
      <c r="BO65">
        <v>44</v>
      </c>
      <c r="BP65">
        <v>44</v>
      </c>
      <c r="BQ65">
        <v>146.5681818182</v>
      </c>
      <c r="BR65">
        <v>146.5681818182</v>
      </c>
      <c r="BS65">
        <v>3205</v>
      </c>
      <c r="BT65">
        <v>879</v>
      </c>
      <c r="BU65">
        <v>117.45023400940001</v>
      </c>
      <c r="BV65">
        <v>52</v>
      </c>
      <c r="BW65">
        <v>52</v>
      </c>
      <c r="BX65">
        <v>170.69230769230001</v>
      </c>
      <c r="BY65">
        <v>170.69230769230001</v>
      </c>
      <c r="CA65" t="s">
        <v>390</v>
      </c>
      <c r="CB65" t="s">
        <v>922</v>
      </c>
      <c r="CC65" t="s">
        <v>1036</v>
      </c>
      <c r="CD65">
        <v>9308</v>
      </c>
      <c r="CE65">
        <v>2048</v>
      </c>
      <c r="CF65">
        <v>97.287172324899998</v>
      </c>
      <c r="CG65">
        <v>256</v>
      </c>
      <c r="CH65">
        <v>256</v>
      </c>
      <c r="CI65">
        <v>144.9375</v>
      </c>
      <c r="CJ65">
        <v>144.9375</v>
      </c>
      <c r="CL65" t="s">
        <v>390</v>
      </c>
      <c r="CM65" t="s">
        <v>907</v>
      </c>
      <c r="CN65" t="s">
        <v>912</v>
      </c>
      <c r="CO65">
        <v>489</v>
      </c>
      <c r="CP65">
        <v>65</v>
      </c>
      <c r="CQ65">
        <v>70.764826175899998</v>
      </c>
      <c r="CR65">
        <v>15</v>
      </c>
      <c r="CS65">
        <v>15</v>
      </c>
      <c r="CT65">
        <v>73.066666666700002</v>
      </c>
      <c r="CU65">
        <v>73.066666666700002</v>
      </c>
      <c r="CW65" t="s">
        <v>387</v>
      </c>
      <c r="CX65" t="s">
        <v>915</v>
      </c>
      <c r="CZ65">
        <v>2072</v>
      </c>
      <c r="DA65">
        <v>191</v>
      </c>
      <c r="DB65">
        <v>68.167471042499997</v>
      </c>
      <c r="DC65">
        <v>30</v>
      </c>
      <c r="DD65">
        <v>30</v>
      </c>
      <c r="DE65">
        <v>158.4333333333</v>
      </c>
      <c r="DF65">
        <v>158.4333333333</v>
      </c>
      <c r="DH65" t="s">
        <v>387</v>
      </c>
      <c r="DI65" t="s">
        <v>899</v>
      </c>
      <c r="DK65">
        <v>2778</v>
      </c>
      <c r="DL65">
        <v>202</v>
      </c>
      <c r="DM65">
        <v>65.2674586033</v>
      </c>
      <c r="DN65">
        <v>57</v>
      </c>
      <c r="DO65">
        <v>57</v>
      </c>
      <c r="DP65">
        <v>132.61403508769999</v>
      </c>
      <c r="DQ65">
        <v>132.61403508769999</v>
      </c>
    </row>
    <row r="66" spans="62:121" x14ac:dyDescent="0.2">
      <c r="BJ66" t="s">
        <v>387</v>
      </c>
      <c r="BK66" t="s">
        <v>387</v>
      </c>
      <c r="BL66">
        <v>73658</v>
      </c>
      <c r="BM66">
        <v>16455</v>
      </c>
      <c r="BN66">
        <v>100.3602731543</v>
      </c>
      <c r="BO66">
        <v>1706</v>
      </c>
      <c r="BP66">
        <v>1706</v>
      </c>
      <c r="BQ66">
        <v>144.61313012900001</v>
      </c>
      <c r="BR66">
        <v>144.61313012900001</v>
      </c>
      <c r="BS66">
        <v>73179</v>
      </c>
      <c r="BT66">
        <v>15716</v>
      </c>
      <c r="BU66">
        <v>98.329110810499998</v>
      </c>
      <c r="BV66">
        <v>1669</v>
      </c>
      <c r="BW66">
        <v>1669</v>
      </c>
      <c r="BX66">
        <v>143.03654883159999</v>
      </c>
      <c r="BY66">
        <v>143.03654883159999</v>
      </c>
      <c r="CA66" t="s">
        <v>391</v>
      </c>
      <c r="CB66" t="s">
        <v>922</v>
      </c>
      <c r="CC66" t="s">
        <v>1037</v>
      </c>
      <c r="CD66">
        <v>9507</v>
      </c>
      <c r="CE66">
        <v>1932</v>
      </c>
      <c r="CF66">
        <v>90.156621436799995</v>
      </c>
      <c r="CG66">
        <v>319</v>
      </c>
      <c r="CH66">
        <v>319</v>
      </c>
      <c r="CI66">
        <v>101.5517241379</v>
      </c>
      <c r="CJ66">
        <v>101.5517241379</v>
      </c>
      <c r="CL66" t="s">
        <v>391</v>
      </c>
      <c r="CM66" t="s">
        <v>907</v>
      </c>
      <c r="CN66" t="s">
        <v>913</v>
      </c>
      <c r="CO66">
        <v>653</v>
      </c>
      <c r="CP66">
        <v>40</v>
      </c>
      <c r="CQ66">
        <v>49.517611025999997</v>
      </c>
      <c r="CR66">
        <v>11</v>
      </c>
      <c r="CS66">
        <v>11</v>
      </c>
      <c r="CT66">
        <v>62</v>
      </c>
      <c r="CU66">
        <v>62</v>
      </c>
      <c r="CW66" t="s">
        <v>705</v>
      </c>
      <c r="CZ66">
        <v>368771</v>
      </c>
      <c r="DA66">
        <v>72623</v>
      </c>
      <c r="DB66">
        <v>91.908528598999993</v>
      </c>
      <c r="DC66">
        <v>8836</v>
      </c>
      <c r="DD66">
        <v>8836</v>
      </c>
      <c r="DE66">
        <v>129.0985740154</v>
      </c>
      <c r="DF66">
        <v>129.0985740154</v>
      </c>
      <c r="DH66" t="s">
        <v>705</v>
      </c>
      <c r="DK66">
        <v>368771</v>
      </c>
      <c r="DL66">
        <v>72623</v>
      </c>
      <c r="DM66">
        <v>91.908528598999993</v>
      </c>
      <c r="DN66">
        <v>8836</v>
      </c>
      <c r="DO66">
        <v>8836</v>
      </c>
      <c r="DP66">
        <v>129.0985740154</v>
      </c>
      <c r="DQ66">
        <v>129.0985740154</v>
      </c>
    </row>
    <row r="67" spans="62:121" x14ac:dyDescent="0.2">
      <c r="BJ67" t="s">
        <v>548</v>
      </c>
      <c r="BK67" t="s">
        <v>387</v>
      </c>
      <c r="BL67">
        <v>21201</v>
      </c>
      <c r="BM67">
        <v>5488</v>
      </c>
      <c r="BN67">
        <v>107.3575303052</v>
      </c>
      <c r="BO67">
        <v>430</v>
      </c>
      <c r="BP67">
        <v>430</v>
      </c>
      <c r="BQ67">
        <v>154.8023255814</v>
      </c>
      <c r="BR67">
        <v>154.8023255814</v>
      </c>
      <c r="BS67">
        <v>20423</v>
      </c>
      <c r="BT67">
        <v>4578</v>
      </c>
      <c r="BU67">
        <v>97.919894236900006</v>
      </c>
      <c r="BV67">
        <v>396</v>
      </c>
      <c r="BW67">
        <v>396</v>
      </c>
      <c r="BX67">
        <v>143.54545454550001</v>
      </c>
      <c r="BY67">
        <v>143.54545454550001</v>
      </c>
      <c r="CA67" t="s">
        <v>387</v>
      </c>
      <c r="CB67" t="s">
        <v>922</v>
      </c>
      <c r="CD67">
        <v>74669</v>
      </c>
      <c r="CE67">
        <v>15881</v>
      </c>
      <c r="CF67">
        <v>97.336324311300004</v>
      </c>
      <c r="CG67">
        <v>1823</v>
      </c>
      <c r="CH67">
        <v>1823</v>
      </c>
      <c r="CI67">
        <v>138.41908941310001</v>
      </c>
      <c r="CJ67">
        <v>138.41908941310001</v>
      </c>
      <c r="CL67" t="s">
        <v>387</v>
      </c>
      <c r="CM67" t="s">
        <v>907</v>
      </c>
      <c r="CO67">
        <v>4503</v>
      </c>
      <c r="CP67">
        <v>432</v>
      </c>
      <c r="CQ67">
        <v>64.333111259199995</v>
      </c>
      <c r="CR67">
        <v>134</v>
      </c>
      <c r="CS67">
        <v>134</v>
      </c>
      <c r="CT67">
        <v>57.537313432799998</v>
      </c>
      <c r="CU67">
        <v>57.537313432799998</v>
      </c>
    </row>
    <row r="68" spans="62:121" x14ac:dyDescent="0.2">
      <c r="BJ68" t="s">
        <v>314</v>
      </c>
      <c r="BK68" t="s">
        <v>702</v>
      </c>
      <c r="BL68">
        <v>2708</v>
      </c>
      <c r="BM68">
        <v>152</v>
      </c>
      <c r="BN68">
        <v>53.0513293944</v>
      </c>
      <c r="BO68">
        <v>36</v>
      </c>
      <c r="BP68">
        <v>36</v>
      </c>
      <c r="BQ68">
        <v>132.8333333333</v>
      </c>
      <c r="BR68">
        <v>132.8333333333</v>
      </c>
      <c r="BS68">
        <v>702</v>
      </c>
      <c r="BT68">
        <v>66</v>
      </c>
      <c r="BU68">
        <v>60.799145299099997</v>
      </c>
      <c r="BV68">
        <v>11</v>
      </c>
      <c r="BW68">
        <v>11</v>
      </c>
      <c r="BX68">
        <v>123.9090909091</v>
      </c>
      <c r="BY68">
        <v>123.9090909091</v>
      </c>
      <c r="CA68" t="s">
        <v>705</v>
      </c>
      <c r="CD68">
        <v>368771</v>
      </c>
      <c r="CE68">
        <v>72623</v>
      </c>
      <c r="CF68">
        <v>91.908528598999993</v>
      </c>
      <c r="CG68">
        <v>8836</v>
      </c>
      <c r="CH68">
        <v>8836</v>
      </c>
      <c r="CI68">
        <v>129.0985740154</v>
      </c>
      <c r="CJ68">
        <v>129.0985740154</v>
      </c>
      <c r="CL68" t="s">
        <v>705</v>
      </c>
      <c r="CO68">
        <v>368771</v>
      </c>
      <c r="CP68">
        <v>72623</v>
      </c>
      <c r="CQ68">
        <v>91.908528598999993</v>
      </c>
      <c r="CR68">
        <v>8836</v>
      </c>
      <c r="CS68">
        <v>8836</v>
      </c>
      <c r="CT68">
        <v>129.0985740154</v>
      </c>
      <c r="CU68">
        <v>129.0985740154</v>
      </c>
    </row>
    <row r="69" spans="62:121" x14ac:dyDescent="0.2">
      <c r="BJ69" t="s">
        <v>217</v>
      </c>
      <c r="BK69" t="s">
        <v>702</v>
      </c>
      <c r="BL69">
        <v>3753</v>
      </c>
      <c r="BM69">
        <v>162</v>
      </c>
      <c r="BN69">
        <v>55.991473487900002</v>
      </c>
      <c r="BO69">
        <v>83</v>
      </c>
      <c r="BP69">
        <v>83</v>
      </c>
      <c r="BQ69">
        <v>111.3855421687</v>
      </c>
      <c r="BR69">
        <v>111.3855421687</v>
      </c>
      <c r="BS69">
        <v>4252</v>
      </c>
      <c r="BT69">
        <v>167</v>
      </c>
      <c r="BU69">
        <v>54.660865475100003</v>
      </c>
      <c r="BV69">
        <v>90</v>
      </c>
      <c r="BW69">
        <v>90</v>
      </c>
      <c r="BX69">
        <v>110.0444444444</v>
      </c>
      <c r="BY69">
        <v>110.0444444444</v>
      </c>
    </row>
    <row r="70" spans="62:121" x14ac:dyDescent="0.2">
      <c r="BJ70" t="s">
        <v>702</v>
      </c>
      <c r="BK70" t="s">
        <v>702</v>
      </c>
      <c r="BL70">
        <v>11665</v>
      </c>
      <c r="BM70">
        <v>690</v>
      </c>
      <c r="BN70">
        <v>61.260008572700002</v>
      </c>
      <c r="BO70">
        <v>188</v>
      </c>
      <c r="BP70">
        <v>188</v>
      </c>
      <c r="BQ70">
        <v>128.61702127660001</v>
      </c>
      <c r="BR70">
        <v>128.61702127660001</v>
      </c>
      <c r="BS70">
        <v>11665</v>
      </c>
      <c r="BT70">
        <v>690</v>
      </c>
      <c r="BU70">
        <v>61.260008572700002</v>
      </c>
      <c r="BV70">
        <v>188</v>
      </c>
      <c r="BW70">
        <v>188</v>
      </c>
      <c r="BX70">
        <v>128.61702127660001</v>
      </c>
      <c r="BY70">
        <v>128.61702127660001</v>
      </c>
    </row>
    <row r="71" spans="62:121" x14ac:dyDescent="0.2">
      <c r="BJ71" t="s">
        <v>219</v>
      </c>
      <c r="BK71" t="s">
        <v>702</v>
      </c>
      <c r="BL71">
        <v>5204</v>
      </c>
      <c r="BM71">
        <v>376</v>
      </c>
      <c r="BN71">
        <v>69.331091468099999</v>
      </c>
      <c r="BO71">
        <v>69</v>
      </c>
      <c r="BP71">
        <v>69</v>
      </c>
      <c r="BQ71">
        <v>147.14492753619999</v>
      </c>
      <c r="BR71">
        <v>147.14492753619999</v>
      </c>
      <c r="BS71">
        <v>6711</v>
      </c>
      <c r="BT71">
        <v>457</v>
      </c>
      <c r="BU71">
        <v>65.489345850099994</v>
      </c>
      <c r="BV71">
        <v>87</v>
      </c>
      <c r="BW71">
        <v>87</v>
      </c>
      <c r="BX71">
        <v>148.4252873563</v>
      </c>
      <c r="BY71">
        <v>148.4252873563</v>
      </c>
    </row>
    <row r="72" spans="62:121" x14ac:dyDescent="0.2">
      <c r="BJ72" t="s">
        <v>215</v>
      </c>
      <c r="BK72" t="s">
        <v>703</v>
      </c>
      <c r="BL72">
        <v>5940</v>
      </c>
      <c r="BM72">
        <v>380</v>
      </c>
      <c r="BN72">
        <v>53.240067340099998</v>
      </c>
      <c r="BO72">
        <v>115</v>
      </c>
      <c r="BP72">
        <v>115</v>
      </c>
      <c r="BQ72">
        <v>56.895652173899997</v>
      </c>
      <c r="BR72">
        <v>56.895652173899997</v>
      </c>
      <c r="BS72">
        <v>5959</v>
      </c>
      <c r="BT72">
        <v>380</v>
      </c>
      <c r="BU72">
        <v>53.331599261599997</v>
      </c>
      <c r="BV72">
        <v>115</v>
      </c>
      <c r="BW72">
        <v>115</v>
      </c>
      <c r="BX72">
        <v>56.895652173899997</v>
      </c>
      <c r="BY72">
        <v>56.895652173899997</v>
      </c>
    </row>
    <row r="73" spans="62:121" x14ac:dyDescent="0.2">
      <c r="BJ73" t="s">
        <v>230</v>
      </c>
      <c r="BK73" t="s">
        <v>703</v>
      </c>
      <c r="BL73">
        <v>572</v>
      </c>
      <c r="BM73">
        <v>236</v>
      </c>
      <c r="BN73">
        <v>156.25874125870001</v>
      </c>
      <c r="BO73">
        <v>21</v>
      </c>
      <c r="BP73">
        <v>21</v>
      </c>
      <c r="BQ73">
        <v>66.190476190499993</v>
      </c>
      <c r="BR73">
        <v>66.190476190499993</v>
      </c>
      <c r="BS73">
        <v>512</v>
      </c>
      <c r="BT73">
        <v>232</v>
      </c>
      <c r="BU73">
        <v>164.78515625</v>
      </c>
      <c r="BV73">
        <v>15</v>
      </c>
      <c r="BW73">
        <v>15</v>
      </c>
      <c r="BX73">
        <v>51.266666666699997</v>
      </c>
      <c r="BY73">
        <v>51.266666666699997</v>
      </c>
    </row>
    <row r="74" spans="62:121" x14ac:dyDescent="0.2">
      <c r="BJ74" t="s">
        <v>216</v>
      </c>
      <c r="BK74" t="s">
        <v>703</v>
      </c>
      <c r="BL74">
        <v>6816</v>
      </c>
      <c r="BM74">
        <v>682</v>
      </c>
      <c r="BN74">
        <v>68.104019953100007</v>
      </c>
      <c r="BO74">
        <v>233</v>
      </c>
      <c r="BP74">
        <v>233</v>
      </c>
      <c r="BQ74">
        <v>67.360515021500007</v>
      </c>
      <c r="BR74">
        <v>67.360515021500007</v>
      </c>
      <c r="BS74">
        <v>6839</v>
      </c>
      <c r="BT74">
        <v>686</v>
      </c>
      <c r="BU74">
        <v>68.213773943600003</v>
      </c>
      <c r="BV74">
        <v>235</v>
      </c>
      <c r="BW74">
        <v>235</v>
      </c>
      <c r="BX74">
        <v>67.838297872300004</v>
      </c>
      <c r="BY74">
        <v>67.838297872300004</v>
      </c>
    </row>
    <row r="75" spans="62:121" x14ac:dyDescent="0.2">
      <c r="BJ75" t="s">
        <v>218</v>
      </c>
      <c r="BK75" t="s">
        <v>703</v>
      </c>
      <c r="BL75">
        <v>8023</v>
      </c>
      <c r="BM75">
        <v>386</v>
      </c>
      <c r="BN75">
        <v>49.463542315799998</v>
      </c>
      <c r="BO75">
        <v>404</v>
      </c>
      <c r="BP75">
        <v>404</v>
      </c>
      <c r="BQ75">
        <v>54.646039604000002</v>
      </c>
      <c r="BR75">
        <v>54.646039604000002</v>
      </c>
      <c r="BS75">
        <v>8041</v>
      </c>
      <c r="BT75">
        <v>386</v>
      </c>
      <c r="BU75">
        <v>49.494092774499997</v>
      </c>
      <c r="BV75">
        <v>408</v>
      </c>
      <c r="BW75">
        <v>408</v>
      </c>
      <c r="BX75">
        <v>55.026960784300002</v>
      </c>
      <c r="BY75">
        <v>55.026960784300002</v>
      </c>
    </row>
    <row r="76" spans="62:121" x14ac:dyDescent="0.2">
      <c r="BJ76" t="s">
        <v>703</v>
      </c>
      <c r="BK76" t="s">
        <v>703</v>
      </c>
      <c r="BL76">
        <v>21351</v>
      </c>
      <c r="BM76">
        <v>1684</v>
      </c>
      <c r="BN76">
        <v>59.325980047800002</v>
      </c>
      <c r="BO76">
        <v>773</v>
      </c>
      <c r="BP76">
        <v>773</v>
      </c>
      <c r="BQ76">
        <v>59.126778784000003</v>
      </c>
      <c r="BR76">
        <v>59.126778784000003</v>
      </c>
      <c r="BS76">
        <v>21351</v>
      </c>
      <c r="BT76">
        <v>1684</v>
      </c>
      <c r="BU76">
        <v>59.325980047800002</v>
      </c>
      <c r="BV76">
        <v>773</v>
      </c>
      <c r="BW76">
        <v>773</v>
      </c>
      <c r="BX76">
        <v>59.126778784000003</v>
      </c>
      <c r="BY76">
        <v>59.126778784000003</v>
      </c>
    </row>
    <row r="77" spans="62:121" x14ac:dyDescent="0.2">
      <c r="BJ77" t="s">
        <v>313</v>
      </c>
      <c r="BK77" t="s">
        <v>704</v>
      </c>
      <c r="BL77">
        <v>3332</v>
      </c>
      <c r="BM77">
        <v>247</v>
      </c>
      <c r="BN77">
        <v>59.8472388956</v>
      </c>
      <c r="BO77">
        <v>45</v>
      </c>
      <c r="BP77">
        <v>45</v>
      </c>
      <c r="BQ77">
        <v>129.48888888889999</v>
      </c>
      <c r="BR77">
        <v>129.48888888889999</v>
      </c>
      <c r="BS77">
        <v>671</v>
      </c>
      <c r="BT77">
        <v>34</v>
      </c>
      <c r="BU77">
        <v>43.044709388999998</v>
      </c>
      <c r="BV77">
        <v>2</v>
      </c>
      <c r="BW77">
        <v>2</v>
      </c>
      <c r="BX77">
        <v>72</v>
      </c>
      <c r="BY77">
        <v>72</v>
      </c>
    </row>
    <row r="78" spans="62:121" x14ac:dyDescent="0.2">
      <c r="BJ78" t="s">
        <v>963</v>
      </c>
      <c r="BK78" t="s">
        <v>704</v>
      </c>
      <c r="BL78">
        <v>3164</v>
      </c>
      <c r="BM78">
        <v>245</v>
      </c>
      <c r="BN78">
        <v>59.912136535999998</v>
      </c>
      <c r="BO78">
        <v>52</v>
      </c>
      <c r="BP78">
        <v>52</v>
      </c>
      <c r="BQ78">
        <v>100.6730769231</v>
      </c>
      <c r="BR78">
        <v>100.6730769231</v>
      </c>
      <c r="BS78">
        <v>4299</v>
      </c>
      <c r="BT78">
        <v>340</v>
      </c>
      <c r="BU78">
        <v>59.383344963900001</v>
      </c>
      <c r="BV78">
        <v>72</v>
      </c>
      <c r="BW78">
        <v>72</v>
      </c>
      <c r="BX78">
        <v>101.6388888889</v>
      </c>
      <c r="BY78">
        <v>101.6388888889</v>
      </c>
    </row>
    <row r="79" spans="62:121" x14ac:dyDescent="0.2">
      <c r="BJ79" t="s">
        <v>704</v>
      </c>
      <c r="BK79" t="s">
        <v>704</v>
      </c>
      <c r="BL79">
        <v>9865</v>
      </c>
      <c r="BM79">
        <v>803</v>
      </c>
      <c r="BN79">
        <v>64.185098834300007</v>
      </c>
      <c r="BO79">
        <v>150</v>
      </c>
      <c r="BP79">
        <v>150</v>
      </c>
      <c r="BQ79">
        <v>137.54666666669999</v>
      </c>
      <c r="BR79">
        <v>137.54666666669999</v>
      </c>
      <c r="BS79">
        <v>9865</v>
      </c>
      <c r="BT79">
        <v>803</v>
      </c>
      <c r="BU79">
        <v>64.185098834300007</v>
      </c>
      <c r="BV79">
        <v>150</v>
      </c>
      <c r="BW79">
        <v>150</v>
      </c>
      <c r="BX79">
        <v>137.54666666669999</v>
      </c>
      <c r="BY79">
        <v>137.54666666669999</v>
      </c>
    </row>
    <row r="80" spans="62:121" x14ac:dyDescent="0.2">
      <c r="BJ80" t="s">
        <v>964</v>
      </c>
      <c r="BK80" t="s">
        <v>704</v>
      </c>
      <c r="BL80">
        <v>3369</v>
      </c>
      <c r="BM80">
        <v>311</v>
      </c>
      <c r="BN80">
        <v>72.488275452699995</v>
      </c>
      <c r="BO80">
        <v>53</v>
      </c>
      <c r="BP80">
        <v>53</v>
      </c>
      <c r="BQ80">
        <v>180.56603773579999</v>
      </c>
      <c r="BR80">
        <v>180.56603773579999</v>
      </c>
      <c r="BS80">
        <v>4895</v>
      </c>
      <c r="BT80">
        <v>429</v>
      </c>
      <c r="BU80">
        <v>71.300102144999997</v>
      </c>
      <c r="BV80">
        <v>76</v>
      </c>
      <c r="BW80">
        <v>76</v>
      </c>
      <c r="BX80">
        <v>173.2894736842</v>
      </c>
      <c r="BY80">
        <v>173.2894736842</v>
      </c>
    </row>
    <row r="81" spans="62:77" x14ac:dyDescent="0.2">
      <c r="BJ81" t="s">
        <v>705</v>
      </c>
      <c r="BL81">
        <v>368771</v>
      </c>
      <c r="BM81">
        <v>72623</v>
      </c>
      <c r="BN81" s="154">
        <v>91.908528598999993</v>
      </c>
      <c r="BO81">
        <v>8836</v>
      </c>
      <c r="BP81">
        <v>8836</v>
      </c>
      <c r="BQ81">
        <v>129.0985740154</v>
      </c>
      <c r="BR81">
        <v>129.0985740154</v>
      </c>
      <c r="BS81">
        <v>368771</v>
      </c>
      <c r="BT81">
        <v>72623</v>
      </c>
      <c r="BU81">
        <v>91.908528598999993</v>
      </c>
      <c r="BV81">
        <v>8836</v>
      </c>
      <c r="BW81">
        <v>8836</v>
      </c>
      <c r="BX81">
        <v>129.0985740154</v>
      </c>
      <c r="BY81">
        <v>129.0985740154</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368771</CP_Inventory>
    <Fiscal_Year xmlns="c9744be7-b815-40bc-84fa-afc9c406d9bc">2016</Fiscal_Year>
    <CP_Backlog xmlns="c9744be7-b815-40bc-84fa-afc9c406d9bc">72623</CP_Backlog>
    <Creation_date xmlns="c9744be7-b815-40bc-84fa-afc9c406d9bc">2015-10-05T00:00:00</Creation_date>
    <Data_date xmlns="c9744be7-b815-40bc-84fa-afc9c406d9bc">2015-10-03T00:00:00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c9744be7-b815-40bc-84fa-afc9c406d9bc"/>
    <ds:schemaRef ds:uri="fef9c9dc-374b-4157-9e06-089f148416e5"/>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5,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2015-10-05T12:54:37Z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